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20" yWindow="300" windowWidth="24540" windowHeight="11310" tabRatio="843" firstSheet="6" activeTab="6"/>
  </bookViews>
  <sheets>
    <sheet name="Data" sheetId="4" state="hidden" r:id="rId1"/>
    <sheet name="DataTarpin" sheetId="7" state="hidden" r:id="rId2"/>
    <sheet name="Populiacija" sheetId="18" state="hidden" r:id="rId3"/>
    <sheet name="Kiti grafikai" sheetId="51" state="hidden" r:id="rId4"/>
    <sheet name="GrafikaiSergVM" sheetId="50" state="hidden" r:id="rId5"/>
    <sheet name="GrafikaiSerg" sheetId="39" state="hidden" r:id="rId6"/>
    <sheet name="Lent02vm" sheetId="19" r:id="rId7"/>
    <sheet name="Lent02v" sheetId="47" r:id="rId8"/>
    <sheet name="Lent02m" sheetId="20" r:id="rId9"/>
    <sheet name="Lent04v" sheetId="8" r:id="rId10"/>
    <sheet name="Lent04m" sheetId="23" r:id="rId11"/>
    <sheet name="Lent06v" sheetId="9" r:id="rId12"/>
    <sheet name="Lent06m" sheetId="11" r:id="rId13"/>
    <sheet name="Lent08v" sheetId="43" r:id="rId14"/>
    <sheet name="Lent08m" sheetId="44" r:id="rId15"/>
    <sheet name="GrafikaiMirtVM" sheetId="49" state="hidden" r:id="rId16"/>
    <sheet name="GrafikaiMirt" sheetId="40" state="hidden" r:id="rId17"/>
    <sheet name="Lent10vm" sheetId="48" r:id="rId18"/>
    <sheet name="Lent10v" sheetId="36" r:id="rId19"/>
    <sheet name="Lent10m" sheetId="37" r:id="rId20"/>
    <sheet name="Lent12v" sheetId="12" r:id="rId21"/>
    <sheet name="Lent12m" sheetId="14" r:id="rId22"/>
    <sheet name="Len14v" sheetId="45" r:id="rId23"/>
    <sheet name="Lent14m" sheetId="46" r:id="rId24"/>
    <sheet name="Lent16v" sheetId="34" r:id="rId25"/>
    <sheet name="Lent16m" sheetId="35" r:id="rId26"/>
    <sheet name="Lent18v" sheetId="41" r:id="rId27"/>
    <sheet name="Lent18m" sheetId="42" r:id="rId28"/>
  </sheets>
  <definedNames>
    <definedName name="_xlnm._FilterDatabase" localSheetId="0" hidden="1">Data!$A$2:$EC$51</definedName>
    <definedName name="_xlnm.Print_Area" localSheetId="22">Len14v!$B$3:$AE$47</definedName>
    <definedName name="_xlnm.Print_Area" localSheetId="8">Lent02m!$B$4:$G$51</definedName>
    <definedName name="_xlnm.Print_Area" localSheetId="7">Lent02v!$B$4:$G$47</definedName>
    <definedName name="_xlnm.Print_Area" localSheetId="6">Lent02vm!$B$6:$G$55</definedName>
    <definedName name="_xlnm.Print_Area" localSheetId="10">Lent04m!$B$2:$Z$43</definedName>
    <definedName name="_xlnm.Print_Area" localSheetId="9">Lent04v!$B$2:$Q$45</definedName>
    <definedName name="_xlnm.Print_Area" localSheetId="12">Lent06m!$B$2:$AG$54</definedName>
    <definedName name="_xlnm.Print_Area" localSheetId="11">Lent06v!$B$2:$AE$50</definedName>
    <definedName name="_xlnm.Print_Area" localSheetId="14">Lent08m!$B$3:$AB$55</definedName>
    <definedName name="_xlnm.Print_Area" localSheetId="13">Lent08v!$B$3:$AF$52</definedName>
    <definedName name="_xlnm.Print_Area" localSheetId="19">Lent10m!$B$4:$G$51</definedName>
    <definedName name="_xlnm.Print_Area" localSheetId="18">Lent10v!$B$4:$G$47</definedName>
    <definedName name="_xlnm.Print_Area" localSheetId="17">Lent10vm!$B$6:$G$55</definedName>
    <definedName name="_xlnm.Print_Area" localSheetId="21">Lent12m!$B$2:$Z$54</definedName>
    <definedName name="_xlnm.Print_Area" localSheetId="20">Lent12v!$B$2:$AI$48</definedName>
    <definedName name="_xlnm.Print_Area" localSheetId="23">Lent14m!$B$3:$AD$57</definedName>
    <definedName name="_xlnm.Print_Area" localSheetId="25">Lent16m!$B$2:$L$51</definedName>
    <definedName name="_xlnm.Print_Area" localSheetId="24">Lent16v!$B$2:$L$51</definedName>
    <definedName name="_xlnm.Print_Area" localSheetId="27">Lent18m!$B$2:$K$41</definedName>
    <definedName name="_xlnm.Print_Area" localSheetId="26">Lent18v!$B$2:$K$40</definedName>
    <definedName name="v_F90">Data!$D$2</definedName>
    <definedName name="zzz" localSheetId="16">#REF!</definedName>
    <definedName name="zzz" localSheetId="15">#REF!</definedName>
    <definedName name="zzz" localSheetId="5">#REF!</definedName>
    <definedName name="zzz" localSheetId="4">#REF!</definedName>
    <definedName name="zzz" localSheetId="3">#REF!</definedName>
    <definedName name="zzz" localSheetId="22">#REF!</definedName>
    <definedName name="zzz" localSheetId="8">#REF!</definedName>
    <definedName name="zzz" localSheetId="7">#REF!</definedName>
    <definedName name="zzz" localSheetId="6">#REF!</definedName>
    <definedName name="zzz" localSheetId="10">#REF!</definedName>
    <definedName name="zzz" localSheetId="14">#REF!</definedName>
    <definedName name="zzz" localSheetId="13">#REF!</definedName>
    <definedName name="zzz" localSheetId="19">#REF!</definedName>
    <definedName name="zzz" localSheetId="18">#REF!</definedName>
    <definedName name="zzz" localSheetId="17">#REF!</definedName>
    <definedName name="zzz" localSheetId="23">#REF!</definedName>
    <definedName name="zzz" localSheetId="25">#REF!</definedName>
    <definedName name="zzz" localSheetId="24">#REF!</definedName>
    <definedName name="zzz" localSheetId="27">#REF!</definedName>
    <definedName name="zzz" localSheetId="26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C19" i="41" l="1"/>
  <c r="Y21" i="49"/>
  <c r="F35" i="7"/>
  <c r="F36" i="7"/>
  <c r="F33" i="7"/>
  <c r="F32" i="7"/>
  <c r="F38" i="7"/>
  <c r="F34" i="7"/>
  <c r="F37" i="7"/>
  <c r="F30" i="7"/>
  <c r="F31" i="7"/>
  <c r="F29" i="7"/>
  <c r="F39" i="7" s="1"/>
  <c r="G32" i="7" s="1"/>
  <c r="F17" i="7"/>
  <c r="F24" i="7"/>
  <c r="F21" i="7"/>
  <c r="F18" i="7"/>
  <c r="F22" i="7"/>
  <c r="F25" i="7"/>
  <c r="F23" i="7"/>
  <c r="F20" i="7"/>
  <c r="F16" i="7"/>
  <c r="F26" i="7" s="1"/>
  <c r="G19" i="7" s="1"/>
  <c r="F19" i="7"/>
  <c r="F7" i="7"/>
  <c r="F10" i="7"/>
  <c r="F3" i="7"/>
  <c r="F5" i="7"/>
  <c r="F13" i="7" s="1"/>
  <c r="G6" i="7" s="1"/>
  <c r="F12" i="7"/>
  <c r="F11" i="7"/>
  <c r="F8" i="7"/>
  <c r="F6" i="7"/>
  <c r="F9" i="7"/>
  <c r="F4" i="7"/>
  <c r="B35" i="7"/>
  <c r="B29" i="7"/>
  <c r="B31" i="7"/>
  <c r="B37" i="7"/>
  <c r="B39" i="7" s="1"/>
  <c r="B32" i="7"/>
  <c r="B30" i="7"/>
  <c r="B33" i="7"/>
  <c r="B38" i="7"/>
  <c r="B34" i="7"/>
  <c r="B36" i="7"/>
  <c r="B26" i="7"/>
  <c r="B23" i="7"/>
  <c r="B22" i="7"/>
  <c r="B24" i="7"/>
  <c r="B25" i="7"/>
  <c r="B11" i="7"/>
  <c r="B8" i="7"/>
  <c r="B6" i="7"/>
  <c r="B7" i="7"/>
  <c r="B12" i="7"/>
  <c r="B10" i="7"/>
  <c r="B9" i="7"/>
  <c r="B3" i="7"/>
  <c r="B13" i="7" s="1"/>
  <c r="C6" i="7" s="1"/>
  <c r="B5" i="7"/>
  <c r="B4" i="7"/>
  <c r="C32" i="7" l="1"/>
  <c r="C35" i="7"/>
  <c r="G35" i="7"/>
  <c r="G34" i="7"/>
  <c r="G28" i="7"/>
  <c r="G31" i="7"/>
  <c r="G38" i="7"/>
  <c r="G30" i="7"/>
  <c r="G37" i="7"/>
  <c r="G33" i="7"/>
  <c r="G29" i="7"/>
  <c r="G36" i="7"/>
  <c r="G15" i="7"/>
  <c r="G22" i="7"/>
  <c r="G18" i="7"/>
  <c r="G25" i="7"/>
  <c r="G21" i="7"/>
  <c r="G17" i="7"/>
  <c r="G24" i="7"/>
  <c r="G20" i="7"/>
  <c r="G16" i="7"/>
  <c r="G23" i="7"/>
  <c r="G2" i="7"/>
  <c r="G9" i="7"/>
  <c r="G5" i="7"/>
  <c r="G12" i="7"/>
  <c r="G8" i="7"/>
  <c r="G4" i="7"/>
  <c r="G11" i="7"/>
  <c r="G7" i="7"/>
  <c r="G3" i="7"/>
  <c r="G10" i="7"/>
  <c r="C34" i="7"/>
  <c r="C28" i="7"/>
  <c r="C31" i="7"/>
  <c r="C38" i="7"/>
  <c r="C30" i="7"/>
  <c r="C37" i="7"/>
  <c r="C33" i="7"/>
  <c r="C29" i="7"/>
  <c r="C39" i="7" s="1"/>
  <c r="C36" i="7"/>
  <c r="C22" i="7"/>
  <c r="C21" i="7"/>
  <c r="C25" i="7"/>
  <c r="C24" i="7"/>
  <c r="C23" i="7"/>
  <c r="C2" i="7"/>
  <c r="C9" i="7"/>
  <c r="C5" i="7"/>
  <c r="C12" i="7"/>
  <c r="C8" i="7"/>
  <c r="C4" i="7"/>
  <c r="C11" i="7"/>
  <c r="C7" i="7"/>
  <c r="C3" i="7"/>
  <c r="C10" i="7"/>
  <c r="G39" i="7" l="1"/>
  <c r="G26" i="7"/>
  <c r="G13" i="7"/>
  <c r="C26" i="7"/>
  <c r="C13" i="7"/>
  <c r="B2" i="42"/>
  <c r="B2" i="41"/>
  <c r="B2" i="48"/>
  <c r="I54" i="39"/>
  <c r="I53" i="39"/>
  <c r="I52" i="39"/>
  <c r="I51" i="39"/>
  <c r="I50" i="39"/>
  <c r="I49" i="39"/>
  <c r="I48" i="39"/>
  <c r="I47" i="39"/>
  <c r="I46" i="39"/>
  <c r="I45" i="39"/>
  <c r="I44" i="39"/>
  <c r="S54" i="39"/>
  <c r="S53" i="39"/>
  <c r="S52" i="39"/>
  <c r="S51" i="39"/>
  <c r="S50" i="39"/>
  <c r="S49" i="39"/>
  <c r="S48" i="39"/>
  <c r="S47" i="39"/>
  <c r="S45" i="39"/>
  <c r="S46" i="39"/>
  <c r="S44" i="39"/>
  <c r="I80" i="39"/>
  <c r="I79" i="39"/>
  <c r="I78" i="39"/>
  <c r="I77" i="39"/>
  <c r="I76" i="39"/>
  <c r="I75" i="39"/>
  <c r="I74" i="39"/>
  <c r="I73" i="39"/>
  <c r="I72" i="39"/>
  <c r="I71" i="39"/>
  <c r="I70" i="39"/>
  <c r="I67" i="39"/>
  <c r="I66" i="39"/>
  <c r="I65" i="39"/>
  <c r="I64" i="39"/>
  <c r="I63" i="39"/>
  <c r="I62" i="39"/>
  <c r="I61" i="39"/>
  <c r="I60" i="39"/>
  <c r="I59" i="39"/>
  <c r="I58" i="39"/>
  <c r="I57" i="39"/>
  <c r="S67" i="39"/>
  <c r="S66" i="39"/>
  <c r="S65" i="39"/>
  <c r="S64" i="39"/>
  <c r="S63" i="39"/>
  <c r="S62" i="39"/>
  <c r="S61" i="39"/>
  <c r="S60" i="39"/>
  <c r="S59" i="39"/>
  <c r="S58" i="39"/>
  <c r="S57" i="39"/>
  <c r="S80" i="39"/>
  <c r="S79" i="39"/>
  <c r="S78" i="39"/>
  <c r="S77" i="39"/>
  <c r="S76" i="39"/>
  <c r="S75" i="39"/>
  <c r="S74" i="39"/>
  <c r="S73" i="39"/>
  <c r="S72" i="39"/>
  <c r="S71" i="39"/>
  <c r="S70" i="39"/>
  <c r="M69" i="39"/>
  <c r="C69" i="39"/>
  <c r="M56" i="39"/>
  <c r="C56" i="39"/>
  <c r="M43" i="39"/>
  <c r="C43" i="39"/>
  <c r="I26" i="50"/>
  <c r="AB3" i="51"/>
  <c r="F48" i="51"/>
  <c r="F32" i="51"/>
  <c r="F33" i="51"/>
  <c r="F34" i="51"/>
  <c r="F35" i="51"/>
  <c r="F36" i="51"/>
  <c r="F37" i="51"/>
  <c r="F38" i="51"/>
  <c r="F39" i="51"/>
  <c r="F40" i="51"/>
  <c r="F41" i="51"/>
  <c r="F42" i="51"/>
  <c r="F43" i="51"/>
  <c r="F44" i="51"/>
  <c r="F45" i="51"/>
  <c r="F46" i="51"/>
  <c r="F47" i="51"/>
  <c r="F31" i="51"/>
  <c r="E32" i="51"/>
  <c r="E33" i="51"/>
  <c r="E34" i="51"/>
  <c r="E35" i="51"/>
  <c r="E36" i="51"/>
  <c r="E37" i="51"/>
  <c r="E38" i="51"/>
  <c r="E39" i="51"/>
  <c r="E40" i="51"/>
  <c r="E41" i="51"/>
  <c r="E42" i="51"/>
  <c r="E43" i="51"/>
  <c r="E44" i="51"/>
  <c r="E45" i="51"/>
  <c r="E46" i="51"/>
  <c r="E47" i="51"/>
  <c r="E48" i="51"/>
  <c r="E31" i="51"/>
  <c r="AE23" i="51" l="1"/>
  <c r="F30" i="51"/>
  <c r="AD23" i="51"/>
  <c r="E30" i="51"/>
  <c r="F6" i="23" l="1"/>
  <c r="F7" i="23"/>
  <c r="F8" i="23"/>
  <c r="F9" i="23"/>
  <c r="F10" i="23"/>
  <c r="F11" i="23"/>
  <c r="F12" i="23"/>
  <c r="F13" i="23"/>
  <c r="F14" i="23"/>
  <c r="L25" i="8"/>
  <c r="L26" i="8"/>
  <c r="L27" i="8"/>
  <c r="L28" i="8"/>
  <c r="L29" i="8"/>
  <c r="L30" i="8"/>
  <c r="L31" i="8"/>
  <c r="L32" i="8"/>
  <c r="L33" i="8"/>
  <c r="L34" i="8"/>
  <c r="L35" i="8"/>
  <c r="L6" i="8"/>
  <c r="L7" i="8"/>
  <c r="L8" i="8"/>
  <c r="L9" i="8"/>
  <c r="L10" i="8"/>
  <c r="L11" i="8"/>
  <c r="L12" i="8"/>
  <c r="L13" i="8"/>
  <c r="L14" i="8"/>
  <c r="L15" i="8"/>
  <c r="L16" i="8"/>
  <c r="H25" i="8"/>
  <c r="H26" i="8"/>
  <c r="H27" i="8"/>
  <c r="H28" i="8"/>
  <c r="H29" i="8"/>
  <c r="H30" i="8"/>
  <c r="H31" i="8"/>
  <c r="H32" i="8"/>
  <c r="H33" i="8"/>
  <c r="H34" i="8"/>
  <c r="H35" i="8"/>
  <c r="H6" i="8"/>
  <c r="H7" i="8"/>
  <c r="H8" i="8"/>
  <c r="H9" i="8"/>
  <c r="H10" i="8"/>
  <c r="H11" i="8"/>
  <c r="H12" i="8"/>
  <c r="H13" i="8"/>
  <c r="H14" i="8"/>
  <c r="H15" i="8"/>
  <c r="H16" i="8"/>
  <c r="F25" i="8"/>
  <c r="F26" i="8"/>
  <c r="F27" i="8"/>
  <c r="F28" i="8"/>
  <c r="F29" i="8"/>
  <c r="F30" i="8"/>
  <c r="F31" i="8"/>
  <c r="F32" i="8"/>
  <c r="F33" i="8"/>
  <c r="F34" i="8"/>
  <c r="F35" i="8"/>
  <c r="F6" i="8"/>
  <c r="F7" i="8"/>
  <c r="F8" i="8"/>
  <c r="F9" i="8"/>
  <c r="F10" i="8"/>
  <c r="F11" i="8"/>
  <c r="F12" i="8"/>
  <c r="F13" i="8"/>
  <c r="F14" i="8"/>
  <c r="F15" i="8"/>
  <c r="F16" i="8"/>
  <c r="D25" i="8"/>
  <c r="D26" i="8"/>
  <c r="D27" i="8"/>
  <c r="D28" i="8"/>
  <c r="D29" i="8"/>
  <c r="D30" i="8"/>
  <c r="D31" i="8"/>
  <c r="D32" i="8"/>
  <c r="D33" i="8"/>
  <c r="D34" i="8"/>
  <c r="D35" i="8"/>
  <c r="Y22" i="51" l="1"/>
  <c r="X22" i="51"/>
  <c r="Y21" i="51"/>
  <c r="X21" i="51"/>
  <c r="Y20" i="51"/>
  <c r="X20" i="51"/>
  <c r="Y19" i="51"/>
  <c r="X19" i="51"/>
  <c r="Y18" i="51"/>
  <c r="X18" i="51"/>
  <c r="Y17" i="51"/>
  <c r="X17" i="51"/>
  <c r="Y16" i="51"/>
  <c r="X16" i="51"/>
  <c r="Y15" i="51"/>
  <c r="X15" i="51"/>
  <c r="Y14" i="51"/>
  <c r="X14" i="51"/>
  <c r="Y13" i="51"/>
  <c r="X13" i="51"/>
  <c r="Y12" i="51"/>
  <c r="X12" i="51"/>
  <c r="Y11" i="51"/>
  <c r="X11" i="51"/>
  <c r="Y10" i="51"/>
  <c r="X10" i="51"/>
  <c r="Y9" i="51"/>
  <c r="X9" i="51"/>
  <c r="Y8" i="51"/>
  <c r="X8" i="51"/>
  <c r="Y7" i="51"/>
  <c r="X7" i="51"/>
  <c r="Y6" i="51"/>
  <c r="X6" i="51"/>
  <c r="Y5" i="51"/>
  <c r="X5" i="51"/>
  <c r="T3" i="51"/>
  <c r="S40" i="50" l="1"/>
  <c r="I40" i="50"/>
  <c r="S39" i="50"/>
  <c r="I39" i="50"/>
  <c r="S38" i="50"/>
  <c r="I38" i="50"/>
  <c r="S37" i="50"/>
  <c r="I37" i="50"/>
  <c r="S36" i="50"/>
  <c r="I36" i="50"/>
  <c r="S35" i="50"/>
  <c r="I35" i="50"/>
  <c r="S34" i="50"/>
  <c r="I34" i="50"/>
  <c r="S33" i="50"/>
  <c r="I33" i="50"/>
  <c r="S32" i="50"/>
  <c r="I32" i="50"/>
  <c r="S31" i="50"/>
  <c r="I31" i="50"/>
  <c r="S30" i="50"/>
  <c r="I30" i="50"/>
  <c r="M29" i="50"/>
  <c r="C29" i="50"/>
  <c r="S27" i="50"/>
  <c r="I27" i="50"/>
  <c r="S26" i="50"/>
  <c r="S25" i="50"/>
  <c r="I25" i="50"/>
  <c r="S24" i="50"/>
  <c r="I24" i="50"/>
  <c r="S23" i="50"/>
  <c r="I23" i="50"/>
  <c r="S22" i="50"/>
  <c r="I22" i="50"/>
  <c r="S21" i="50"/>
  <c r="I21" i="50"/>
  <c r="S20" i="50"/>
  <c r="I20" i="50"/>
  <c r="S19" i="50"/>
  <c r="I19" i="50"/>
  <c r="S18" i="50"/>
  <c r="I18" i="50"/>
  <c r="S17" i="50"/>
  <c r="I17" i="50"/>
  <c r="M16" i="50"/>
  <c r="C16" i="50"/>
  <c r="S14" i="50"/>
  <c r="I14" i="50"/>
  <c r="S13" i="50"/>
  <c r="I13" i="50"/>
  <c r="S12" i="50"/>
  <c r="I12" i="50"/>
  <c r="S11" i="50"/>
  <c r="I11" i="50"/>
  <c r="S10" i="50"/>
  <c r="I10" i="50"/>
  <c r="S9" i="50"/>
  <c r="I9" i="50"/>
  <c r="S8" i="50"/>
  <c r="I8" i="50"/>
  <c r="S7" i="50"/>
  <c r="I7" i="50"/>
  <c r="S6" i="50"/>
  <c r="I6" i="50"/>
  <c r="S5" i="50"/>
  <c r="I5" i="50"/>
  <c r="S4" i="50"/>
  <c r="I4" i="50"/>
  <c r="M3" i="50"/>
  <c r="C3" i="50"/>
  <c r="S79" i="49"/>
  <c r="I79" i="49"/>
  <c r="S78" i="49"/>
  <c r="I78" i="49"/>
  <c r="S77" i="49"/>
  <c r="I77" i="49"/>
  <c r="S76" i="49"/>
  <c r="I76" i="49"/>
  <c r="S75" i="49"/>
  <c r="I75" i="49"/>
  <c r="S74" i="49"/>
  <c r="I74" i="49"/>
  <c r="S73" i="49"/>
  <c r="I73" i="49"/>
  <c r="S72" i="49"/>
  <c r="I72" i="49"/>
  <c r="S71" i="49"/>
  <c r="I71" i="49"/>
  <c r="S70" i="49"/>
  <c r="I70" i="49"/>
  <c r="S69" i="49"/>
  <c r="I69" i="49"/>
  <c r="M68" i="49"/>
  <c r="C68" i="49"/>
  <c r="S66" i="49"/>
  <c r="I66" i="49"/>
  <c r="S65" i="49"/>
  <c r="I65" i="49"/>
  <c r="S64" i="49"/>
  <c r="I64" i="49"/>
  <c r="S63" i="49"/>
  <c r="I63" i="49"/>
  <c r="S62" i="49"/>
  <c r="I62" i="49"/>
  <c r="S61" i="49"/>
  <c r="I61" i="49"/>
  <c r="S60" i="49"/>
  <c r="I60" i="49"/>
  <c r="S59" i="49"/>
  <c r="I59" i="49"/>
  <c r="S58" i="49"/>
  <c r="I58" i="49"/>
  <c r="S57" i="49"/>
  <c r="I57" i="49"/>
  <c r="S56" i="49"/>
  <c r="I56" i="49"/>
  <c r="M55" i="49"/>
  <c r="C55" i="49"/>
  <c r="S53" i="49"/>
  <c r="I53" i="49"/>
  <c r="S52" i="49"/>
  <c r="I52" i="49"/>
  <c r="S51" i="49"/>
  <c r="I51" i="49"/>
  <c r="S50" i="49"/>
  <c r="I50" i="49"/>
  <c r="S49" i="49"/>
  <c r="I49" i="49"/>
  <c r="S48" i="49"/>
  <c r="I48" i="49"/>
  <c r="S47" i="49"/>
  <c r="I47" i="49"/>
  <c r="S46" i="49"/>
  <c r="I46" i="49"/>
  <c r="S45" i="49"/>
  <c r="I45" i="49"/>
  <c r="S44" i="49"/>
  <c r="I44" i="49"/>
  <c r="S43" i="49"/>
  <c r="I43" i="49"/>
  <c r="M42" i="49"/>
  <c r="C42" i="49"/>
  <c r="S40" i="49"/>
  <c r="I40" i="49"/>
  <c r="S39" i="49"/>
  <c r="I39" i="49"/>
  <c r="S38" i="49"/>
  <c r="I38" i="49"/>
  <c r="S37" i="49"/>
  <c r="I37" i="49"/>
  <c r="S36" i="49"/>
  <c r="I36" i="49"/>
  <c r="S35" i="49"/>
  <c r="I35" i="49"/>
  <c r="S34" i="49"/>
  <c r="I34" i="49"/>
  <c r="S33" i="49"/>
  <c r="I33" i="49"/>
  <c r="S32" i="49"/>
  <c r="I32" i="49"/>
  <c r="S31" i="49"/>
  <c r="I31" i="49"/>
  <c r="S30" i="49"/>
  <c r="I30" i="49"/>
  <c r="M29" i="49"/>
  <c r="C29" i="49"/>
  <c r="S27" i="49"/>
  <c r="I27" i="49"/>
  <c r="S26" i="49"/>
  <c r="I26" i="49"/>
  <c r="S25" i="49"/>
  <c r="I25" i="49"/>
  <c r="S24" i="49"/>
  <c r="I24" i="49"/>
  <c r="S23" i="49"/>
  <c r="I23" i="49"/>
  <c r="S22" i="49"/>
  <c r="I22" i="49"/>
  <c r="S21" i="49"/>
  <c r="I21" i="49"/>
  <c r="S20" i="49"/>
  <c r="I20" i="49"/>
  <c r="S19" i="49"/>
  <c r="I19" i="49"/>
  <c r="S18" i="49"/>
  <c r="I18" i="49"/>
  <c r="S17" i="49"/>
  <c r="I17" i="49"/>
  <c r="M16" i="49"/>
  <c r="C16" i="49"/>
  <c r="S14" i="49"/>
  <c r="I14" i="49"/>
  <c r="S13" i="49"/>
  <c r="I13" i="49"/>
  <c r="S12" i="49"/>
  <c r="I12" i="49"/>
  <c r="S11" i="49"/>
  <c r="I11" i="49"/>
  <c r="S10" i="49"/>
  <c r="I10" i="49"/>
  <c r="S9" i="49"/>
  <c r="I9" i="49"/>
  <c r="S8" i="49"/>
  <c r="I8" i="49"/>
  <c r="S7" i="49"/>
  <c r="I7" i="49"/>
  <c r="S6" i="49"/>
  <c r="I6" i="49"/>
  <c r="S5" i="49"/>
  <c r="I5" i="49"/>
  <c r="S4" i="49"/>
  <c r="I4" i="49"/>
  <c r="M3" i="49"/>
  <c r="C3" i="49"/>
  <c r="C49" i="48"/>
  <c r="C50" i="48"/>
  <c r="C51" i="48"/>
  <c r="C52" i="48"/>
  <c r="C53" i="48"/>
  <c r="C54" i="48"/>
  <c r="C55" i="48"/>
  <c r="B49" i="48"/>
  <c r="B50" i="48"/>
  <c r="B51" i="48"/>
  <c r="B52" i="48"/>
  <c r="B53" i="48"/>
  <c r="B54" i="48"/>
  <c r="B55" i="48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8" i="19"/>
  <c r="C9" i="48"/>
  <c r="C10" i="48"/>
  <c r="C11" i="48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41" i="48"/>
  <c r="C42" i="48"/>
  <c r="C43" i="48"/>
  <c r="C44" i="48"/>
  <c r="C45" i="48"/>
  <c r="C46" i="48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S58" i="48"/>
  <c r="C48" i="48"/>
  <c r="B48" i="48"/>
  <c r="C8" i="48"/>
  <c r="B8" i="48"/>
  <c r="AM3" i="48"/>
  <c r="S3" i="48"/>
  <c r="W2" i="48"/>
  <c r="C49" i="19"/>
  <c r="C50" i="19"/>
  <c r="C51" i="19"/>
  <c r="C52" i="19"/>
  <c r="C53" i="19"/>
  <c r="C54" i="19"/>
  <c r="C55" i="19"/>
  <c r="B49" i="19"/>
  <c r="B50" i="19"/>
  <c r="B51" i="19"/>
  <c r="B52" i="19"/>
  <c r="B53" i="19"/>
  <c r="B54" i="19"/>
  <c r="B55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R50" i="47"/>
  <c r="C47" i="47"/>
  <c r="B47" i="47"/>
  <c r="C46" i="47"/>
  <c r="B46" i="47"/>
  <c r="C45" i="47"/>
  <c r="B45" i="47"/>
  <c r="C44" i="47"/>
  <c r="B44" i="47"/>
  <c r="C43" i="47"/>
  <c r="B43" i="47"/>
  <c r="C42" i="47"/>
  <c r="B42" i="47"/>
  <c r="C40" i="47"/>
  <c r="B40" i="47"/>
  <c r="C39" i="47"/>
  <c r="B39" i="47"/>
  <c r="C38" i="47"/>
  <c r="B38" i="47"/>
  <c r="C37" i="47"/>
  <c r="B37" i="47"/>
  <c r="C36" i="47"/>
  <c r="B36" i="47"/>
  <c r="C35" i="47"/>
  <c r="B35" i="47"/>
  <c r="C34" i="47"/>
  <c r="B34" i="47"/>
  <c r="C33" i="47"/>
  <c r="B33" i="47"/>
  <c r="C32" i="47"/>
  <c r="B32" i="47"/>
  <c r="C31" i="47"/>
  <c r="B31" i="47"/>
  <c r="C30" i="47"/>
  <c r="B30" i="47"/>
  <c r="C29" i="47"/>
  <c r="B29" i="47"/>
  <c r="C28" i="47"/>
  <c r="B28" i="47"/>
  <c r="B27" i="47"/>
  <c r="C26" i="47"/>
  <c r="B26" i="47"/>
  <c r="C25" i="47"/>
  <c r="B25" i="47"/>
  <c r="C24" i="47"/>
  <c r="B24" i="47"/>
  <c r="C23" i="47"/>
  <c r="B23" i="47"/>
  <c r="C22" i="47"/>
  <c r="B22" i="47"/>
  <c r="C21" i="47"/>
  <c r="B21" i="47"/>
  <c r="C20" i="47"/>
  <c r="B20" i="47"/>
  <c r="C19" i="47"/>
  <c r="B19" i="47"/>
  <c r="C18" i="47"/>
  <c r="B18" i="47"/>
  <c r="C17" i="47"/>
  <c r="B17" i="47"/>
  <c r="C16" i="47"/>
  <c r="B16" i="47"/>
  <c r="C15" i="47"/>
  <c r="B15" i="47"/>
  <c r="C14" i="47"/>
  <c r="B14" i="47"/>
  <c r="C13" i="47"/>
  <c r="B13" i="47"/>
  <c r="C12" i="47"/>
  <c r="B12" i="47"/>
  <c r="C11" i="47"/>
  <c r="B11" i="47"/>
  <c r="C10" i="47"/>
  <c r="B10" i="47"/>
  <c r="C9" i="47"/>
  <c r="B9" i="47"/>
  <c r="C8" i="47"/>
  <c r="B8" i="47"/>
  <c r="C7" i="47"/>
  <c r="B7" i="47"/>
  <c r="C6" i="47"/>
  <c r="B6" i="47"/>
  <c r="AL3" i="47"/>
  <c r="R3" i="47"/>
  <c r="V2" i="47"/>
  <c r="X2" i="47" s="1"/>
  <c r="B2" i="47"/>
  <c r="AD7" i="51" l="1"/>
  <c r="AB7" i="51" s="1"/>
  <c r="AD11" i="51"/>
  <c r="AD15" i="51"/>
  <c r="AB15" i="51" s="1"/>
  <c r="AD19" i="51"/>
  <c r="AB19" i="51" s="1"/>
  <c r="AD8" i="51"/>
  <c r="AD12" i="51"/>
  <c r="AD16" i="51"/>
  <c r="AD20" i="51"/>
  <c r="AB20" i="51" s="1"/>
  <c r="AD5" i="51"/>
  <c r="AB5" i="51" s="1"/>
  <c r="AD9" i="51"/>
  <c r="AD13" i="51"/>
  <c r="AB13" i="51" s="1"/>
  <c r="AD17" i="51"/>
  <c r="AB17" i="51" s="1"/>
  <c r="AD21" i="51"/>
  <c r="AB21" i="51" s="1"/>
  <c r="AD6" i="51"/>
  <c r="AB6" i="51" s="1"/>
  <c r="AD10" i="51"/>
  <c r="AB10" i="51" s="1"/>
  <c r="AD14" i="51"/>
  <c r="AB14" i="51" s="1"/>
  <c r="AD18" i="51"/>
  <c r="AB18" i="51" s="1"/>
  <c r="AD22" i="51"/>
  <c r="AB22" i="51" s="1"/>
  <c r="AB16" i="51"/>
  <c r="AB12" i="51"/>
  <c r="AB11" i="51"/>
  <c r="AB9" i="51"/>
  <c r="AB8" i="51"/>
  <c r="AP2" i="47"/>
  <c r="AR2" i="47" s="1"/>
  <c r="Y2" i="48"/>
  <c r="AQ2" i="48"/>
  <c r="AS2" i="48" s="1"/>
  <c r="BD4" i="47"/>
  <c r="BB4" i="47"/>
  <c r="AZ4" i="47"/>
  <c r="AX4" i="47"/>
  <c r="AV4" i="47"/>
  <c r="AT4" i="47"/>
  <c r="AR4" i="47"/>
  <c r="AP4" i="47"/>
  <c r="AN4" i="47"/>
  <c r="AI4" i="47"/>
  <c r="AG4" i="47"/>
  <c r="AE4" i="47"/>
  <c r="AC4" i="47"/>
  <c r="AA4" i="47"/>
  <c r="Y4" i="47"/>
  <c r="W4" i="47"/>
  <c r="U4" i="47"/>
  <c r="S4" i="47"/>
  <c r="BC4" i="47"/>
  <c r="BA4" i="47"/>
  <c r="AY4" i="47"/>
  <c r="AW4" i="47"/>
  <c r="AU4" i="47"/>
  <c r="AS4" i="47"/>
  <c r="AQ4" i="47"/>
  <c r="AO4" i="47"/>
  <c r="AM4" i="47"/>
  <c r="AJ4" i="47"/>
  <c r="U2" i="45" s="1"/>
  <c r="AH4" i="47"/>
  <c r="AF4" i="47"/>
  <c r="AD4" i="47"/>
  <c r="AB4" i="47"/>
  <c r="Z4" i="47"/>
  <c r="X4" i="47"/>
  <c r="V4" i="47"/>
  <c r="T4" i="47"/>
  <c r="S40" i="40"/>
  <c r="S25" i="39"/>
  <c r="E2" i="45" l="1"/>
  <c r="E2" i="43"/>
  <c r="I2" i="45"/>
  <c r="I2" i="43"/>
  <c r="M2" i="45"/>
  <c r="M2" i="43"/>
  <c r="Q2" i="45"/>
  <c r="Q2" i="43"/>
  <c r="D2" i="45"/>
  <c r="D2" i="43"/>
  <c r="H2" i="45"/>
  <c r="H2" i="43"/>
  <c r="L2" i="45"/>
  <c r="L2" i="43"/>
  <c r="P2" i="45"/>
  <c r="P2" i="43"/>
  <c r="T2" i="45"/>
  <c r="T2" i="43"/>
  <c r="G2" i="45"/>
  <c r="G2" i="43"/>
  <c r="K2" i="45"/>
  <c r="K2" i="43"/>
  <c r="O2" i="45"/>
  <c r="O2" i="43"/>
  <c r="S2" i="45"/>
  <c r="S2" i="43"/>
  <c r="F2" i="45"/>
  <c r="F2" i="43"/>
  <c r="J2" i="45"/>
  <c r="J2" i="43"/>
  <c r="N2" i="45"/>
  <c r="N2" i="43"/>
  <c r="R2" i="45"/>
  <c r="R2" i="43"/>
  <c r="BE4" i="48"/>
  <c r="BC4" i="48"/>
  <c r="BA4" i="48"/>
  <c r="AY4" i="48"/>
  <c r="AW4" i="48"/>
  <c r="AU4" i="48"/>
  <c r="AS4" i="48"/>
  <c r="AQ4" i="48"/>
  <c r="AO4" i="48"/>
  <c r="AK4" i="48"/>
  <c r="AI4" i="48"/>
  <c r="AG4" i="48"/>
  <c r="AE4" i="48"/>
  <c r="AC4" i="48"/>
  <c r="AA4" i="48"/>
  <c r="Y4" i="48"/>
  <c r="W4" i="48"/>
  <c r="U4" i="48"/>
  <c r="BE5" i="48"/>
  <c r="BC5" i="48"/>
  <c r="BA5" i="48"/>
  <c r="AY5" i="48"/>
  <c r="AW5" i="48"/>
  <c r="AU5" i="48"/>
  <c r="AS5" i="48"/>
  <c r="AQ5" i="48"/>
  <c r="AO5" i="48"/>
  <c r="AJ5" i="48"/>
  <c r="AH5" i="48"/>
  <c r="AF5" i="48"/>
  <c r="AD5" i="48"/>
  <c r="AB5" i="48"/>
  <c r="Z5" i="48"/>
  <c r="X5" i="48"/>
  <c r="V5" i="48"/>
  <c r="T5" i="48"/>
  <c r="BD4" i="48"/>
  <c r="BB4" i="48"/>
  <c r="AZ4" i="48"/>
  <c r="AX4" i="48"/>
  <c r="AV4" i="48"/>
  <c r="AT4" i="48"/>
  <c r="AR4" i="48"/>
  <c r="AP4" i="48"/>
  <c r="AN4" i="48"/>
  <c r="AJ4" i="48"/>
  <c r="AH4" i="48"/>
  <c r="AF4" i="48"/>
  <c r="AD4" i="48"/>
  <c r="AB4" i="48"/>
  <c r="Z4" i="48"/>
  <c r="X4" i="48"/>
  <c r="V4" i="48"/>
  <c r="T4" i="48"/>
  <c r="BD5" i="48"/>
  <c r="BB5" i="48"/>
  <c r="AZ5" i="48"/>
  <c r="AX5" i="48"/>
  <c r="AV5" i="48"/>
  <c r="AT5" i="48"/>
  <c r="AR5" i="48"/>
  <c r="AP5" i="48"/>
  <c r="AN5" i="48"/>
  <c r="AK5" i="48"/>
  <c r="AI5" i="48"/>
  <c r="AG5" i="48"/>
  <c r="AE5" i="48"/>
  <c r="AC5" i="48"/>
  <c r="AA5" i="48"/>
  <c r="Y5" i="48"/>
  <c r="W5" i="48"/>
  <c r="U5" i="48"/>
  <c r="T47" i="47"/>
  <c r="T46" i="47"/>
  <c r="T45" i="47"/>
  <c r="T44" i="47"/>
  <c r="T43" i="47"/>
  <c r="T42" i="47"/>
  <c r="T40" i="47"/>
  <c r="T39" i="47"/>
  <c r="T38" i="47"/>
  <c r="T37" i="47"/>
  <c r="T36" i="47"/>
  <c r="T35" i="47"/>
  <c r="T34" i="47"/>
  <c r="T33" i="47"/>
  <c r="T32" i="47"/>
  <c r="T31" i="47"/>
  <c r="T26" i="47"/>
  <c r="T25" i="47"/>
  <c r="T24" i="47"/>
  <c r="T23" i="47"/>
  <c r="T30" i="47"/>
  <c r="T29" i="47"/>
  <c r="T28" i="47"/>
  <c r="T27" i="47"/>
  <c r="T22" i="47"/>
  <c r="T21" i="47"/>
  <c r="T20" i="47"/>
  <c r="T19" i="47"/>
  <c r="T18" i="47"/>
  <c r="T17" i="47"/>
  <c r="T16" i="47"/>
  <c r="T15" i="47"/>
  <c r="T14" i="47"/>
  <c r="T13" i="47"/>
  <c r="T12" i="47"/>
  <c r="T11" i="47"/>
  <c r="T10" i="47"/>
  <c r="T9" i="47"/>
  <c r="T8" i="47"/>
  <c r="T7" i="47"/>
  <c r="T6" i="47"/>
  <c r="X47" i="47"/>
  <c r="X46" i="47"/>
  <c r="X45" i="47"/>
  <c r="X44" i="47"/>
  <c r="X43" i="47"/>
  <c r="X42" i="47"/>
  <c r="X40" i="47"/>
  <c r="X39" i="47"/>
  <c r="X38" i="47"/>
  <c r="X37" i="47"/>
  <c r="X36" i="47"/>
  <c r="X35" i="47"/>
  <c r="X34" i="47"/>
  <c r="X33" i="47"/>
  <c r="X32" i="47"/>
  <c r="X31" i="47"/>
  <c r="X26" i="47"/>
  <c r="X25" i="47"/>
  <c r="X24" i="47"/>
  <c r="X23" i="47"/>
  <c r="X30" i="47"/>
  <c r="X29" i="47"/>
  <c r="X28" i="47"/>
  <c r="X27" i="47"/>
  <c r="X22" i="47"/>
  <c r="X21" i="47"/>
  <c r="X20" i="47"/>
  <c r="X19" i="47"/>
  <c r="X18" i="47"/>
  <c r="X17" i="47"/>
  <c r="X16" i="47"/>
  <c r="X15" i="47"/>
  <c r="X14" i="47"/>
  <c r="X13" i="47"/>
  <c r="X12" i="47"/>
  <c r="X11" i="47"/>
  <c r="X10" i="47"/>
  <c r="X9" i="47"/>
  <c r="X8" i="47"/>
  <c r="X7" i="47"/>
  <c r="X6" i="47"/>
  <c r="AB47" i="47"/>
  <c r="AB46" i="47"/>
  <c r="AB45" i="47"/>
  <c r="AB44" i="47"/>
  <c r="AB43" i="47"/>
  <c r="AB42" i="47"/>
  <c r="AB40" i="47"/>
  <c r="AB39" i="47"/>
  <c r="AB38" i="47"/>
  <c r="AB37" i="47"/>
  <c r="AB36" i="47"/>
  <c r="AB35" i="47"/>
  <c r="AB34" i="47"/>
  <c r="AB33" i="47"/>
  <c r="AB32" i="47"/>
  <c r="AB31" i="47"/>
  <c r="AB26" i="47"/>
  <c r="AB25" i="47"/>
  <c r="AB24" i="47"/>
  <c r="AB23" i="47"/>
  <c r="AB30" i="47"/>
  <c r="AB29" i="47"/>
  <c r="AB28" i="47"/>
  <c r="AB27" i="47"/>
  <c r="AB22" i="47"/>
  <c r="AB21" i="47"/>
  <c r="AB20" i="47"/>
  <c r="AB19" i="47"/>
  <c r="AB18" i="47"/>
  <c r="AB17" i="47"/>
  <c r="AB16" i="47"/>
  <c r="AB15" i="47"/>
  <c r="AB14" i="47"/>
  <c r="AB13" i="47"/>
  <c r="AB12" i="47"/>
  <c r="AB11" i="47"/>
  <c r="AB10" i="47"/>
  <c r="AB9" i="47"/>
  <c r="AB8" i="47"/>
  <c r="AB7" i="47"/>
  <c r="AB6" i="47"/>
  <c r="AF47" i="47"/>
  <c r="AF46" i="47"/>
  <c r="AF45" i="47"/>
  <c r="AF44" i="47"/>
  <c r="AF43" i="47"/>
  <c r="AF42" i="47"/>
  <c r="AF40" i="47"/>
  <c r="AF39" i="47"/>
  <c r="AF38" i="47"/>
  <c r="AF37" i="47"/>
  <c r="AF36" i="47"/>
  <c r="AF35" i="47"/>
  <c r="AF34" i="47"/>
  <c r="AF33" i="47"/>
  <c r="AF32" i="47"/>
  <c r="AF31" i="47"/>
  <c r="AF26" i="47"/>
  <c r="AF25" i="47"/>
  <c r="AF24" i="47"/>
  <c r="AF23" i="47"/>
  <c r="AF30" i="47"/>
  <c r="AF29" i="47"/>
  <c r="AF28" i="47"/>
  <c r="AF27" i="47"/>
  <c r="AF22" i="47"/>
  <c r="AF21" i="47"/>
  <c r="AF20" i="47"/>
  <c r="AF19" i="47"/>
  <c r="AF18" i="47"/>
  <c r="AF17" i="47"/>
  <c r="AF16" i="47"/>
  <c r="AF15" i="47"/>
  <c r="AF14" i="47"/>
  <c r="AF13" i="47"/>
  <c r="AF12" i="47"/>
  <c r="AF11" i="47"/>
  <c r="AF10" i="47"/>
  <c r="AF9" i="47"/>
  <c r="AF8" i="47"/>
  <c r="AF7" i="47"/>
  <c r="AF6" i="47"/>
  <c r="AJ47" i="47"/>
  <c r="AJ46" i="47"/>
  <c r="AJ45" i="47"/>
  <c r="AJ44" i="47"/>
  <c r="AJ43" i="47"/>
  <c r="AJ42" i="47"/>
  <c r="AJ40" i="47"/>
  <c r="AJ39" i="47"/>
  <c r="AJ38" i="47"/>
  <c r="AJ37" i="47"/>
  <c r="AJ36" i="47"/>
  <c r="AJ35" i="47"/>
  <c r="AJ34" i="47"/>
  <c r="AJ33" i="47"/>
  <c r="AJ32" i="47"/>
  <c r="AJ31" i="47"/>
  <c r="AJ26" i="47"/>
  <c r="AJ25" i="47"/>
  <c r="AJ24" i="47"/>
  <c r="AJ23" i="47"/>
  <c r="AJ30" i="47"/>
  <c r="AJ29" i="47"/>
  <c r="AJ28" i="47"/>
  <c r="AJ27" i="47"/>
  <c r="AJ22" i="47"/>
  <c r="AJ21" i="47"/>
  <c r="AJ20" i="47"/>
  <c r="AJ19" i="47"/>
  <c r="AJ18" i="47"/>
  <c r="AJ17" i="47"/>
  <c r="AJ16" i="47"/>
  <c r="AJ15" i="47"/>
  <c r="AJ14" i="47"/>
  <c r="AJ13" i="47"/>
  <c r="AJ12" i="47"/>
  <c r="AJ11" i="47"/>
  <c r="AJ10" i="47"/>
  <c r="AJ9" i="47"/>
  <c r="AJ8" i="47"/>
  <c r="AJ7" i="47"/>
  <c r="AJ6" i="47"/>
  <c r="AO47" i="47"/>
  <c r="AO46" i="47"/>
  <c r="AO45" i="47"/>
  <c r="AO44" i="47"/>
  <c r="AO43" i="47"/>
  <c r="AO42" i="47"/>
  <c r="AO40" i="47"/>
  <c r="AO39" i="47"/>
  <c r="AO38" i="47"/>
  <c r="AO37" i="47"/>
  <c r="AO36" i="47"/>
  <c r="AO35" i="47"/>
  <c r="AO34" i="47"/>
  <c r="AO33" i="47"/>
  <c r="AO32" i="47"/>
  <c r="AO31" i="47"/>
  <c r="AO26" i="47"/>
  <c r="AO25" i="47"/>
  <c r="AO24" i="47"/>
  <c r="AO23" i="47"/>
  <c r="AO30" i="47"/>
  <c r="AO29" i="47"/>
  <c r="AO28" i="47"/>
  <c r="AO27" i="47"/>
  <c r="AO22" i="47"/>
  <c r="AO21" i="47"/>
  <c r="AO20" i="47"/>
  <c r="AO19" i="47"/>
  <c r="AO18" i="47"/>
  <c r="AO17" i="47"/>
  <c r="AO16" i="47"/>
  <c r="AO15" i="47"/>
  <c r="AO14" i="47"/>
  <c r="AO13" i="47"/>
  <c r="AO12" i="47"/>
  <c r="AO11" i="47"/>
  <c r="AO10" i="47"/>
  <c r="AO9" i="47"/>
  <c r="AO8" i="47"/>
  <c r="AO7" i="47"/>
  <c r="AO6" i="47"/>
  <c r="AS47" i="47"/>
  <c r="AS46" i="47"/>
  <c r="AS45" i="47"/>
  <c r="AS44" i="47"/>
  <c r="AS43" i="47"/>
  <c r="AS42" i="47"/>
  <c r="AS40" i="47"/>
  <c r="AS39" i="47"/>
  <c r="AS38" i="47"/>
  <c r="AS37" i="47"/>
  <c r="AS36" i="47"/>
  <c r="AS35" i="47"/>
  <c r="AS34" i="47"/>
  <c r="AS33" i="47"/>
  <c r="AS32" i="47"/>
  <c r="AS31" i="47"/>
  <c r="AS26" i="47"/>
  <c r="AS25" i="47"/>
  <c r="AS24" i="47"/>
  <c r="AS23" i="47"/>
  <c r="AS30" i="47"/>
  <c r="AS29" i="47"/>
  <c r="AS28" i="47"/>
  <c r="AS27" i="47"/>
  <c r="AS22" i="47"/>
  <c r="AS21" i="47"/>
  <c r="AS20" i="47"/>
  <c r="AS19" i="47"/>
  <c r="AS18" i="47"/>
  <c r="AS17" i="47"/>
  <c r="AS16" i="47"/>
  <c r="AS15" i="47"/>
  <c r="AS14" i="47"/>
  <c r="AS13" i="47"/>
  <c r="AS12" i="47"/>
  <c r="AS11" i="47"/>
  <c r="AS10" i="47"/>
  <c r="AS9" i="47"/>
  <c r="AS8" i="47"/>
  <c r="AS7" i="47"/>
  <c r="AS6" i="47"/>
  <c r="AW47" i="47"/>
  <c r="AW46" i="47"/>
  <c r="AW45" i="47"/>
  <c r="AW44" i="47"/>
  <c r="AW43" i="47"/>
  <c r="AW42" i="47"/>
  <c r="AW40" i="47"/>
  <c r="AW39" i="47"/>
  <c r="AW38" i="47"/>
  <c r="AW37" i="47"/>
  <c r="AW36" i="47"/>
  <c r="AW35" i="47"/>
  <c r="AW34" i="47"/>
  <c r="AW33" i="47"/>
  <c r="AW32" i="47"/>
  <c r="AW31" i="47"/>
  <c r="AW26" i="47"/>
  <c r="AW25" i="47"/>
  <c r="AW24" i="47"/>
  <c r="AW23" i="47"/>
  <c r="AW30" i="47"/>
  <c r="AW29" i="47"/>
  <c r="AW28" i="47"/>
  <c r="AW27" i="47"/>
  <c r="AW22" i="47"/>
  <c r="AW21" i="47"/>
  <c r="AW20" i="47"/>
  <c r="AW19" i="47"/>
  <c r="AW18" i="47"/>
  <c r="AW17" i="47"/>
  <c r="AW16" i="47"/>
  <c r="AW15" i="47"/>
  <c r="AW14" i="47"/>
  <c r="AW13" i="47"/>
  <c r="AW12" i="47"/>
  <c r="AW11" i="47"/>
  <c r="AW10" i="47"/>
  <c r="AW9" i="47"/>
  <c r="AW8" i="47"/>
  <c r="AW7" i="47"/>
  <c r="AW6" i="47"/>
  <c r="BA47" i="47"/>
  <c r="BA46" i="47"/>
  <c r="BA45" i="47"/>
  <c r="BA44" i="47"/>
  <c r="BA43" i="47"/>
  <c r="BA42" i="47"/>
  <c r="BA40" i="47"/>
  <c r="BA39" i="47"/>
  <c r="BA38" i="47"/>
  <c r="BA37" i="47"/>
  <c r="BA36" i="47"/>
  <c r="BA35" i="47"/>
  <c r="BA34" i="47"/>
  <c r="BA33" i="47"/>
  <c r="BA32" i="47"/>
  <c r="BA31" i="47"/>
  <c r="BA26" i="47"/>
  <c r="BA25" i="47"/>
  <c r="BA24" i="47"/>
  <c r="BA23" i="47"/>
  <c r="BA22" i="47"/>
  <c r="BA30" i="47"/>
  <c r="BA29" i="47"/>
  <c r="BA28" i="47"/>
  <c r="BA27" i="47"/>
  <c r="BA21" i="47"/>
  <c r="BA20" i="47"/>
  <c r="BA19" i="47"/>
  <c r="BA18" i="47"/>
  <c r="BA17" i="47"/>
  <c r="BA16" i="47"/>
  <c r="BA15" i="47"/>
  <c r="BA14" i="47"/>
  <c r="BA13" i="47"/>
  <c r="BA12" i="47"/>
  <c r="BA11" i="47"/>
  <c r="BA10" i="47"/>
  <c r="BA9" i="47"/>
  <c r="BA8" i="47"/>
  <c r="BA7" i="47"/>
  <c r="BA6" i="47"/>
  <c r="S47" i="47"/>
  <c r="S46" i="47"/>
  <c r="S45" i="47"/>
  <c r="S44" i="47"/>
  <c r="S43" i="47"/>
  <c r="S42" i="47"/>
  <c r="S40" i="47"/>
  <c r="S39" i="47"/>
  <c r="S38" i="47"/>
  <c r="S37" i="47"/>
  <c r="S36" i="47"/>
  <c r="S35" i="47"/>
  <c r="S34" i="47"/>
  <c r="S33" i="47"/>
  <c r="S32" i="47"/>
  <c r="S31" i="47"/>
  <c r="S30" i="47"/>
  <c r="S29" i="47"/>
  <c r="S28" i="47"/>
  <c r="S27" i="47"/>
  <c r="S26" i="47"/>
  <c r="S25" i="47"/>
  <c r="S24" i="47"/>
  <c r="S23" i="47"/>
  <c r="S22" i="47"/>
  <c r="S21" i="47"/>
  <c r="S20" i="47"/>
  <c r="S19" i="47"/>
  <c r="S18" i="47"/>
  <c r="S17" i="47"/>
  <c r="S16" i="47"/>
  <c r="S15" i="47"/>
  <c r="S14" i="47"/>
  <c r="S13" i="47"/>
  <c r="S12" i="47"/>
  <c r="S11" i="47"/>
  <c r="S10" i="47"/>
  <c r="S9" i="47"/>
  <c r="S8" i="47"/>
  <c r="S7" i="47"/>
  <c r="S6" i="47"/>
  <c r="R4" i="47"/>
  <c r="W47" i="47"/>
  <c r="W46" i="47"/>
  <c r="W45" i="47"/>
  <c r="W44" i="47"/>
  <c r="W43" i="47"/>
  <c r="W42" i="47"/>
  <c r="W40" i="47"/>
  <c r="W39" i="47"/>
  <c r="W38" i="47"/>
  <c r="W37" i="47"/>
  <c r="W36" i="47"/>
  <c r="W35" i="47"/>
  <c r="W34" i="47"/>
  <c r="W33" i="47"/>
  <c r="W32" i="47"/>
  <c r="W31" i="47"/>
  <c r="W30" i="47"/>
  <c r="W29" i="47"/>
  <c r="W28" i="47"/>
  <c r="W27" i="47"/>
  <c r="W26" i="47"/>
  <c r="W25" i="47"/>
  <c r="W24" i="47"/>
  <c r="W23" i="47"/>
  <c r="W22" i="47"/>
  <c r="W21" i="47"/>
  <c r="W20" i="47"/>
  <c r="W19" i="47"/>
  <c r="W18" i="47"/>
  <c r="W17" i="47"/>
  <c r="W16" i="47"/>
  <c r="W15" i="47"/>
  <c r="W14" i="47"/>
  <c r="W13" i="47"/>
  <c r="W12" i="47"/>
  <c r="W11" i="47"/>
  <c r="W10" i="47"/>
  <c r="W9" i="47"/>
  <c r="W8" i="47"/>
  <c r="W7" i="47"/>
  <c r="W6" i="47"/>
  <c r="AA47" i="47"/>
  <c r="AA46" i="47"/>
  <c r="AA45" i="47"/>
  <c r="AA44" i="47"/>
  <c r="AA43" i="47"/>
  <c r="AA42" i="47"/>
  <c r="AA40" i="47"/>
  <c r="AA39" i="47"/>
  <c r="AA38" i="47"/>
  <c r="AA37" i="47"/>
  <c r="AA36" i="47"/>
  <c r="AA35" i="47"/>
  <c r="AA34" i="47"/>
  <c r="AA33" i="47"/>
  <c r="AA32" i="47"/>
  <c r="AA31" i="47"/>
  <c r="AA30" i="47"/>
  <c r="AA29" i="47"/>
  <c r="AA28" i="47"/>
  <c r="AA27" i="47"/>
  <c r="AA26" i="47"/>
  <c r="AA25" i="47"/>
  <c r="AA24" i="47"/>
  <c r="AA23" i="47"/>
  <c r="AA22" i="47"/>
  <c r="AA21" i="47"/>
  <c r="AA20" i="47"/>
  <c r="AA19" i="47"/>
  <c r="AA18" i="47"/>
  <c r="AA17" i="47"/>
  <c r="AA16" i="47"/>
  <c r="AA15" i="47"/>
  <c r="AA14" i="47"/>
  <c r="AA13" i="47"/>
  <c r="AA12" i="47"/>
  <c r="AA11" i="47"/>
  <c r="AA10" i="47"/>
  <c r="AA9" i="47"/>
  <c r="AA8" i="47"/>
  <c r="AA7" i="47"/>
  <c r="AA6" i="47"/>
  <c r="AE47" i="47"/>
  <c r="AE46" i="47"/>
  <c r="AE45" i="47"/>
  <c r="AE44" i="47"/>
  <c r="AE43" i="47"/>
  <c r="AE42" i="47"/>
  <c r="AE40" i="47"/>
  <c r="AE39" i="47"/>
  <c r="AE38" i="47"/>
  <c r="AE37" i="47"/>
  <c r="AE36" i="47"/>
  <c r="AE35" i="47"/>
  <c r="AE34" i="47"/>
  <c r="AE33" i="47"/>
  <c r="AE32" i="47"/>
  <c r="AE31" i="47"/>
  <c r="AE30" i="47"/>
  <c r="AE29" i="47"/>
  <c r="AE28" i="47"/>
  <c r="AE27" i="47"/>
  <c r="AE26" i="47"/>
  <c r="AE25" i="47"/>
  <c r="AE24" i="47"/>
  <c r="AE23" i="47"/>
  <c r="AE22" i="47"/>
  <c r="AE21" i="47"/>
  <c r="AE20" i="47"/>
  <c r="AE19" i="47"/>
  <c r="AE18" i="47"/>
  <c r="AE17" i="47"/>
  <c r="AE16" i="47"/>
  <c r="AE15" i="47"/>
  <c r="AE14" i="47"/>
  <c r="AE13" i="47"/>
  <c r="AE12" i="47"/>
  <c r="AE11" i="47"/>
  <c r="AE10" i="47"/>
  <c r="AE9" i="47"/>
  <c r="AE8" i="47"/>
  <c r="AE7" i="47"/>
  <c r="AE6" i="47"/>
  <c r="AI47" i="47"/>
  <c r="AI46" i="47"/>
  <c r="AI45" i="47"/>
  <c r="AI44" i="47"/>
  <c r="AI43" i="47"/>
  <c r="AI42" i="47"/>
  <c r="AI40" i="47"/>
  <c r="AI39" i="47"/>
  <c r="AI38" i="47"/>
  <c r="AI37" i="47"/>
  <c r="AI36" i="47"/>
  <c r="AI35" i="47"/>
  <c r="AI34" i="47"/>
  <c r="AI33" i="47"/>
  <c r="AI32" i="47"/>
  <c r="AI31" i="47"/>
  <c r="AI30" i="47"/>
  <c r="AI29" i="47"/>
  <c r="AI28" i="47"/>
  <c r="AI27" i="47"/>
  <c r="AI26" i="47"/>
  <c r="AI25" i="47"/>
  <c r="AI24" i="47"/>
  <c r="AI23" i="47"/>
  <c r="AI22" i="47"/>
  <c r="AI21" i="47"/>
  <c r="AI20" i="47"/>
  <c r="AI19" i="47"/>
  <c r="AI18" i="47"/>
  <c r="AI17" i="47"/>
  <c r="AI16" i="47"/>
  <c r="AI15" i="47"/>
  <c r="AI14" i="47"/>
  <c r="AI13" i="47"/>
  <c r="AI12" i="47"/>
  <c r="AI11" i="47"/>
  <c r="AI10" i="47"/>
  <c r="AI9" i="47"/>
  <c r="AI8" i="47"/>
  <c r="AI7" i="47"/>
  <c r="AI6" i="47"/>
  <c r="AP47" i="47"/>
  <c r="AP46" i="47"/>
  <c r="AP45" i="47"/>
  <c r="AP44" i="47"/>
  <c r="AP43" i="47"/>
  <c r="AP42" i="47"/>
  <c r="AP40" i="47"/>
  <c r="AP39" i="47"/>
  <c r="AP38" i="47"/>
  <c r="AP37" i="47"/>
  <c r="AP36" i="47"/>
  <c r="AP35" i="47"/>
  <c r="AP34" i="47"/>
  <c r="AP33" i="47"/>
  <c r="AP32" i="47"/>
  <c r="AP31" i="47"/>
  <c r="AP30" i="47"/>
  <c r="AP29" i="47"/>
  <c r="AP28" i="47"/>
  <c r="AP27" i="47"/>
  <c r="AP26" i="47"/>
  <c r="AP25" i="47"/>
  <c r="AP24" i="47"/>
  <c r="AP23" i="47"/>
  <c r="AP22" i="47"/>
  <c r="AP21" i="47"/>
  <c r="AP20" i="47"/>
  <c r="AP19" i="47"/>
  <c r="AP18" i="47"/>
  <c r="AP17" i="47"/>
  <c r="AP16" i="47"/>
  <c r="AP15" i="47"/>
  <c r="AP14" i="47"/>
  <c r="AP13" i="47"/>
  <c r="AP12" i="47"/>
  <c r="AP11" i="47"/>
  <c r="AP10" i="47"/>
  <c r="AP9" i="47"/>
  <c r="AP8" i="47"/>
  <c r="AP7" i="47"/>
  <c r="AP6" i="47"/>
  <c r="AT47" i="47"/>
  <c r="AT46" i="47"/>
  <c r="AT45" i="47"/>
  <c r="AT44" i="47"/>
  <c r="AT43" i="47"/>
  <c r="AT42" i="47"/>
  <c r="AT40" i="47"/>
  <c r="AT39" i="47"/>
  <c r="AT38" i="47"/>
  <c r="AT37" i="47"/>
  <c r="AT36" i="47"/>
  <c r="AT35" i="47"/>
  <c r="AT34" i="47"/>
  <c r="AT33" i="47"/>
  <c r="AT32" i="47"/>
  <c r="AT31" i="47"/>
  <c r="AT30" i="47"/>
  <c r="AT29" i="47"/>
  <c r="AT28" i="47"/>
  <c r="AT27" i="47"/>
  <c r="AT26" i="47"/>
  <c r="AT25" i="47"/>
  <c r="AT24" i="47"/>
  <c r="AT23" i="47"/>
  <c r="AT22" i="47"/>
  <c r="AT21" i="47"/>
  <c r="AT20" i="47"/>
  <c r="AT19" i="47"/>
  <c r="AT18" i="47"/>
  <c r="AT17" i="47"/>
  <c r="AT16" i="47"/>
  <c r="AT15" i="47"/>
  <c r="AT14" i="47"/>
  <c r="AT13" i="47"/>
  <c r="AT12" i="47"/>
  <c r="AT11" i="47"/>
  <c r="AT10" i="47"/>
  <c r="AT9" i="47"/>
  <c r="AT8" i="47"/>
  <c r="AT7" i="47"/>
  <c r="AT6" i="47"/>
  <c r="AX47" i="47"/>
  <c r="AX46" i="47"/>
  <c r="AX45" i="47"/>
  <c r="AX44" i="47"/>
  <c r="AX43" i="47"/>
  <c r="AX42" i="47"/>
  <c r="AX40" i="47"/>
  <c r="AX39" i="47"/>
  <c r="AX38" i="47"/>
  <c r="AX37" i="47"/>
  <c r="AX36" i="47"/>
  <c r="AX35" i="47"/>
  <c r="AX34" i="47"/>
  <c r="AX33" i="47"/>
  <c r="AX32" i="47"/>
  <c r="AX31" i="47"/>
  <c r="AX30" i="47"/>
  <c r="AX29" i="47"/>
  <c r="AX28" i="47"/>
  <c r="AX27" i="47"/>
  <c r="AX26" i="47"/>
  <c r="AX25" i="47"/>
  <c r="AX24" i="47"/>
  <c r="AX23" i="47"/>
  <c r="AX22" i="47"/>
  <c r="AX21" i="47"/>
  <c r="AX20" i="47"/>
  <c r="AX19" i="47"/>
  <c r="AX18" i="47"/>
  <c r="AX17" i="47"/>
  <c r="AX16" i="47"/>
  <c r="AX15" i="47"/>
  <c r="AX14" i="47"/>
  <c r="AX13" i="47"/>
  <c r="AX12" i="47"/>
  <c r="AX11" i="47"/>
  <c r="AX10" i="47"/>
  <c r="AX9" i="47"/>
  <c r="AX8" i="47"/>
  <c r="AX7" i="47"/>
  <c r="AX6" i="47"/>
  <c r="BB47" i="47"/>
  <c r="BB46" i="47"/>
  <c r="BB45" i="47"/>
  <c r="BB44" i="47"/>
  <c r="BB43" i="47"/>
  <c r="BB42" i="47"/>
  <c r="BB40" i="47"/>
  <c r="BB39" i="47"/>
  <c r="BB38" i="47"/>
  <c r="BB37" i="47"/>
  <c r="BB36" i="47"/>
  <c r="BB35" i="47"/>
  <c r="BB34" i="47"/>
  <c r="BB33" i="47"/>
  <c r="BB32" i="47"/>
  <c r="BB31" i="47"/>
  <c r="BB30" i="47"/>
  <c r="BB29" i="47"/>
  <c r="BB28" i="47"/>
  <c r="BB27" i="47"/>
  <c r="BB26" i="47"/>
  <c r="BB25" i="47"/>
  <c r="BB24" i="47"/>
  <c r="BB23" i="47"/>
  <c r="BB22" i="47"/>
  <c r="BB21" i="47"/>
  <c r="BB20" i="47"/>
  <c r="BB19" i="47"/>
  <c r="BB18" i="47"/>
  <c r="BB17" i="47"/>
  <c r="BB16" i="47"/>
  <c r="BB15" i="47"/>
  <c r="BB14" i="47"/>
  <c r="BB13" i="47"/>
  <c r="BB12" i="47"/>
  <c r="BB11" i="47"/>
  <c r="BB10" i="47"/>
  <c r="BB9" i="47"/>
  <c r="BB8" i="47"/>
  <c r="BB7" i="47"/>
  <c r="BB6" i="47"/>
  <c r="V47" i="47"/>
  <c r="V46" i="47"/>
  <c r="V45" i="47"/>
  <c r="V44" i="47"/>
  <c r="V43" i="47"/>
  <c r="V42" i="47"/>
  <c r="V40" i="47"/>
  <c r="V39" i="47"/>
  <c r="V38" i="47"/>
  <c r="V37" i="47"/>
  <c r="V36" i="47"/>
  <c r="V35" i="47"/>
  <c r="V34" i="47"/>
  <c r="V33" i="47"/>
  <c r="V32" i="47"/>
  <c r="V31" i="47"/>
  <c r="V26" i="47"/>
  <c r="V25" i="47"/>
  <c r="V24" i="47"/>
  <c r="V23" i="47"/>
  <c r="V30" i="47"/>
  <c r="V29" i="47"/>
  <c r="V28" i="47"/>
  <c r="V27" i="47"/>
  <c r="V22" i="47"/>
  <c r="V21" i="47"/>
  <c r="V20" i="47"/>
  <c r="V19" i="47"/>
  <c r="V18" i="47"/>
  <c r="V17" i="47"/>
  <c r="V16" i="47"/>
  <c r="V15" i="47"/>
  <c r="V14" i="47"/>
  <c r="V13" i="47"/>
  <c r="V12" i="47"/>
  <c r="V11" i="47"/>
  <c r="V10" i="47"/>
  <c r="V9" i="47"/>
  <c r="V8" i="47"/>
  <c r="V7" i="47"/>
  <c r="V6" i="47"/>
  <c r="Z47" i="47"/>
  <c r="Z46" i="47"/>
  <c r="Z45" i="47"/>
  <c r="Z44" i="47"/>
  <c r="Z43" i="47"/>
  <c r="Z42" i="47"/>
  <c r="Z40" i="47"/>
  <c r="Z39" i="47"/>
  <c r="Z38" i="47"/>
  <c r="Z37" i="47"/>
  <c r="Z36" i="47"/>
  <c r="Z35" i="47"/>
  <c r="Z34" i="47"/>
  <c r="Z33" i="47"/>
  <c r="Z32" i="47"/>
  <c r="Z31" i="47"/>
  <c r="Z26" i="47"/>
  <c r="Z25" i="47"/>
  <c r="Z24" i="47"/>
  <c r="Z23" i="47"/>
  <c r="Z30" i="47"/>
  <c r="Z29" i="47"/>
  <c r="Z28" i="47"/>
  <c r="Z27" i="47"/>
  <c r="Z22" i="47"/>
  <c r="Z21" i="47"/>
  <c r="Z20" i="47"/>
  <c r="Z19" i="47"/>
  <c r="Z18" i="47"/>
  <c r="Z17" i="47"/>
  <c r="Z16" i="47"/>
  <c r="Z15" i="47"/>
  <c r="Z14" i="47"/>
  <c r="Z13" i="47"/>
  <c r="Z12" i="47"/>
  <c r="Z11" i="47"/>
  <c r="Z10" i="47"/>
  <c r="Z9" i="47"/>
  <c r="Z8" i="47"/>
  <c r="Z7" i="47"/>
  <c r="Z6" i="47"/>
  <c r="AD47" i="47"/>
  <c r="AD46" i="47"/>
  <c r="AD45" i="47"/>
  <c r="AD44" i="47"/>
  <c r="AD43" i="47"/>
  <c r="AD42" i="47"/>
  <c r="AD40" i="47"/>
  <c r="AD39" i="47"/>
  <c r="AD38" i="47"/>
  <c r="AD37" i="47"/>
  <c r="AD36" i="47"/>
  <c r="AD35" i="47"/>
  <c r="AD34" i="47"/>
  <c r="AD33" i="47"/>
  <c r="AD32" i="47"/>
  <c r="AD31" i="47"/>
  <c r="AD26" i="47"/>
  <c r="AD25" i="47"/>
  <c r="AD24" i="47"/>
  <c r="AD23" i="47"/>
  <c r="AD30" i="47"/>
  <c r="AD29" i="47"/>
  <c r="AD28" i="47"/>
  <c r="AD27" i="47"/>
  <c r="AD22" i="47"/>
  <c r="AD21" i="47"/>
  <c r="AD20" i="47"/>
  <c r="AD19" i="47"/>
  <c r="AD18" i="47"/>
  <c r="AD17" i="47"/>
  <c r="AD16" i="47"/>
  <c r="AD15" i="47"/>
  <c r="AD14" i="47"/>
  <c r="AD13" i="47"/>
  <c r="AD12" i="47"/>
  <c r="AD11" i="47"/>
  <c r="AD10" i="47"/>
  <c r="AD9" i="47"/>
  <c r="AD8" i="47"/>
  <c r="AD7" i="47"/>
  <c r="AD6" i="47"/>
  <c r="AH47" i="47"/>
  <c r="AH46" i="47"/>
  <c r="AH45" i="47"/>
  <c r="AH44" i="47"/>
  <c r="AH43" i="47"/>
  <c r="AH42" i="47"/>
  <c r="AH40" i="47"/>
  <c r="AH39" i="47"/>
  <c r="AH38" i="47"/>
  <c r="AH37" i="47"/>
  <c r="AH36" i="47"/>
  <c r="AH35" i="47"/>
  <c r="AH34" i="47"/>
  <c r="AH33" i="47"/>
  <c r="AH32" i="47"/>
  <c r="AH31" i="47"/>
  <c r="AH26" i="47"/>
  <c r="AH25" i="47"/>
  <c r="AH24" i="47"/>
  <c r="AH23" i="47"/>
  <c r="AH30" i="47"/>
  <c r="AH29" i="47"/>
  <c r="AH28" i="47"/>
  <c r="AH27" i="47"/>
  <c r="AH22" i="47"/>
  <c r="AH21" i="47"/>
  <c r="AH20" i="47"/>
  <c r="AH19" i="47"/>
  <c r="AH18" i="47"/>
  <c r="AH17" i="47"/>
  <c r="AH16" i="47"/>
  <c r="AH15" i="47"/>
  <c r="AH14" i="47"/>
  <c r="AH13" i="47"/>
  <c r="AH12" i="47"/>
  <c r="AH11" i="47"/>
  <c r="AH10" i="47"/>
  <c r="AH9" i="47"/>
  <c r="AH8" i="47"/>
  <c r="AH7" i="47"/>
  <c r="AH6" i="47"/>
  <c r="AM47" i="47"/>
  <c r="AM46" i="47"/>
  <c r="AM45" i="47"/>
  <c r="AM44" i="47"/>
  <c r="AM43" i="47"/>
  <c r="AM42" i="47"/>
  <c r="AM40" i="47"/>
  <c r="AM39" i="47"/>
  <c r="AM38" i="47"/>
  <c r="AM37" i="47"/>
  <c r="AM36" i="47"/>
  <c r="AM35" i="47"/>
  <c r="AM34" i="47"/>
  <c r="AM33" i="47"/>
  <c r="AM32" i="47"/>
  <c r="AM31" i="47"/>
  <c r="AM26" i="47"/>
  <c r="AM25" i="47"/>
  <c r="AM24" i="47"/>
  <c r="AM23" i="47"/>
  <c r="AM30" i="47"/>
  <c r="AM29" i="47"/>
  <c r="AM28" i="47"/>
  <c r="AM27" i="47"/>
  <c r="AM22" i="47"/>
  <c r="AM21" i="47"/>
  <c r="AM20" i="47"/>
  <c r="AM19" i="47"/>
  <c r="AM18" i="47"/>
  <c r="AM17" i="47"/>
  <c r="AM16" i="47"/>
  <c r="AM15" i="47"/>
  <c r="AM14" i="47"/>
  <c r="AM13" i="47"/>
  <c r="AM12" i="47"/>
  <c r="AM11" i="47"/>
  <c r="AM10" i="47"/>
  <c r="AM9" i="47"/>
  <c r="AM8" i="47"/>
  <c r="AM7" i="47"/>
  <c r="AL4" i="47"/>
  <c r="AM6" i="47"/>
  <c r="AQ47" i="47"/>
  <c r="AQ46" i="47"/>
  <c r="AQ45" i="47"/>
  <c r="AQ44" i="47"/>
  <c r="AQ43" i="47"/>
  <c r="AQ42" i="47"/>
  <c r="AQ40" i="47"/>
  <c r="AQ39" i="47"/>
  <c r="AQ38" i="47"/>
  <c r="AQ37" i="47"/>
  <c r="AQ36" i="47"/>
  <c r="AQ35" i="47"/>
  <c r="AQ34" i="47"/>
  <c r="AQ33" i="47"/>
  <c r="AQ32" i="47"/>
  <c r="AQ31" i="47"/>
  <c r="AQ26" i="47"/>
  <c r="AQ25" i="47"/>
  <c r="AQ24" i="47"/>
  <c r="AQ23" i="47"/>
  <c r="AQ30" i="47"/>
  <c r="AQ29" i="47"/>
  <c r="AQ28" i="47"/>
  <c r="AQ27" i="47"/>
  <c r="AQ22" i="47"/>
  <c r="AQ21" i="47"/>
  <c r="AQ20" i="47"/>
  <c r="AQ19" i="47"/>
  <c r="AQ18" i="47"/>
  <c r="AQ17" i="47"/>
  <c r="AQ16" i="47"/>
  <c r="AQ15" i="47"/>
  <c r="AQ14" i="47"/>
  <c r="AQ13" i="47"/>
  <c r="AQ12" i="47"/>
  <c r="AQ11" i="47"/>
  <c r="AQ10" i="47"/>
  <c r="AQ9" i="47"/>
  <c r="AQ8" i="47"/>
  <c r="AQ7" i="47"/>
  <c r="AQ6" i="47"/>
  <c r="AU47" i="47"/>
  <c r="AU46" i="47"/>
  <c r="AU45" i="47"/>
  <c r="AU44" i="47"/>
  <c r="AU43" i="47"/>
  <c r="AU42" i="47"/>
  <c r="AU40" i="47"/>
  <c r="AU39" i="47"/>
  <c r="AU38" i="47"/>
  <c r="AU37" i="47"/>
  <c r="AU36" i="47"/>
  <c r="AU35" i="47"/>
  <c r="AU34" i="47"/>
  <c r="AU33" i="47"/>
  <c r="AU32" i="47"/>
  <c r="AU31" i="47"/>
  <c r="AU26" i="47"/>
  <c r="AU25" i="47"/>
  <c r="AU24" i="47"/>
  <c r="AU23" i="47"/>
  <c r="AU30" i="47"/>
  <c r="AU29" i="47"/>
  <c r="AU28" i="47"/>
  <c r="AU27" i="47"/>
  <c r="AU22" i="47"/>
  <c r="AU21" i="47"/>
  <c r="AU20" i="47"/>
  <c r="AU19" i="47"/>
  <c r="AU18" i="47"/>
  <c r="AU17" i="47"/>
  <c r="AU16" i="47"/>
  <c r="AU15" i="47"/>
  <c r="AU14" i="47"/>
  <c r="AU13" i="47"/>
  <c r="AU12" i="47"/>
  <c r="AU11" i="47"/>
  <c r="AU10" i="47"/>
  <c r="AU9" i="47"/>
  <c r="AU8" i="47"/>
  <c r="AU7" i="47"/>
  <c r="AU6" i="47"/>
  <c r="AY47" i="47"/>
  <c r="AY46" i="47"/>
  <c r="AY45" i="47"/>
  <c r="AY44" i="47"/>
  <c r="AY43" i="47"/>
  <c r="AY42" i="47"/>
  <c r="AY40" i="47"/>
  <c r="AY39" i="47"/>
  <c r="AY38" i="47"/>
  <c r="AY37" i="47"/>
  <c r="AY36" i="47"/>
  <c r="AY35" i="47"/>
  <c r="AY34" i="47"/>
  <c r="AY33" i="47"/>
  <c r="AY32" i="47"/>
  <c r="AY31" i="47"/>
  <c r="AY26" i="47"/>
  <c r="AY25" i="47"/>
  <c r="AY24" i="47"/>
  <c r="AY23" i="47"/>
  <c r="AY22" i="47"/>
  <c r="AY30" i="47"/>
  <c r="AY29" i="47"/>
  <c r="AY28" i="47"/>
  <c r="AY27" i="47"/>
  <c r="AY21" i="47"/>
  <c r="AY20" i="47"/>
  <c r="AY19" i="47"/>
  <c r="AY18" i="47"/>
  <c r="AY17" i="47"/>
  <c r="AY16" i="47"/>
  <c r="AY15" i="47"/>
  <c r="AY14" i="47"/>
  <c r="AY13" i="47"/>
  <c r="AY12" i="47"/>
  <c r="AY11" i="47"/>
  <c r="AY10" i="47"/>
  <c r="AY9" i="47"/>
  <c r="AY8" i="47"/>
  <c r="AY7" i="47"/>
  <c r="AY6" i="47"/>
  <c r="BC47" i="47"/>
  <c r="BC46" i="47"/>
  <c r="BC45" i="47"/>
  <c r="BC44" i="47"/>
  <c r="BC43" i="47"/>
  <c r="BC42" i="47"/>
  <c r="BC40" i="47"/>
  <c r="BC39" i="47"/>
  <c r="BC38" i="47"/>
  <c r="BC37" i="47"/>
  <c r="BC36" i="47"/>
  <c r="BC35" i="47"/>
  <c r="BC34" i="47"/>
  <c r="BC33" i="47"/>
  <c r="BC32" i="47"/>
  <c r="BC31" i="47"/>
  <c r="BC26" i="47"/>
  <c r="BC25" i="47"/>
  <c r="BC24" i="47"/>
  <c r="BC23" i="47"/>
  <c r="BC22" i="47"/>
  <c r="BC30" i="47"/>
  <c r="BC29" i="47"/>
  <c r="BC28" i="47"/>
  <c r="BC27" i="47"/>
  <c r="BC21" i="47"/>
  <c r="BC20" i="47"/>
  <c r="BC19" i="47"/>
  <c r="BC18" i="47"/>
  <c r="BC17" i="47"/>
  <c r="BC16" i="47"/>
  <c r="BC15" i="47"/>
  <c r="BC14" i="47"/>
  <c r="BC13" i="47"/>
  <c r="BC12" i="47"/>
  <c r="BC11" i="47"/>
  <c r="BC10" i="47"/>
  <c r="BC9" i="47"/>
  <c r="BC8" i="47"/>
  <c r="BC7" i="47"/>
  <c r="BC6" i="47"/>
  <c r="U47" i="47"/>
  <c r="U46" i="47"/>
  <c r="U45" i="47"/>
  <c r="U44" i="47"/>
  <c r="U43" i="47"/>
  <c r="U42" i="47"/>
  <c r="U40" i="47"/>
  <c r="U39" i="47"/>
  <c r="U38" i="47"/>
  <c r="U37" i="47"/>
  <c r="U36" i="47"/>
  <c r="U35" i="47"/>
  <c r="U34" i="47"/>
  <c r="U33" i="47"/>
  <c r="U32" i="47"/>
  <c r="U31" i="47"/>
  <c r="U30" i="47"/>
  <c r="U29" i="47"/>
  <c r="U28" i="47"/>
  <c r="U27" i="47"/>
  <c r="U26" i="47"/>
  <c r="U25" i="47"/>
  <c r="U24" i="47"/>
  <c r="U23" i="47"/>
  <c r="U22" i="47"/>
  <c r="U21" i="47"/>
  <c r="U20" i="47"/>
  <c r="U19" i="47"/>
  <c r="U18" i="47"/>
  <c r="U17" i="47"/>
  <c r="U16" i="47"/>
  <c r="U15" i="47"/>
  <c r="U14" i="47"/>
  <c r="U13" i="47"/>
  <c r="U12" i="47"/>
  <c r="U11" i="47"/>
  <c r="U10" i="47"/>
  <c r="U9" i="47"/>
  <c r="U8" i="47"/>
  <c r="U7" i="47"/>
  <c r="U6" i="47"/>
  <c r="Y47" i="47"/>
  <c r="Y46" i="47"/>
  <c r="Y45" i="47"/>
  <c r="Y44" i="47"/>
  <c r="Y43" i="47"/>
  <c r="Y42" i="47"/>
  <c r="Y40" i="47"/>
  <c r="Y39" i="47"/>
  <c r="Y38" i="47"/>
  <c r="Y37" i="47"/>
  <c r="Y36" i="47"/>
  <c r="Y35" i="47"/>
  <c r="Y34" i="47"/>
  <c r="Y33" i="47"/>
  <c r="Y32" i="47"/>
  <c r="Y31" i="47"/>
  <c r="Y30" i="47"/>
  <c r="Y29" i="47"/>
  <c r="Y28" i="47"/>
  <c r="Y27" i="47"/>
  <c r="Y26" i="47"/>
  <c r="Y25" i="47"/>
  <c r="Y24" i="47"/>
  <c r="Y23" i="47"/>
  <c r="Y22" i="47"/>
  <c r="Y21" i="47"/>
  <c r="Y20" i="47"/>
  <c r="Y19" i="47"/>
  <c r="Y18" i="47"/>
  <c r="Y17" i="47"/>
  <c r="Y16" i="47"/>
  <c r="Y15" i="47"/>
  <c r="Y14" i="47"/>
  <c r="Y13" i="47"/>
  <c r="Y12" i="47"/>
  <c r="Y11" i="47"/>
  <c r="Y10" i="47"/>
  <c r="Y9" i="47"/>
  <c r="Y8" i="47"/>
  <c r="Y7" i="47"/>
  <c r="Y6" i="47"/>
  <c r="AC47" i="47"/>
  <c r="AC46" i="47"/>
  <c r="AC45" i="47"/>
  <c r="AC44" i="47"/>
  <c r="AC43" i="47"/>
  <c r="AC42" i="47"/>
  <c r="AC40" i="47"/>
  <c r="AC39" i="47"/>
  <c r="AC38" i="47"/>
  <c r="AC37" i="47"/>
  <c r="AC36" i="47"/>
  <c r="AC35" i="47"/>
  <c r="AC34" i="47"/>
  <c r="AC33" i="47"/>
  <c r="AC32" i="47"/>
  <c r="AC31" i="47"/>
  <c r="AC30" i="47"/>
  <c r="AC29" i="47"/>
  <c r="AC28" i="47"/>
  <c r="AC27" i="47"/>
  <c r="AC26" i="47"/>
  <c r="AC25" i="47"/>
  <c r="AC24" i="47"/>
  <c r="AC23" i="47"/>
  <c r="AC22" i="47"/>
  <c r="AC21" i="47"/>
  <c r="AC20" i="47"/>
  <c r="AC19" i="47"/>
  <c r="AC18" i="47"/>
  <c r="AC17" i="47"/>
  <c r="AC16" i="47"/>
  <c r="AC15" i="47"/>
  <c r="AC14" i="47"/>
  <c r="AC13" i="47"/>
  <c r="AC12" i="47"/>
  <c r="AC11" i="47"/>
  <c r="AC10" i="47"/>
  <c r="AC9" i="47"/>
  <c r="AC8" i="47"/>
  <c r="AC7" i="47"/>
  <c r="AC6" i="47"/>
  <c r="AG47" i="47"/>
  <c r="AG46" i="47"/>
  <c r="AG45" i="47"/>
  <c r="AG44" i="47"/>
  <c r="AG43" i="47"/>
  <c r="AG42" i="47"/>
  <c r="AG40" i="47"/>
  <c r="AG39" i="47"/>
  <c r="AG38" i="47"/>
  <c r="AG37" i="47"/>
  <c r="AG36" i="47"/>
  <c r="AG35" i="47"/>
  <c r="AG34" i="47"/>
  <c r="AG33" i="47"/>
  <c r="AG32" i="47"/>
  <c r="AG31" i="47"/>
  <c r="AG30" i="47"/>
  <c r="AG29" i="47"/>
  <c r="AG28" i="47"/>
  <c r="AG27" i="47"/>
  <c r="AG26" i="47"/>
  <c r="AG25" i="47"/>
  <c r="AG24" i="47"/>
  <c r="AG23" i="47"/>
  <c r="AG22" i="47"/>
  <c r="AG21" i="47"/>
  <c r="AG20" i="47"/>
  <c r="AG19" i="47"/>
  <c r="AG18" i="47"/>
  <c r="AG17" i="47"/>
  <c r="AG16" i="47"/>
  <c r="AG15" i="47"/>
  <c r="AG14" i="47"/>
  <c r="AG13" i="47"/>
  <c r="AG12" i="47"/>
  <c r="AG11" i="47"/>
  <c r="AG10" i="47"/>
  <c r="AG9" i="47"/>
  <c r="AG8" i="47"/>
  <c r="AG7" i="47"/>
  <c r="AG6" i="47"/>
  <c r="AN47" i="47"/>
  <c r="AN46" i="47"/>
  <c r="AN45" i="47"/>
  <c r="AN44" i="47"/>
  <c r="AN43" i="47"/>
  <c r="AN42" i="47"/>
  <c r="AN40" i="47"/>
  <c r="AN39" i="47"/>
  <c r="AN38" i="47"/>
  <c r="AN37" i="47"/>
  <c r="AN36" i="47"/>
  <c r="AN35" i="47"/>
  <c r="AN34" i="47"/>
  <c r="AN33" i="47"/>
  <c r="AN32" i="47"/>
  <c r="AN31" i="47"/>
  <c r="AN30" i="47"/>
  <c r="AN29" i="47"/>
  <c r="AN28" i="47"/>
  <c r="AN27" i="47"/>
  <c r="AN26" i="47"/>
  <c r="AN25" i="47"/>
  <c r="AN24" i="47"/>
  <c r="AN23" i="47"/>
  <c r="AN22" i="47"/>
  <c r="AN21" i="47"/>
  <c r="AN20" i="47"/>
  <c r="AN19" i="47"/>
  <c r="AN18" i="47"/>
  <c r="AN17" i="47"/>
  <c r="AN16" i="47"/>
  <c r="AN15" i="47"/>
  <c r="AN14" i="47"/>
  <c r="AN13" i="47"/>
  <c r="AN12" i="47"/>
  <c r="AN11" i="47"/>
  <c r="AN10" i="47"/>
  <c r="AN9" i="47"/>
  <c r="AN8" i="47"/>
  <c r="AN7" i="47"/>
  <c r="AN6" i="47"/>
  <c r="AR47" i="47"/>
  <c r="AR46" i="47"/>
  <c r="AR45" i="47"/>
  <c r="AR44" i="47"/>
  <c r="AR43" i="47"/>
  <c r="AR42" i="47"/>
  <c r="AR40" i="47"/>
  <c r="AR39" i="47"/>
  <c r="AR38" i="47"/>
  <c r="AR37" i="47"/>
  <c r="AR36" i="47"/>
  <c r="AR35" i="47"/>
  <c r="AR34" i="47"/>
  <c r="AR33" i="47"/>
  <c r="AR32" i="47"/>
  <c r="AR31" i="47"/>
  <c r="AR30" i="47"/>
  <c r="AR29" i="47"/>
  <c r="AR28" i="47"/>
  <c r="AR27" i="47"/>
  <c r="AR26" i="47"/>
  <c r="AR25" i="47"/>
  <c r="AR24" i="47"/>
  <c r="AR23" i="47"/>
  <c r="AR22" i="47"/>
  <c r="AR21" i="47"/>
  <c r="AR20" i="47"/>
  <c r="AR19" i="47"/>
  <c r="AR18" i="47"/>
  <c r="AR17" i="47"/>
  <c r="AR16" i="47"/>
  <c r="AR15" i="47"/>
  <c r="AR14" i="47"/>
  <c r="AR13" i="47"/>
  <c r="AR12" i="47"/>
  <c r="AR11" i="47"/>
  <c r="AR10" i="47"/>
  <c r="AR9" i="47"/>
  <c r="AR8" i="47"/>
  <c r="AR7" i="47"/>
  <c r="AR6" i="47"/>
  <c r="AV47" i="47"/>
  <c r="AV46" i="47"/>
  <c r="AV45" i="47"/>
  <c r="AV44" i="47"/>
  <c r="AV43" i="47"/>
  <c r="AV42" i="47"/>
  <c r="AV40" i="47"/>
  <c r="AV39" i="47"/>
  <c r="AV38" i="47"/>
  <c r="AV37" i="47"/>
  <c r="AV36" i="47"/>
  <c r="AV35" i="47"/>
  <c r="AV34" i="47"/>
  <c r="AV33" i="47"/>
  <c r="AV32" i="47"/>
  <c r="AV31" i="47"/>
  <c r="AV30" i="47"/>
  <c r="AV29" i="47"/>
  <c r="AV28" i="47"/>
  <c r="AV27" i="47"/>
  <c r="AV26" i="47"/>
  <c r="AV25" i="47"/>
  <c r="AV24" i="47"/>
  <c r="AV23" i="47"/>
  <c r="AV22" i="47"/>
  <c r="AV21" i="47"/>
  <c r="AV20" i="47"/>
  <c r="AV19" i="47"/>
  <c r="AV18" i="47"/>
  <c r="AV17" i="47"/>
  <c r="AV16" i="47"/>
  <c r="AV15" i="47"/>
  <c r="AV14" i="47"/>
  <c r="AV13" i="47"/>
  <c r="AV12" i="47"/>
  <c r="AV11" i="47"/>
  <c r="AV10" i="47"/>
  <c r="AV9" i="47"/>
  <c r="AV8" i="47"/>
  <c r="AV7" i="47"/>
  <c r="AV6" i="47"/>
  <c r="AZ47" i="47"/>
  <c r="AZ46" i="47"/>
  <c r="AZ45" i="47"/>
  <c r="AZ44" i="47"/>
  <c r="AZ43" i="47"/>
  <c r="AZ42" i="47"/>
  <c r="AZ40" i="47"/>
  <c r="AZ39" i="47"/>
  <c r="AZ38" i="47"/>
  <c r="AZ37" i="47"/>
  <c r="AZ36" i="47"/>
  <c r="AZ35" i="47"/>
  <c r="AZ34" i="47"/>
  <c r="AZ33" i="47"/>
  <c r="AZ32" i="47"/>
  <c r="AZ31" i="47"/>
  <c r="AZ30" i="47"/>
  <c r="AZ29" i="47"/>
  <c r="AZ28" i="47"/>
  <c r="AZ27" i="47"/>
  <c r="AZ26" i="47"/>
  <c r="AZ25" i="47"/>
  <c r="AZ24" i="47"/>
  <c r="AZ23" i="47"/>
  <c r="AZ22" i="47"/>
  <c r="AZ21" i="47"/>
  <c r="AZ20" i="47"/>
  <c r="AZ19" i="47"/>
  <c r="AZ18" i="47"/>
  <c r="AZ17" i="47"/>
  <c r="AZ16" i="47"/>
  <c r="AZ15" i="47"/>
  <c r="AZ14" i="47"/>
  <c r="AZ13" i="47"/>
  <c r="AZ12" i="47"/>
  <c r="AZ11" i="47"/>
  <c r="AZ10" i="47"/>
  <c r="AZ9" i="47"/>
  <c r="AZ8" i="47"/>
  <c r="AZ7" i="47"/>
  <c r="AZ6" i="47"/>
  <c r="BD47" i="47"/>
  <c r="BD46" i="47"/>
  <c r="BD45" i="47"/>
  <c r="BD44" i="47"/>
  <c r="BD43" i="47"/>
  <c r="BD42" i="47"/>
  <c r="BD40" i="47"/>
  <c r="BD39" i="47"/>
  <c r="BD38" i="47"/>
  <c r="BD37" i="47"/>
  <c r="BD36" i="47"/>
  <c r="BD35" i="47"/>
  <c r="BD34" i="47"/>
  <c r="BD33" i="47"/>
  <c r="BD32" i="47"/>
  <c r="BD31" i="47"/>
  <c r="BD30" i="47"/>
  <c r="BD29" i="47"/>
  <c r="BD28" i="47"/>
  <c r="BD27" i="47"/>
  <c r="BD26" i="47"/>
  <c r="BD25" i="47"/>
  <c r="BD24" i="47"/>
  <c r="BD23" i="47"/>
  <c r="BD22" i="47"/>
  <c r="BD21" i="47"/>
  <c r="BD20" i="47"/>
  <c r="BD19" i="47"/>
  <c r="BD18" i="47"/>
  <c r="BD17" i="47"/>
  <c r="BD16" i="47"/>
  <c r="BD15" i="47"/>
  <c r="BD14" i="47"/>
  <c r="BD13" i="47"/>
  <c r="BD12" i="47"/>
  <c r="BD11" i="47"/>
  <c r="BD10" i="47"/>
  <c r="BD9" i="47"/>
  <c r="BD8" i="47"/>
  <c r="BD7" i="47"/>
  <c r="BD6" i="47"/>
  <c r="AD6" i="48" l="1"/>
  <c r="AD51" i="48" s="1"/>
  <c r="V6" i="48"/>
  <c r="V49" i="48" s="1"/>
  <c r="T6" i="48"/>
  <c r="T52" i="48" s="1"/>
  <c r="AB6" i="48"/>
  <c r="AB51" i="48" s="1"/>
  <c r="AJ6" i="48"/>
  <c r="AJ26" i="48" s="1"/>
  <c r="X6" i="48"/>
  <c r="X49" i="48" s="1"/>
  <c r="AF6" i="48"/>
  <c r="AF51" i="48" s="1"/>
  <c r="AM5" i="48"/>
  <c r="Z6" i="48"/>
  <c r="Z51" i="48" s="1"/>
  <c r="AH6" i="48"/>
  <c r="AH49" i="48" s="1"/>
  <c r="T26" i="48"/>
  <c r="AP6" i="48"/>
  <c r="AT6" i="48"/>
  <c r="AX6" i="48"/>
  <c r="BB6" i="48"/>
  <c r="S5" i="48"/>
  <c r="S4" i="48"/>
  <c r="U6" i="48"/>
  <c r="Y6" i="48"/>
  <c r="AC6" i="48"/>
  <c r="AG6" i="48"/>
  <c r="AK6" i="48"/>
  <c r="AQ6" i="48"/>
  <c r="AU6" i="48"/>
  <c r="AY6" i="48"/>
  <c r="BC6" i="48"/>
  <c r="V51" i="48"/>
  <c r="V10" i="48"/>
  <c r="V11" i="48"/>
  <c r="V14" i="48"/>
  <c r="V20" i="48"/>
  <c r="V21" i="48"/>
  <c r="V25" i="48"/>
  <c r="V33" i="48"/>
  <c r="V37" i="48"/>
  <c r="V39" i="48"/>
  <c r="V43" i="48"/>
  <c r="V44" i="48"/>
  <c r="AD26" i="48"/>
  <c r="AD49" i="48"/>
  <c r="AD52" i="48"/>
  <c r="AD54" i="48"/>
  <c r="AD55" i="48"/>
  <c r="AD10" i="48"/>
  <c r="AD11" i="48"/>
  <c r="AD48" i="48"/>
  <c r="AD13" i="48"/>
  <c r="AD14" i="48"/>
  <c r="AD15" i="48"/>
  <c r="AD17" i="48"/>
  <c r="AD18" i="48"/>
  <c r="AD19" i="48"/>
  <c r="AD21" i="48"/>
  <c r="AD22" i="48"/>
  <c r="AD23" i="48"/>
  <c r="AD25" i="48"/>
  <c r="AD33" i="48"/>
  <c r="AD34" i="48"/>
  <c r="AD36" i="48"/>
  <c r="AD37" i="48"/>
  <c r="AD38" i="48"/>
  <c r="AD40" i="48"/>
  <c r="AD41" i="48"/>
  <c r="AD42" i="48"/>
  <c r="AD44" i="48"/>
  <c r="AD45" i="48"/>
  <c r="AD46" i="48"/>
  <c r="AM4" i="48"/>
  <c r="AN6" i="48"/>
  <c r="AR6" i="48"/>
  <c r="AV6" i="48"/>
  <c r="AZ6" i="48"/>
  <c r="BD6" i="48"/>
  <c r="W6" i="48"/>
  <c r="AA6" i="48"/>
  <c r="AE6" i="48"/>
  <c r="AI6" i="48"/>
  <c r="AO6" i="48"/>
  <c r="AS6" i="48"/>
  <c r="AW6" i="48"/>
  <c r="BA6" i="48"/>
  <c r="BE6" i="48"/>
  <c r="AL8" i="47"/>
  <c r="G8" i="47" s="1"/>
  <c r="AL10" i="47"/>
  <c r="G10" i="47" s="1"/>
  <c r="AL12" i="47"/>
  <c r="G12" i="47" s="1"/>
  <c r="AL14" i="47"/>
  <c r="G14" i="47" s="1"/>
  <c r="AL16" i="47"/>
  <c r="G16" i="47" s="1"/>
  <c r="AL18" i="47"/>
  <c r="G18" i="47" s="1"/>
  <c r="AL20" i="47"/>
  <c r="G20" i="47" s="1"/>
  <c r="AL22" i="47"/>
  <c r="G22" i="47" s="1"/>
  <c r="AL28" i="47"/>
  <c r="G28" i="47" s="1"/>
  <c r="AL30" i="47"/>
  <c r="G30" i="47" s="1"/>
  <c r="AL24" i="47"/>
  <c r="G24" i="47" s="1"/>
  <c r="AL26" i="47"/>
  <c r="G26" i="47" s="1"/>
  <c r="G32" i="19" s="1"/>
  <c r="AL32" i="47"/>
  <c r="G32" i="47" s="1"/>
  <c r="AL34" i="47"/>
  <c r="G34" i="47" s="1"/>
  <c r="AL36" i="47"/>
  <c r="G36" i="47" s="1"/>
  <c r="AL38" i="47"/>
  <c r="G38" i="47" s="1"/>
  <c r="AL40" i="47"/>
  <c r="G40" i="47" s="1"/>
  <c r="AL43" i="47"/>
  <c r="G43" i="47" s="1"/>
  <c r="AL45" i="47"/>
  <c r="G45" i="47" s="1"/>
  <c r="AL47" i="47"/>
  <c r="G47" i="47" s="1"/>
  <c r="R6" i="47"/>
  <c r="F6" i="47" s="1"/>
  <c r="R8" i="47"/>
  <c r="F8" i="47" s="1"/>
  <c r="R10" i="47"/>
  <c r="F10" i="47" s="1"/>
  <c r="R12" i="47"/>
  <c r="F12" i="47" s="1"/>
  <c r="R14" i="47"/>
  <c r="F14" i="47" s="1"/>
  <c r="R16" i="47"/>
  <c r="F16" i="47" s="1"/>
  <c r="R18" i="47"/>
  <c r="F18" i="47" s="1"/>
  <c r="R20" i="47"/>
  <c r="F20" i="47" s="1"/>
  <c r="R22" i="47"/>
  <c r="F22" i="47" s="1"/>
  <c r="R24" i="47"/>
  <c r="F24" i="47" s="1"/>
  <c r="R26" i="47"/>
  <c r="F26" i="47" s="1"/>
  <c r="F32" i="19" s="1"/>
  <c r="R28" i="47"/>
  <c r="F28" i="47" s="1"/>
  <c r="R30" i="47"/>
  <c r="F30" i="47" s="1"/>
  <c r="R32" i="47"/>
  <c r="F32" i="47" s="1"/>
  <c r="R34" i="47"/>
  <c r="F34" i="47" s="1"/>
  <c r="R36" i="47"/>
  <c r="F36" i="47" s="1"/>
  <c r="R38" i="47"/>
  <c r="F38" i="47" s="1"/>
  <c r="R40" i="47"/>
  <c r="F40" i="47" s="1"/>
  <c r="R43" i="47"/>
  <c r="F43" i="47" s="1"/>
  <c r="R45" i="47"/>
  <c r="F45" i="47" s="1"/>
  <c r="R47" i="47"/>
  <c r="F47" i="47" s="1"/>
  <c r="AL6" i="47"/>
  <c r="G6" i="47" s="1"/>
  <c r="AL7" i="47"/>
  <c r="G7" i="47" s="1"/>
  <c r="AL9" i="47"/>
  <c r="G9" i="47" s="1"/>
  <c r="AL11" i="47"/>
  <c r="G11" i="47" s="1"/>
  <c r="AL13" i="47"/>
  <c r="G13" i="47" s="1"/>
  <c r="AL15" i="47"/>
  <c r="G15" i="47" s="1"/>
  <c r="AL17" i="47"/>
  <c r="G17" i="47" s="1"/>
  <c r="AL19" i="47"/>
  <c r="G19" i="47" s="1"/>
  <c r="AL21" i="47"/>
  <c r="G21" i="47" s="1"/>
  <c r="AL27" i="47"/>
  <c r="G27" i="47" s="1"/>
  <c r="AL29" i="47"/>
  <c r="G29" i="47" s="1"/>
  <c r="AL23" i="47"/>
  <c r="G23" i="47" s="1"/>
  <c r="AL25" i="47"/>
  <c r="G25" i="47" s="1"/>
  <c r="G31" i="19" s="1"/>
  <c r="AL31" i="47"/>
  <c r="G31" i="47" s="1"/>
  <c r="AL33" i="47"/>
  <c r="G33" i="47" s="1"/>
  <c r="AL35" i="47"/>
  <c r="G35" i="47" s="1"/>
  <c r="AL37" i="47"/>
  <c r="G37" i="47" s="1"/>
  <c r="AL39" i="47"/>
  <c r="G39" i="47" s="1"/>
  <c r="AL42" i="47"/>
  <c r="G42" i="47" s="1"/>
  <c r="AL44" i="47"/>
  <c r="G44" i="47" s="1"/>
  <c r="AL46" i="47"/>
  <c r="G46" i="47" s="1"/>
  <c r="R7" i="47"/>
  <c r="F7" i="47" s="1"/>
  <c r="R9" i="47"/>
  <c r="F9" i="47" s="1"/>
  <c r="R11" i="47"/>
  <c r="F11" i="47" s="1"/>
  <c r="R13" i="47"/>
  <c r="F13" i="47" s="1"/>
  <c r="R15" i="47"/>
  <c r="F15" i="47" s="1"/>
  <c r="R17" i="47"/>
  <c r="F17" i="47" s="1"/>
  <c r="R19" i="47"/>
  <c r="F19" i="47" s="1"/>
  <c r="R21" i="47"/>
  <c r="F21" i="47" s="1"/>
  <c r="R23" i="47"/>
  <c r="F23" i="47" s="1"/>
  <c r="R25" i="47"/>
  <c r="F25" i="47" s="1"/>
  <c r="F31" i="19" s="1"/>
  <c r="R27" i="47"/>
  <c r="F27" i="47" s="1"/>
  <c r="R29" i="47"/>
  <c r="F29" i="47" s="1"/>
  <c r="R31" i="47"/>
  <c r="F31" i="47" s="1"/>
  <c r="R33" i="47"/>
  <c r="F33" i="47" s="1"/>
  <c r="R35" i="47"/>
  <c r="F35" i="47" s="1"/>
  <c r="R37" i="47"/>
  <c r="F37" i="47" s="1"/>
  <c r="R39" i="47"/>
  <c r="F39" i="47" s="1"/>
  <c r="R42" i="47"/>
  <c r="F42" i="47" s="1"/>
  <c r="R44" i="47"/>
  <c r="F44" i="47" s="1"/>
  <c r="R46" i="47"/>
  <c r="F46" i="47" s="1"/>
  <c r="S20" i="40"/>
  <c r="S21" i="40"/>
  <c r="B2" i="35"/>
  <c r="B2" i="34"/>
  <c r="B3" i="46"/>
  <c r="B3" i="45"/>
  <c r="B2" i="14"/>
  <c r="B2" i="12"/>
  <c r="B2" i="37"/>
  <c r="B2" i="36"/>
  <c r="B3" i="44"/>
  <c r="B3" i="43"/>
  <c r="B2" i="11"/>
  <c r="B2" i="9"/>
  <c r="B2" i="23"/>
  <c r="B2" i="8"/>
  <c r="B2" i="20"/>
  <c r="B2" i="19"/>
  <c r="V16" i="48" l="1"/>
  <c r="V52" i="48"/>
  <c r="T17" i="48"/>
  <c r="AF34" i="48"/>
  <c r="AF49" i="48"/>
  <c r="T40" i="48"/>
  <c r="AF42" i="48"/>
  <c r="T25" i="48"/>
  <c r="AF48" i="48"/>
  <c r="AF19" i="48"/>
  <c r="AF25" i="48"/>
  <c r="AF17" i="48"/>
  <c r="T46" i="48"/>
  <c r="T23" i="48"/>
  <c r="T14" i="48"/>
  <c r="V45" i="48"/>
  <c r="V40" i="48"/>
  <c r="V35" i="48"/>
  <c r="V22" i="48"/>
  <c r="V17" i="48"/>
  <c r="V48" i="48"/>
  <c r="V54" i="48"/>
  <c r="AF44" i="48"/>
  <c r="AF36" i="48"/>
  <c r="AF21" i="48"/>
  <c r="AF13" i="48"/>
  <c r="AF52" i="48"/>
  <c r="T42" i="48"/>
  <c r="T34" i="48"/>
  <c r="T19" i="48"/>
  <c r="T55" i="48"/>
  <c r="AF40" i="48"/>
  <c r="AF10" i="48"/>
  <c r="T38" i="48"/>
  <c r="V8" i="48"/>
  <c r="V41" i="48"/>
  <c r="V36" i="48"/>
  <c r="V24" i="48"/>
  <c r="V18" i="48"/>
  <c r="V13" i="48"/>
  <c r="V9" i="48"/>
  <c r="V26" i="48"/>
  <c r="AF46" i="48"/>
  <c r="AF38" i="48"/>
  <c r="AF23" i="48"/>
  <c r="AF15" i="48"/>
  <c r="AF55" i="48"/>
  <c r="T44" i="48"/>
  <c r="T36" i="48"/>
  <c r="T21" i="48"/>
  <c r="T12" i="48"/>
  <c r="AD8" i="48"/>
  <c r="AD43" i="48"/>
  <c r="AD39" i="48"/>
  <c r="AD35" i="48"/>
  <c r="AD24" i="48"/>
  <c r="AD20" i="48"/>
  <c r="AD16" i="48"/>
  <c r="AD12" i="48"/>
  <c r="AD9" i="48"/>
  <c r="V46" i="48"/>
  <c r="V42" i="48"/>
  <c r="V38" i="48"/>
  <c r="V34" i="48"/>
  <c r="V23" i="48"/>
  <c r="V19" i="48"/>
  <c r="V15" i="48"/>
  <c r="V12" i="48"/>
  <c r="V55" i="48"/>
  <c r="AB22" i="48"/>
  <c r="AF45" i="48"/>
  <c r="AF41" i="48"/>
  <c r="AF37" i="48"/>
  <c r="AF33" i="48"/>
  <c r="AF22" i="48"/>
  <c r="AF18" i="48"/>
  <c r="AF14" i="48"/>
  <c r="AF11" i="48"/>
  <c r="AF54" i="48"/>
  <c r="AF26" i="48"/>
  <c r="T45" i="48"/>
  <c r="T41" i="48"/>
  <c r="T37" i="48"/>
  <c r="T33" i="48"/>
  <c r="T22" i="48"/>
  <c r="T18" i="48"/>
  <c r="T13" i="48"/>
  <c r="T54" i="48"/>
  <c r="AF8" i="48"/>
  <c r="AF43" i="48"/>
  <c r="AF39" i="48"/>
  <c r="AF35" i="48"/>
  <c r="AF24" i="48"/>
  <c r="AF20" i="48"/>
  <c r="AF16" i="48"/>
  <c r="AF12" i="48"/>
  <c r="AF9" i="48"/>
  <c r="T8" i="48"/>
  <c r="T43" i="48"/>
  <c r="T39" i="48"/>
  <c r="T35" i="48"/>
  <c r="T24" i="48"/>
  <c r="T20" i="48"/>
  <c r="T15" i="48"/>
  <c r="T10" i="48"/>
  <c r="AB13" i="48"/>
  <c r="AB36" i="48"/>
  <c r="AB45" i="48"/>
  <c r="AB54" i="48"/>
  <c r="AB37" i="48"/>
  <c r="AB14" i="48"/>
  <c r="AB44" i="48"/>
  <c r="AB21" i="48"/>
  <c r="AB52" i="48"/>
  <c r="AB40" i="48"/>
  <c r="AB25" i="48"/>
  <c r="AB17" i="48"/>
  <c r="AB10" i="48"/>
  <c r="AB41" i="48"/>
  <c r="AB33" i="48"/>
  <c r="AB18" i="48"/>
  <c r="AB11" i="48"/>
  <c r="AB26" i="48"/>
  <c r="AH33" i="48"/>
  <c r="T11" i="48"/>
  <c r="T51" i="48"/>
  <c r="AJ12" i="48"/>
  <c r="X18" i="48"/>
  <c r="X26" i="48"/>
  <c r="T16" i="48"/>
  <c r="T48" i="48"/>
  <c r="T9" i="48"/>
  <c r="T49" i="48"/>
  <c r="AH11" i="48"/>
  <c r="AJ35" i="48"/>
  <c r="X41" i="48"/>
  <c r="AJ25" i="48"/>
  <c r="AJ40" i="48"/>
  <c r="AJ17" i="48"/>
  <c r="AB46" i="48"/>
  <c r="AB42" i="48"/>
  <c r="AB38" i="48"/>
  <c r="AB34" i="48"/>
  <c r="AB23" i="48"/>
  <c r="AB19" i="48"/>
  <c r="AB15" i="48"/>
  <c r="AB12" i="48"/>
  <c r="AB55" i="48"/>
  <c r="AB49" i="48"/>
  <c r="AJ10" i="48"/>
  <c r="AJ43" i="48"/>
  <c r="AJ20" i="48"/>
  <c r="AJ51" i="48"/>
  <c r="AB8" i="48"/>
  <c r="AB43" i="48"/>
  <c r="AB39" i="48"/>
  <c r="AB35" i="48"/>
  <c r="AB24" i="48"/>
  <c r="AB20" i="48"/>
  <c r="AB16" i="48"/>
  <c r="AB48" i="48"/>
  <c r="AB9" i="48"/>
  <c r="AH45" i="48"/>
  <c r="AH54" i="48"/>
  <c r="X37" i="48"/>
  <c r="AH41" i="48"/>
  <c r="AH18" i="48"/>
  <c r="AH26" i="48"/>
  <c r="Z46" i="48"/>
  <c r="AJ8" i="48"/>
  <c r="AJ39" i="48"/>
  <c r="AJ24" i="48"/>
  <c r="AJ16" i="48"/>
  <c r="AJ9" i="48"/>
  <c r="X33" i="48"/>
  <c r="X11" i="48"/>
  <c r="AH22" i="48"/>
  <c r="X14" i="48"/>
  <c r="AH37" i="48"/>
  <c r="AH14" i="48"/>
  <c r="Z23" i="48"/>
  <c r="AJ44" i="48"/>
  <c r="AJ36" i="48"/>
  <c r="AJ21" i="48"/>
  <c r="AJ13" i="48"/>
  <c r="AJ52" i="48"/>
  <c r="X45" i="48"/>
  <c r="X22" i="48"/>
  <c r="X54" i="48"/>
  <c r="AH40" i="48"/>
  <c r="AH25" i="48"/>
  <c r="AH17" i="48"/>
  <c r="AH13" i="48"/>
  <c r="AH52" i="48"/>
  <c r="X44" i="48"/>
  <c r="X36" i="48"/>
  <c r="X21" i="48"/>
  <c r="X13" i="48"/>
  <c r="X10" i="48"/>
  <c r="AH8" i="48"/>
  <c r="AH43" i="48"/>
  <c r="AH39" i="48"/>
  <c r="AH35" i="48"/>
  <c r="AH24" i="48"/>
  <c r="AH20" i="48"/>
  <c r="AH16" i="48"/>
  <c r="AH12" i="48"/>
  <c r="AH9" i="48"/>
  <c r="AH51" i="48"/>
  <c r="Z55" i="48"/>
  <c r="AJ46" i="48"/>
  <c r="AJ42" i="48"/>
  <c r="AJ38" i="48"/>
  <c r="AJ34" i="48"/>
  <c r="AJ23" i="48"/>
  <c r="AJ19" i="48"/>
  <c r="AJ15" i="48"/>
  <c r="AJ48" i="48"/>
  <c r="AJ55" i="48"/>
  <c r="AJ49" i="48"/>
  <c r="X8" i="48"/>
  <c r="X43" i="48"/>
  <c r="X39" i="48"/>
  <c r="X35" i="48"/>
  <c r="X24" i="48"/>
  <c r="X20" i="48"/>
  <c r="X16" i="48"/>
  <c r="X48" i="48"/>
  <c r="X9" i="48"/>
  <c r="X51" i="48"/>
  <c r="AH44" i="48"/>
  <c r="AH36" i="48"/>
  <c r="AH21" i="48"/>
  <c r="AH10" i="48"/>
  <c r="X40" i="48"/>
  <c r="X25" i="48"/>
  <c r="X17" i="48"/>
  <c r="X52" i="48"/>
  <c r="AH46" i="48"/>
  <c r="AH42" i="48"/>
  <c r="AH38" i="48"/>
  <c r="AH34" i="48"/>
  <c r="AH23" i="48"/>
  <c r="AH19" i="48"/>
  <c r="AH15" i="48"/>
  <c r="AH48" i="48"/>
  <c r="AH55" i="48"/>
  <c r="AJ45" i="48"/>
  <c r="AJ41" i="48"/>
  <c r="AJ37" i="48"/>
  <c r="AJ33" i="48"/>
  <c r="AJ22" i="48"/>
  <c r="AJ18" i="48"/>
  <c r="AJ14" i="48"/>
  <c r="AJ11" i="48"/>
  <c r="AJ54" i="48"/>
  <c r="X46" i="48"/>
  <c r="X42" i="48"/>
  <c r="X38" i="48"/>
  <c r="X34" i="48"/>
  <c r="X23" i="48"/>
  <c r="X19" i="48"/>
  <c r="X15" i="48"/>
  <c r="X12" i="48"/>
  <c r="X55" i="48"/>
  <c r="Z19" i="48"/>
  <c r="Z38" i="48"/>
  <c r="Z15" i="48"/>
  <c r="Z42" i="48"/>
  <c r="Z49" i="48"/>
  <c r="Z34" i="48"/>
  <c r="Z12" i="48"/>
  <c r="Z37" i="48"/>
  <c r="Z22" i="48"/>
  <c r="Z18" i="48"/>
  <c r="Z11" i="48"/>
  <c r="Z26" i="48"/>
  <c r="Z44" i="48"/>
  <c r="Z40" i="48"/>
  <c r="Z36" i="48"/>
  <c r="Z25" i="48"/>
  <c r="Z21" i="48"/>
  <c r="Z17" i="48"/>
  <c r="Z13" i="48"/>
  <c r="Z10" i="48"/>
  <c r="Z52" i="48"/>
  <c r="Z45" i="48"/>
  <c r="Z41" i="48"/>
  <c r="Z33" i="48"/>
  <c r="Z14" i="48"/>
  <c r="Z54" i="48"/>
  <c r="Z8" i="48"/>
  <c r="Z43" i="48"/>
  <c r="Z39" i="48"/>
  <c r="Z35" i="48"/>
  <c r="Z24" i="48"/>
  <c r="Z20" i="48"/>
  <c r="Z16" i="48"/>
  <c r="Z48" i="48"/>
  <c r="Z9" i="48"/>
  <c r="BA49" i="48"/>
  <c r="BA51" i="48"/>
  <c r="BA26" i="48"/>
  <c r="BA48" i="48"/>
  <c r="BA52" i="48"/>
  <c r="BA54" i="48"/>
  <c r="BA55" i="48"/>
  <c r="BA9" i="48"/>
  <c r="BA10" i="48"/>
  <c r="BA11" i="48"/>
  <c r="BA12" i="48"/>
  <c r="BA13" i="48"/>
  <c r="BA14" i="48"/>
  <c r="BA15" i="48"/>
  <c r="BA16" i="48"/>
  <c r="BA17" i="48"/>
  <c r="BA18" i="48"/>
  <c r="BA19" i="48"/>
  <c r="BA20" i="48"/>
  <c r="BA21" i="48"/>
  <c r="BA22" i="48"/>
  <c r="BA23" i="48"/>
  <c r="BA24" i="48"/>
  <c r="BA25" i="48"/>
  <c r="BA33" i="48"/>
  <c r="BA34" i="48"/>
  <c r="BA35" i="48"/>
  <c r="BA36" i="48"/>
  <c r="BA37" i="48"/>
  <c r="BA38" i="48"/>
  <c r="BA39" i="48"/>
  <c r="BA8" i="48"/>
  <c r="BA40" i="48"/>
  <c r="BA41" i="48"/>
  <c r="BA42" i="48"/>
  <c r="BA43" i="48"/>
  <c r="BA44" i="48"/>
  <c r="BA45" i="48"/>
  <c r="BA46" i="48"/>
  <c r="AS49" i="48"/>
  <c r="AS51" i="48"/>
  <c r="AS26" i="48"/>
  <c r="AS48" i="48"/>
  <c r="AS52" i="48"/>
  <c r="AS54" i="48"/>
  <c r="AS55" i="48"/>
  <c r="AS9" i="48"/>
  <c r="AS10" i="48"/>
  <c r="AS11" i="48"/>
  <c r="AS12" i="48"/>
  <c r="AS13" i="48"/>
  <c r="AS14" i="48"/>
  <c r="AS15" i="48"/>
  <c r="AS16" i="48"/>
  <c r="AS17" i="48"/>
  <c r="AS18" i="48"/>
  <c r="AS19" i="48"/>
  <c r="AS20" i="48"/>
  <c r="AS21" i="48"/>
  <c r="AS22" i="48"/>
  <c r="AS23" i="48"/>
  <c r="AS24" i="48"/>
  <c r="AS25" i="48"/>
  <c r="AS33" i="48"/>
  <c r="AS34" i="48"/>
  <c r="AS35" i="48"/>
  <c r="AS36" i="48"/>
  <c r="AS37" i="48"/>
  <c r="AS38" i="48"/>
  <c r="AS39" i="48"/>
  <c r="AS40" i="48"/>
  <c r="AS8" i="48"/>
  <c r="AS41" i="48"/>
  <c r="AS42" i="48"/>
  <c r="AS43" i="48"/>
  <c r="AS44" i="48"/>
  <c r="AS45" i="48"/>
  <c r="AS46" i="48"/>
  <c r="AI26" i="48"/>
  <c r="AI48" i="48"/>
  <c r="AI49" i="48"/>
  <c r="AI51" i="48"/>
  <c r="AI52" i="48"/>
  <c r="AI54" i="48"/>
  <c r="AI55" i="48"/>
  <c r="AI9" i="48"/>
  <c r="AI10" i="48"/>
  <c r="AI11" i="48"/>
  <c r="AI8" i="48"/>
  <c r="AI12" i="48"/>
  <c r="AI13" i="48"/>
  <c r="AI14" i="48"/>
  <c r="AI15" i="48"/>
  <c r="AI16" i="48"/>
  <c r="AI17" i="48"/>
  <c r="AI18" i="48"/>
  <c r="AI19" i="48"/>
  <c r="AI20" i="48"/>
  <c r="AI21" i="48"/>
  <c r="AI22" i="48"/>
  <c r="AI23" i="48"/>
  <c r="AI24" i="48"/>
  <c r="AI25" i="48"/>
  <c r="AI33" i="48"/>
  <c r="AI34" i="48"/>
  <c r="AI35" i="48"/>
  <c r="AI36" i="48"/>
  <c r="AI37" i="48"/>
  <c r="AI38" i="48"/>
  <c r="AI39" i="48"/>
  <c r="AI40" i="48"/>
  <c r="AI41" i="48"/>
  <c r="AI42" i="48"/>
  <c r="AI43" i="48"/>
  <c r="AI44" i="48"/>
  <c r="AI45" i="48"/>
  <c r="AI46" i="48"/>
  <c r="AA26" i="48"/>
  <c r="AA48" i="48"/>
  <c r="AA49" i="48"/>
  <c r="AA51" i="48"/>
  <c r="AA52" i="48"/>
  <c r="AA54" i="48"/>
  <c r="AA55" i="48"/>
  <c r="AA9" i="48"/>
  <c r="AA10" i="48"/>
  <c r="AA11" i="48"/>
  <c r="AA12" i="48"/>
  <c r="AA8" i="48"/>
  <c r="AA13" i="48"/>
  <c r="AA14" i="48"/>
  <c r="AA15" i="48"/>
  <c r="AA16" i="48"/>
  <c r="AA17" i="48"/>
  <c r="AA18" i="48"/>
  <c r="AA19" i="48"/>
  <c r="AA20" i="48"/>
  <c r="AA21" i="48"/>
  <c r="AA22" i="48"/>
  <c r="AA23" i="48"/>
  <c r="AA24" i="48"/>
  <c r="AA25" i="48"/>
  <c r="AA33" i="48"/>
  <c r="AA34" i="48"/>
  <c r="AA35" i="48"/>
  <c r="AA36" i="48"/>
  <c r="AA37" i="48"/>
  <c r="AA38" i="48"/>
  <c r="AA39" i="48"/>
  <c r="AA40" i="48"/>
  <c r="AA41" i="48"/>
  <c r="AA42" i="48"/>
  <c r="AA43" i="48"/>
  <c r="AA44" i="48"/>
  <c r="AA45" i="48"/>
  <c r="AA46" i="48"/>
  <c r="BD26" i="48"/>
  <c r="BD49" i="48"/>
  <c r="BD51" i="48"/>
  <c r="BD52" i="48"/>
  <c r="BD54" i="48"/>
  <c r="BD55" i="48"/>
  <c r="BD9" i="48"/>
  <c r="BD10" i="48"/>
  <c r="BD11" i="48"/>
  <c r="BD12" i="48"/>
  <c r="BD13" i="48"/>
  <c r="BD48" i="48"/>
  <c r="BD14" i="48"/>
  <c r="BD15" i="48"/>
  <c r="BD16" i="48"/>
  <c r="BD17" i="48"/>
  <c r="BD18" i="48"/>
  <c r="BD19" i="48"/>
  <c r="BD20" i="48"/>
  <c r="BD21" i="48"/>
  <c r="BD22" i="48"/>
  <c r="BD23" i="48"/>
  <c r="BD24" i="48"/>
  <c r="BD25" i="48"/>
  <c r="BD33" i="48"/>
  <c r="BD34" i="48"/>
  <c r="BD35" i="48"/>
  <c r="BD36" i="48"/>
  <c r="BD37" i="48"/>
  <c r="BD38" i="48"/>
  <c r="BD39" i="48"/>
  <c r="BD40" i="48"/>
  <c r="BD41" i="48"/>
  <c r="BD42" i="48"/>
  <c r="BD43" i="48"/>
  <c r="BD44" i="48"/>
  <c r="BD45" i="48"/>
  <c r="BD46" i="48"/>
  <c r="BD8" i="48"/>
  <c r="AV26" i="48"/>
  <c r="AV49" i="48"/>
  <c r="AV51" i="48"/>
  <c r="AV52" i="48"/>
  <c r="AV54" i="48"/>
  <c r="AV55" i="48"/>
  <c r="AV9" i="48"/>
  <c r="AV10" i="48"/>
  <c r="AV11" i="48"/>
  <c r="AV12" i="48"/>
  <c r="AV13" i="48"/>
  <c r="AV14" i="48"/>
  <c r="AV48" i="48"/>
  <c r="AV15" i="48"/>
  <c r="AV16" i="48"/>
  <c r="AV17" i="48"/>
  <c r="AV18" i="48"/>
  <c r="AV19" i="48"/>
  <c r="AV20" i="48"/>
  <c r="AV21" i="48"/>
  <c r="AV22" i="48"/>
  <c r="AV23" i="48"/>
  <c r="AV24" i="48"/>
  <c r="AV25" i="48"/>
  <c r="AV33" i="48"/>
  <c r="AV34" i="48"/>
  <c r="AV35" i="48"/>
  <c r="AV36" i="48"/>
  <c r="AV37" i="48"/>
  <c r="AV38" i="48"/>
  <c r="AV39" i="48"/>
  <c r="AV40" i="48"/>
  <c r="AV41" i="48"/>
  <c r="AV42" i="48"/>
  <c r="AV43" i="48"/>
  <c r="AV44" i="48"/>
  <c r="AV45" i="48"/>
  <c r="AV46" i="48"/>
  <c r="AV8" i="48"/>
  <c r="AN26" i="48"/>
  <c r="AN49" i="48"/>
  <c r="AN51" i="48"/>
  <c r="AN54" i="48"/>
  <c r="AN55" i="48"/>
  <c r="AN9" i="48"/>
  <c r="AN10" i="48"/>
  <c r="AN11" i="48"/>
  <c r="AN12" i="48"/>
  <c r="AN13" i="48"/>
  <c r="AN14" i="48"/>
  <c r="AN52" i="48"/>
  <c r="AN48" i="48"/>
  <c r="AN16" i="48"/>
  <c r="AN17" i="48"/>
  <c r="AN18" i="48"/>
  <c r="AN19" i="48"/>
  <c r="AN20" i="48"/>
  <c r="AN21" i="48"/>
  <c r="AN22" i="48"/>
  <c r="AN23" i="48"/>
  <c r="AN24" i="48"/>
  <c r="AN25" i="48"/>
  <c r="AN33" i="48"/>
  <c r="AN34" i="48"/>
  <c r="AN35" i="48"/>
  <c r="AN36" i="48"/>
  <c r="AN37" i="48"/>
  <c r="AN38" i="48"/>
  <c r="AN39" i="48"/>
  <c r="AN40" i="48"/>
  <c r="AN15" i="48"/>
  <c r="AN41" i="48"/>
  <c r="AN42" i="48"/>
  <c r="AN43" i="48"/>
  <c r="AN44" i="48"/>
  <c r="AN45" i="48"/>
  <c r="AN46" i="48"/>
  <c r="AN8" i="48"/>
  <c r="AM6" i="48"/>
  <c r="BC49" i="48"/>
  <c r="BC51" i="48"/>
  <c r="BC26" i="48"/>
  <c r="BC48" i="48"/>
  <c r="BC52" i="48"/>
  <c r="BC54" i="48"/>
  <c r="BC55" i="48"/>
  <c r="BC9" i="48"/>
  <c r="BC10" i="48"/>
  <c r="BC11" i="48"/>
  <c r="BC12" i="48"/>
  <c r="BC13" i="48"/>
  <c r="BC14" i="48"/>
  <c r="BC15" i="48"/>
  <c r="BC16" i="48"/>
  <c r="BC17" i="48"/>
  <c r="BC18" i="48"/>
  <c r="BC19" i="48"/>
  <c r="BC20" i="48"/>
  <c r="BC21" i="48"/>
  <c r="BC22" i="48"/>
  <c r="BC23" i="48"/>
  <c r="BC24" i="48"/>
  <c r="BC25" i="48"/>
  <c r="BC33" i="48"/>
  <c r="BC34" i="48"/>
  <c r="BC35" i="48"/>
  <c r="BC36" i="48"/>
  <c r="BC37" i="48"/>
  <c r="BC38" i="48"/>
  <c r="BC39" i="48"/>
  <c r="BC8" i="48"/>
  <c r="BC40" i="48"/>
  <c r="BC41" i="48"/>
  <c r="BC42" i="48"/>
  <c r="BC43" i="48"/>
  <c r="BC44" i="48"/>
  <c r="BC45" i="48"/>
  <c r="BC46" i="48"/>
  <c r="AU49" i="48"/>
  <c r="AU51" i="48"/>
  <c r="AU26" i="48"/>
  <c r="AU48" i="48"/>
  <c r="AU52" i="48"/>
  <c r="AU54" i="48"/>
  <c r="AU55" i="48"/>
  <c r="AU9" i="48"/>
  <c r="AU10" i="48"/>
  <c r="AU11" i="48"/>
  <c r="AU12" i="48"/>
  <c r="AU13" i="48"/>
  <c r="AU14" i="48"/>
  <c r="AU15" i="48"/>
  <c r="AU16" i="48"/>
  <c r="AU17" i="48"/>
  <c r="AU18" i="48"/>
  <c r="AU19" i="48"/>
  <c r="AU20" i="48"/>
  <c r="AU21" i="48"/>
  <c r="AU22" i="48"/>
  <c r="AU23" i="48"/>
  <c r="AU24" i="48"/>
  <c r="AU25" i="48"/>
  <c r="AU33" i="48"/>
  <c r="AU34" i="48"/>
  <c r="AU35" i="48"/>
  <c r="AU36" i="48"/>
  <c r="AU37" i="48"/>
  <c r="AU38" i="48"/>
  <c r="AU39" i="48"/>
  <c r="AU40" i="48"/>
  <c r="AU8" i="48"/>
  <c r="AU41" i="48"/>
  <c r="AU42" i="48"/>
  <c r="AU43" i="48"/>
  <c r="AU44" i="48"/>
  <c r="AU45" i="48"/>
  <c r="AU46" i="48"/>
  <c r="AK26" i="48"/>
  <c r="AK48" i="48"/>
  <c r="AK49" i="48"/>
  <c r="AK51" i="48"/>
  <c r="AK52" i="48"/>
  <c r="AK54" i="48"/>
  <c r="AK55" i="48"/>
  <c r="AK9" i="48"/>
  <c r="AK10" i="48"/>
  <c r="AK11" i="48"/>
  <c r="AK8" i="48"/>
  <c r="AK12" i="48"/>
  <c r="AK13" i="48"/>
  <c r="AK14" i="48"/>
  <c r="AK15" i="48"/>
  <c r="AK16" i="48"/>
  <c r="AK17" i="48"/>
  <c r="AK18" i="48"/>
  <c r="AK19" i="48"/>
  <c r="AK20" i="48"/>
  <c r="AK21" i="48"/>
  <c r="AK22" i="48"/>
  <c r="AK23" i="48"/>
  <c r="AK24" i="48"/>
  <c r="AK25" i="48"/>
  <c r="AK33" i="48"/>
  <c r="AK34" i="48"/>
  <c r="AK35" i="48"/>
  <c r="AK36" i="48"/>
  <c r="AK37" i="48"/>
  <c r="AK38" i="48"/>
  <c r="AK39" i="48"/>
  <c r="AK40" i="48"/>
  <c r="AK41" i="48"/>
  <c r="AK42" i="48"/>
  <c r="AK43" i="48"/>
  <c r="AK44" i="48"/>
  <c r="AK45" i="48"/>
  <c r="AK46" i="48"/>
  <c r="AC26" i="48"/>
  <c r="AC48" i="48"/>
  <c r="AC49" i="48"/>
  <c r="AC51" i="48"/>
  <c r="AC52" i="48"/>
  <c r="AC54" i="48"/>
  <c r="AC55" i="48"/>
  <c r="AC9" i="48"/>
  <c r="AC10" i="48"/>
  <c r="AC11" i="48"/>
  <c r="AC8" i="48"/>
  <c r="AC12" i="48"/>
  <c r="AC13" i="48"/>
  <c r="AC14" i="48"/>
  <c r="AC15" i="48"/>
  <c r="AC16" i="48"/>
  <c r="AC17" i="48"/>
  <c r="AC18" i="48"/>
  <c r="AC19" i="48"/>
  <c r="AC20" i="48"/>
  <c r="AC21" i="48"/>
  <c r="AC22" i="48"/>
  <c r="AC23" i="48"/>
  <c r="AC24" i="48"/>
  <c r="AC25" i="48"/>
  <c r="AC33" i="48"/>
  <c r="AC34" i="48"/>
  <c r="AC35" i="48"/>
  <c r="AC36" i="48"/>
  <c r="AC37" i="48"/>
  <c r="AC38" i="48"/>
  <c r="AC39" i="48"/>
  <c r="AC40" i="48"/>
  <c r="AC41" i="48"/>
  <c r="AC42" i="48"/>
  <c r="AC43" i="48"/>
  <c r="AC44" i="48"/>
  <c r="AC45" i="48"/>
  <c r="AC46" i="48"/>
  <c r="U26" i="48"/>
  <c r="U48" i="48"/>
  <c r="U49" i="48"/>
  <c r="U51" i="48"/>
  <c r="U52" i="48"/>
  <c r="U54" i="48"/>
  <c r="U55" i="48"/>
  <c r="U9" i="48"/>
  <c r="U10" i="48"/>
  <c r="U11" i="48"/>
  <c r="U12" i="48"/>
  <c r="U8" i="48"/>
  <c r="U13" i="48"/>
  <c r="U14" i="48"/>
  <c r="U15" i="48"/>
  <c r="U16" i="48"/>
  <c r="U17" i="48"/>
  <c r="U18" i="48"/>
  <c r="U19" i="48"/>
  <c r="U20" i="48"/>
  <c r="U21" i="48"/>
  <c r="U22" i="48"/>
  <c r="U23" i="48"/>
  <c r="U24" i="48"/>
  <c r="U25" i="48"/>
  <c r="U33" i="48"/>
  <c r="U34" i="48"/>
  <c r="U35" i="48"/>
  <c r="U36" i="48"/>
  <c r="U37" i="48"/>
  <c r="U38" i="48"/>
  <c r="U39" i="48"/>
  <c r="U40" i="48"/>
  <c r="U41" i="48"/>
  <c r="U42" i="48"/>
  <c r="U43" i="48"/>
  <c r="U44" i="48"/>
  <c r="U45" i="48"/>
  <c r="U46" i="48"/>
  <c r="S6" i="48"/>
  <c r="AX26" i="48"/>
  <c r="AX49" i="48"/>
  <c r="AX51" i="48"/>
  <c r="AX52" i="48"/>
  <c r="AX54" i="48"/>
  <c r="AX55" i="48"/>
  <c r="AX9" i="48"/>
  <c r="AX10" i="48"/>
  <c r="AX11" i="48"/>
  <c r="AX12" i="48"/>
  <c r="AX13" i="48"/>
  <c r="AX48" i="48"/>
  <c r="AX15" i="48"/>
  <c r="AX16" i="48"/>
  <c r="AX17" i="48"/>
  <c r="AX18" i="48"/>
  <c r="AX19" i="48"/>
  <c r="AX20" i="48"/>
  <c r="AX21" i="48"/>
  <c r="AX22" i="48"/>
  <c r="AX23" i="48"/>
  <c r="AX24" i="48"/>
  <c r="AX25" i="48"/>
  <c r="AX33" i="48"/>
  <c r="AX34" i="48"/>
  <c r="AX35" i="48"/>
  <c r="AX36" i="48"/>
  <c r="AX37" i="48"/>
  <c r="AX38" i="48"/>
  <c r="AX39" i="48"/>
  <c r="AX40" i="48"/>
  <c r="AX14" i="48"/>
  <c r="AX41" i="48"/>
  <c r="AX42" i="48"/>
  <c r="AX43" i="48"/>
  <c r="AX44" i="48"/>
  <c r="AX45" i="48"/>
  <c r="AX46" i="48"/>
  <c r="AX8" i="48"/>
  <c r="AP26" i="48"/>
  <c r="AP49" i="48"/>
  <c r="AP51" i="48"/>
  <c r="AP52" i="48"/>
  <c r="AP54" i="48"/>
  <c r="AP55" i="48"/>
  <c r="AP9" i="48"/>
  <c r="AP10" i="48"/>
  <c r="AP11" i="48"/>
  <c r="AP12" i="48"/>
  <c r="AP13" i="48"/>
  <c r="AP14" i="48"/>
  <c r="AP48" i="48"/>
  <c r="AP15" i="48"/>
  <c r="AP16" i="48"/>
  <c r="AP17" i="48"/>
  <c r="AP18" i="48"/>
  <c r="AP19" i="48"/>
  <c r="AP20" i="48"/>
  <c r="AP21" i="48"/>
  <c r="AP22" i="48"/>
  <c r="AP23" i="48"/>
  <c r="AP24" i="48"/>
  <c r="AP25" i="48"/>
  <c r="AP33" i="48"/>
  <c r="AP34" i="48"/>
  <c r="AP35" i="48"/>
  <c r="AP36" i="48"/>
  <c r="AP37" i="48"/>
  <c r="AP38" i="48"/>
  <c r="AP39" i="48"/>
  <c r="AP40" i="48"/>
  <c r="AP41" i="48"/>
  <c r="AP42" i="48"/>
  <c r="AP43" i="48"/>
  <c r="AP44" i="48"/>
  <c r="AP45" i="48"/>
  <c r="AP46" i="48"/>
  <c r="AP8" i="48"/>
  <c r="BE49" i="48"/>
  <c r="BE51" i="48"/>
  <c r="BE26" i="48"/>
  <c r="BE48" i="48"/>
  <c r="BE52" i="48"/>
  <c r="BE54" i="48"/>
  <c r="BE55" i="48"/>
  <c r="BE9" i="48"/>
  <c r="BE10" i="48"/>
  <c r="BE11" i="48"/>
  <c r="BE12" i="48"/>
  <c r="BE13" i="48"/>
  <c r="BE14" i="48"/>
  <c r="BE15" i="48"/>
  <c r="BE16" i="48"/>
  <c r="BE17" i="48"/>
  <c r="BE18" i="48"/>
  <c r="BE19" i="48"/>
  <c r="BE20" i="48"/>
  <c r="BE21" i="48"/>
  <c r="BE22" i="48"/>
  <c r="BE23" i="48"/>
  <c r="BE24" i="48"/>
  <c r="BE25" i="48"/>
  <c r="BE33" i="48"/>
  <c r="BE34" i="48"/>
  <c r="BE35" i="48"/>
  <c r="BE36" i="48"/>
  <c r="BE37" i="48"/>
  <c r="BE38" i="48"/>
  <c r="BE39" i="48"/>
  <c r="BE8" i="48"/>
  <c r="BE40" i="48"/>
  <c r="BE41" i="48"/>
  <c r="BE42" i="48"/>
  <c r="BE43" i="48"/>
  <c r="BE44" i="48"/>
  <c r="BE45" i="48"/>
  <c r="BE46" i="48"/>
  <c r="AW49" i="48"/>
  <c r="AW51" i="48"/>
  <c r="AW26" i="48"/>
  <c r="AW48" i="48"/>
  <c r="AW52" i="48"/>
  <c r="AW54" i="48"/>
  <c r="AW55" i="48"/>
  <c r="AW9" i="48"/>
  <c r="AW10" i="48"/>
  <c r="AW11" i="48"/>
  <c r="AW12" i="48"/>
  <c r="AW13" i="48"/>
  <c r="AW14" i="48"/>
  <c r="AW15" i="48"/>
  <c r="AW16" i="48"/>
  <c r="AW17" i="48"/>
  <c r="AW18" i="48"/>
  <c r="AW19" i="48"/>
  <c r="AW20" i="48"/>
  <c r="AW21" i="48"/>
  <c r="AW22" i="48"/>
  <c r="AW23" i="48"/>
  <c r="AW24" i="48"/>
  <c r="AW25" i="48"/>
  <c r="AW33" i="48"/>
  <c r="AW34" i="48"/>
  <c r="AW35" i="48"/>
  <c r="AW36" i="48"/>
  <c r="AW37" i="48"/>
  <c r="AW38" i="48"/>
  <c r="AW39" i="48"/>
  <c r="AW8" i="48"/>
  <c r="AW40" i="48"/>
  <c r="AW41" i="48"/>
  <c r="AW42" i="48"/>
  <c r="AW43" i="48"/>
  <c r="AW44" i="48"/>
  <c r="AW45" i="48"/>
  <c r="AW46" i="48"/>
  <c r="AO49" i="48"/>
  <c r="AO51" i="48"/>
  <c r="AO52" i="48"/>
  <c r="AO26" i="48"/>
  <c r="AO48" i="48"/>
  <c r="AO54" i="48"/>
  <c r="AO55" i="48"/>
  <c r="AO9" i="48"/>
  <c r="AO10" i="48"/>
  <c r="AO11" i="48"/>
  <c r="AO12" i="48"/>
  <c r="AO13" i="48"/>
  <c r="AO14" i="48"/>
  <c r="AO15" i="48"/>
  <c r="AO16" i="48"/>
  <c r="AO17" i="48"/>
  <c r="AO18" i="48"/>
  <c r="AO19" i="48"/>
  <c r="AO20" i="48"/>
  <c r="AO21" i="48"/>
  <c r="AO22" i="48"/>
  <c r="AO23" i="48"/>
  <c r="AO24" i="48"/>
  <c r="AO25" i="48"/>
  <c r="AO33" i="48"/>
  <c r="AO34" i="48"/>
  <c r="AO35" i="48"/>
  <c r="AO36" i="48"/>
  <c r="AO37" i="48"/>
  <c r="AO38" i="48"/>
  <c r="AO39" i="48"/>
  <c r="AO40" i="48"/>
  <c r="AO8" i="48"/>
  <c r="AO41" i="48"/>
  <c r="AO42" i="48"/>
  <c r="AO43" i="48"/>
  <c r="AO44" i="48"/>
  <c r="AO45" i="48"/>
  <c r="AO46" i="48"/>
  <c r="AE26" i="48"/>
  <c r="AE48" i="48"/>
  <c r="AE49" i="48"/>
  <c r="AE51" i="48"/>
  <c r="AE52" i="48"/>
  <c r="AE54" i="48"/>
  <c r="AE55" i="48"/>
  <c r="AE9" i="48"/>
  <c r="AE10" i="48"/>
  <c r="AE11" i="48"/>
  <c r="AE8" i="48"/>
  <c r="AE12" i="48"/>
  <c r="AE13" i="48"/>
  <c r="AE14" i="48"/>
  <c r="AE15" i="48"/>
  <c r="AE16" i="48"/>
  <c r="AE17" i="48"/>
  <c r="AE18" i="48"/>
  <c r="AE19" i="48"/>
  <c r="AE20" i="48"/>
  <c r="AE21" i="48"/>
  <c r="AE22" i="48"/>
  <c r="AE23" i="48"/>
  <c r="AE24" i="48"/>
  <c r="AE25" i="48"/>
  <c r="AE33" i="48"/>
  <c r="AE34" i="48"/>
  <c r="AE35" i="48"/>
  <c r="AE36" i="48"/>
  <c r="AE37" i="48"/>
  <c r="AE38" i="48"/>
  <c r="AE39" i="48"/>
  <c r="AE40" i="48"/>
  <c r="AE41" i="48"/>
  <c r="AE42" i="48"/>
  <c r="AE43" i="48"/>
  <c r="AE44" i="48"/>
  <c r="AE45" i="48"/>
  <c r="AE46" i="48"/>
  <c r="W26" i="48"/>
  <c r="W48" i="48"/>
  <c r="W49" i="48"/>
  <c r="W51" i="48"/>
  <c r="W52" i="48"/>
  <c r="W54" i="48"/>
  <c r="W55" i="48"/>
  <c r="W9" i="48"/>
  <c r="W10" i="48"/>
  <c r="W11" i="48"/>
  <c r="W12" i="48"/>
  <c r="W8" i="48"/>
  <c r="W13" i="48"/>
  <c r="W14" i="48"/>
  <c r="W15" i="48"/>
  <c r="W16" i="48"/>
  <c r="W17" i="48"/>
  <c r="W18" i="48"/>
  <c r="W19" i="48"/>
  <c r="W20" i="48"/>
  <c r="W21" i="48"/>
  <c r="W22" i="48"/>
  <c r="W23" i="48"/>
  <c r="W24" i="48"/>
  <c r="W25" i="48"/>
  <c r="W33" i="48"/>
  <c r="W34" i="48"/>
  <c r="W35" i="48"/>
  <c r="W36" i="48"/>
  <c r="W37" i="48"/>
  <c r="W38" i="48"/>
  <c r="W39" i="48"/>
  <c r="W40" i="48"/>
  <c r="W41" i="48"/>
  <c r="W42" i="48"/>
  <c r="W43" i="48"/>
  <c r="W44" i="48"/>
  <c r="W45" i="48"/>
  <c r="W46" i="48"/>
  <c r="AZ26" i="48"/>
  <c r="AZ49" i="48"/>
  <c r="AZ51" i="48"/>
  <c r="AZ52" i="48"/>
  <c r="AZ54" i="48"/>
  <c r="AZ55" i="48"/>
  <c r="AZ9" i="48"/>
  <c r="AZ10" i="48"/>
  <c r="AZ11" i="48"/>
  <c r="AZ12" i="48"/>
  <c r="AZ13" i="48"/>
  <c r="AZ48" i="48"/>
  <c r="AZ14" i="48"/>
  <c r="AZ15" i="48"/>
  <c r="AZ16" i="48"/>
  <c r="AZ17" i="48"/>
  <c r="AZ18" i="48"/>
  <c r="AZ19" i="48"/>
  <c r="AZ20" i="48"/>
  <c r="AZ21" i="48"/>
  <c r="AZ22" i="48"/>
  <c r="AZ23" i="48"/>
  <c r="AZ24" i="48"/>
  <c r="AZ25" i="48"/>
  <c r="AZ33" i="48"/>
  <c r="AZ34" i="48"/>
  <c r="AZ35" i="48"/>
  <c r="AZ36" i="48"/>
  <c r="AZ37" i="48"/>
  <c r="AZ38" i="48"/>
  <c r="AZ39" i="48"/>
  <c r="AZ40" i="48"/>
  <c r="AZ41" i="48"/>
  <c r="AZ42" i="48"/>
  <c r="AZ43" i="48"/>
  <c r="AZ44" i="48"/>
  <c r="AZ45" i="48"/>
  <c r="AZ46" i="48"/>
  <c r="AZ8" i="48"/>
  <c r="AR26" i="48"/>
  <c r="AR49" i="48"/>
  <c r="AR51" i="48"/>
  <c r="AR52" i="48"/>
  <c r="AR54" i="48"/>
  <c r="AR55" i="48"/>
  <c r="AR9" i="48"/>
  <c r="AR10" i="48"/>
  <c r="AR11" i="48"/>
  <c r="AR12" i="48"/>
  <c r="AR13" i="48"/>
  <c r="AR14" i="48"/>
  <c r="AR48" i="48"/>
  <c r="AR15" i="48"/>
  <c r="AR16" i="48"/>
  <c r="AR17" i="48"/>
  <c r="AR18" i="48"/>
  <c r="AR19" i="48"/>
  <c r="AR20" i="48"/>
  <c r="AR21" i="48"/>
  <c r="AR22" i="48"/>
  <c r="AR23" i="48"/>
  <c r="AR24" i="48"/>
  <c r="AR25" i="48"/>
  <c r="AR33" i="48"/>
  <c r="AR34" i="48"/>
  <c r="AR35" i="48"/>
  <c r="AR36" i="48"/>
  <c r="AR37" i="48"/>
  <c r="AR38" i="48"/>
  <c r="AR39" i="48"/>
  <c r="AR40" i="48"/>
  <c r="AR41" i="48"/>
  <c r="AR42" i="48"/>
  <c r="AR43" i="48"/>
  <c r="AR44" i="48"/>
  <c r="AR45" i="48"/>
  <c r="AR46" i="48"/>
  <c r="AR8" i="48"/>
  <c r="AY49" i="48"/>
  <c r="AY51" i="48"/>
  <c r="AY26" i="48"/>
  <c r="AY48" i="48"/>
  <c r="AY52" i="48"/>
  <c r="AY54" i="48"/>
  <c r="AY55" i="48"/>
  <c r="AY9" i="48"/>
  <c r="AY10" i="48"/>
  <c r="AY11" i="48"/>
  <c r="AY12" i="48"/>
  <c r="AY13" i="48"/>
  <c r="AY14" i="48"/>
  <c r="AY15" i="48"/>
  <c r="AY16" i="48"/>
  <c r="AY17" i="48"/>
  <c r="AY18" i="48"/>
  <c r="AY19" i="48"/>
  <c r="AY20" i="48"/>
  <c r="AY21" i="48"/>
  <c r="AY22" i="48"/>
  <c r="AY23" i="48"/>
  <c r="AY24" i="48"/>
  <c r="AY25" i="48"/>
  <c r="AY33" i="48"/>
  <c r="AY34" i="48"/>
  <c r="AY35" i="48"/>
  <c r="AY36" i="48"/>
  <c r="AY37" i="48"/>
  <c r="AY38" i="48"/>
  <c r="AY39" i="48"/>
  <c r="AY40" i="48"/>
  <c r="AY8" i="48"/>
  <c r="AY41" i="48"/>
  <c r="AY42" i="48"/>
  <c r="AY43" i="48"/>
  <c r="AY44" i="48"/>
  <c r="AY45" i="48"/>
  <c r="AY46" i="48"/>
  <c r="AQ49" i="48"/>
  <c r="AQ51" i="48"/>
  <c r="AQ26" i="48"/>
  <c r="AQ48" i="48"/>
  <c r="AQ52" i="48"/>
  <c r="AQ54" i="48"/>
  <c r="AQ55" i="48"/>
  <c r="AQ9" i="48"/>
  <c r="AQ10" i="48"/>
  <c r="AQ11" i="48"/>
  <c r="AQ12" i="48"/>
  <c r="AQ13" i="48"/>
  <c r="AQ14" i="48"/>
  <c r="AQ15" i="48"/>
  <c r="AQ16" i="48"/>
  <c r="AQ17" i="48"/>
  <c r="AQ18" i="48"/>
  <c r="AQ19" i="48"/>
  <c r="AQ20" i="48"/>
  <c r="AQ21" i="48"/>
  <c r="AQ22" i="48"/>
  <c r="AQ23" i="48"/>
  <c r="AQ24" i="48"/>
  <c r="AQ25" i="48"/>
  <c r="AQ33" i="48"/>
  <c r="AQ34" i="48"/>
  <c r="AQ35" i="48"/>
  <c r="AQ36" i="48"/>
  <c r="AQ37" i="48"/>
  <c r="AQ38" i="48"/>
  <c r="AQ39" i="48"/>
  <c r="AQ40" i="48"/>
  <c r="AQ8" i="48"/>
  <c r="AQ41" i="48"/>
  <c r="AQ42" i="48"/>
  <c r="AQ43" i="48"/>
  <c r="AQ44" i="48"/>
  <c r="AQ45" i="48"/>
  <c r="AQ46" i="48"/>
  <c r="AG26" i="48"/>
  <c r="AG48" i="48"/>
  <c r="AG49" i="48"/>
  <c r="AG51" i="48"/>
  <c r="AG52" i="48"/>
  <c r="AG54" i="48"/>
  <c r="AG55" i="48"/>
  <c r="AG9" i="48"/>
  <c r="AG10" i="48"/>
  <c r="AG11" i="48"/>
  <c r="AG8" i="48"/>
  <c r="AG12" i="48"/>
  <c r="AG13" i="48"/>
  <c r="AG14" i="48"/>
  <c r="AG15" i="48"/>
  <c r="AG16" i="48"/>
  <c r="AG17" i="48"/>
  <c r="AG18" i="48"/>
  <c r="AG19" i="48"/>
  <c r="AG20" i="48"/>
  <c r="AG21" i="48"/>
  <c r="AG22" i="48"/>
  <c r="AG23" i="48"/>
  <c r="AG24" i="48"/>
  <c r="AG25" i="48"/>
  <c r="AG33" i="48"/>
  <c r="AG34" i="48"/>
  <c r="AG35" i="48"/>
  <c r="AG36" i="48"/>
  <c r="AG37" i="48"/>
  <c r="AG38" i="48"/>
  <c r="AG39" i="48"/>
  <c r="AG40" i="48"/>
  <c r="AG41" i="48"/>
  <c r="AG42" i="48"/>
  <c r="AG43" i="48"/>
  <c r="AG44" i="48"/>
  <c r="AG45" i="48"/>
  <c r="AG46" i="48"/>
  <c r="Y26" i="48"/>
  <c r="Y48" i="48"/>
  <c r="Y49" i="48"/>
  <c r="Y51" i="48"/>
  <c r="Y52" i="48"/>
  <c r="Y54" i="48"/>
  <c r="Y55" i="48"/>
  <c r="Y9" i="48"/>
  <c r="Y10" i="48"/>
  <c r="Y11" i="48"/>
  <c r="Y12" i="48"/>
  <c r="Y8" i="48"/>
  <c r="Y13" i="48"/>
  <c r="Y14" i="48"/>
  <c r="Y15" i="48"/>
  <c r="Y16" i="48"/>
  <c r="Y17" i="48"/>
  <c r="Y18" i="48"/>
  <c r="Y19" i="48"/>
  <c r="Y20" i="48"/>
  <c r="Y21" i="48"/>
  <c r="Y22" i="48"/>
  <c r="Y23" i="48"/>
  <c r="Y24" i="48"/>
  <c r="Y25" i="48"/>
  <c r="Y33" i="48"/>
  <c r="Y34" i="48"/>
  <c r="Y35" i="48"/>
  <c r="Y36" i="48"/>
  <c r="Y37" i="48"/>
  <c r="Y38" i="48"/>
  <c r="Y39" i="48"/>
  <c r="Y40" i="48"/>
  <c r="Y41" i="48"/>
  <c r="Y42" i="48"/>
  <c r="Y43" i="48"/>
  <c r="Y44" i="48"/>
  <c r="Y45" i="48"/>
  <c r="Y46" i="48"/>
  <c r="BB26" i="48"/>
  <c r="BB49" i="48"/>
  <c r="BB51" i="48"/>
  <c r="BB52" i="48"/>
  <c r="BB54" i="48"/>
  <c r="BB55" i="48"/>
  <c r="BB9" i="48"/>
  <c r="BB10" i="48"/>
  <c r="BB11" i="48"/>
  <c r="BB12" i="48"/>
  <c r="BB13" i="48"/>
  <c r="BB48" i="48"/>
  <c r="BB15" i="48"/>
  <c r="BB16" i="48"/>
  <c r="BB17" i="48"/>
  <c r="BB18" i="48"/>
  <c r="BB19" i="48"/>
  <c r="BB20" i="48"/>
  <c r="BB21" i="48"/>
  <c r="BB22" i="48"/>
  <c r="BB23" i="48"/>
  <c r="BB24" i="48"/>
  <c r="BB25" i="48"/>
  <c r="BB33" i="48"/>
  <c r="BB34" i="48"/>
  <c r="BB35" i="48"/>
  <c r="BB36" i="48"/>
  <c r="BB37" i="48"/>
  <c r="BB38" i="48"/>
  <c r="BB39" i="48"/>
  <c r="BB14" i="48"/>
  <c r="BB40" i="48"/>
  <c r="BB41" i="48"/>
  <c r="BB42" i="48"/>
  <c r="BB43" i="48"/>
  <c r="BB44" i="48"/>
  <c r="BB45" i="48"/>
  <c r="BB46" i="48"/>
  <c r="BB8" i="48"/>
  <c r="AT26" i="48"/>
  <c r="AT49" i="48"/>
  <c r="AT51" i="48"/>
  <c r="AT52" i="48"/>
  <c r="AT54" i="48"/>
  <c r="AT55" i="48"/>
  <c r="AT9" i="48"/>
  <c r="AT10" i="48"/>
  <c r="AT11" i="48"/>
  <c r="AT12" i="48"/>
  <c r="AT13" i="48"/>
  <c r="AT14" i="48"/>
  <c r="AT48" i="48"/>
  <c r="AT15" i="48"/>
  <c r="AT16" i="48"/>
  <c r="AT17" i="48"/>
  <c r="AT18" i="48"/>
  <c r="AT19" i="48"/>
  <c r="AT20" i="48"/>
  <c r="AT21" i="48"/>
  <c r="AT22" i="48"/>
  <c r="AT23" i="48"/>
  <c r="AT24" i="48"/>
  <c r="AT25" i="48"/>
  <c r="AT33" i="48"/>
  <c r="AT34" i="48"/>
  <c r="AT35" i="48"/>
  <c r="AT36" i="48"/>
  <c r="AT37" i="48"/>
  <c r="AT38" i="48"/>
  <c r="AT39" i="48"/>
  <c r="AT40" i="48"/>
  <c r="AT41" i="48"/>
  <c r="AT42" i="48"/>
  <c r="AT43" i="48"/>
  <c r="AT44" i="48"/>
  <c r="AT45" i="48"/>
  <c r="AT46" i="48"/>
  <c r="AT8" i="48"/>
  <c r="C48" i="43"/>
  <c r="B48" i="43"/>
  <c r="C47" i="43"/>
  <c r="B47" i="43"/>
  <c r="C46" i="43"/>
  <c r="B46" i="43"/>
  <c r="C45" i="43"/>
  <c r="B45" i="43"/>
  <c r="C44" i="43"/>
  <c r="B44" i="43"/>
  <c r="C43" i="43"/>
  <c r="B43" i="43"/>
  <c r="C41" i="43"/>
  <c r="B41" i="43"/>
  <c r="C40" i="43"/>
  <c r="B40" i="43"/>
  <c r="C39" i="43"/>
  <c r="B39" i="43"/>
  <c r="C38" i="43"/>
  <c r="B38" i="43"/>
  <c r="C37" i="43"/>
  <c r="B37" i="43"/>
  <c r="C36" i="43"/>
  <c r="B36" i="43"/>
  <c r="C35" i="43"/>
  <c r="B35" i="43"/>
  <c r="C34" i="43"/>
  <c r="B34" i="43"/>
  <c r="C33" i="43"/>
  <c r="B33" i="43"/>
  <c r="C32" i="43"/>
  <c r="B32" i="43"/>
  <c r="C31" i="43"/>
  <c r="B31" i="43"/>
  <c r="C30" i="43"/>
  <c r="B30" i="43"/>
  <c r="C29" i="43"/>
  <c r="B29" i="43"/>
  <c r="B28" i="43"/>
  <c r="C27" i="43"/>
  <c r="B27" i="43"/>
  <c r="C26" i="43"/>
  <c r="B26" i="43"/>
  <c r="C25" i="43"/>
  <c r="B25" i="43"/>
  <c r="C24" i="43"/>
  <c r="B24" i="43"/>
  <c r="C23" i="43"/>
  <c r="B23" i="43"/>
  <c r="C22" i="43"/>
  <c r="B22" i="43"/>
  <c r="C21" i="43"/>
  <c r="B21" i="43"/>
  <c r="C20" i="43"/>
  <c r="B20" i="43"/>
  <c r="C19" i="43"/>
  <c r="B19" i="43"/>
  <c r="C18" i="43"/>
  <c r="B18" i="43"/>
  <c r="C17" i="43"/>
  <c r="B17" i="43"/>
  <c r="C16" i="43"/>
  <c r="B16" i="43"/>
  <c r="C15" i="43"/>
  <c r="B15" i="43"/>
  <c r="C14" i="43"/>
  <c r="B14" i="43"/>
  <c r="C13" i="43"/>
  <c r="B13" i="43"/>
  <c r="C12" i="43"/>
  <c r="B12" i="43"/>
  <c r="C11" i="43"/>
  <c r="B11" i="43"/>
  <c r="C10" i="43"/>
  <c r="B10" i="43"/>
  <c r="C9" i="43"/>
  <c r="B9" i="43"/>
  <c r="C8" i="43"/>
  <c r="B8" i="43"/>
  <c r="C7" i="43"/>
  <c r="B7" i="43"/>
  <c r="C52" i="44"/>
  <c r="B52" i="44"/>
  <c r="C51" i="44"/>
  <c r="B51" i="44"/>
  <c r="C50" i="44"/>
  <c r="B50" i="44"/>
  <c r="C49" i="44"/>
  <c r="B49" i="44"/>
  <c r="C48" i="44"/>
  <c r="B48" i="44"/>
  <c r="C47" i="44"/>
  <c r="B47" i="44"/>
  <c r="C46" i="44"/>
  <c r="B46" i="44"/>
  <c r="C45" i="44"/>
  <c r="B45" i="44"/>
  <c r="C43" i="44"/>
  <c r="B43" i="44"/>
  <c r="C42" i="44"/>
  <c r="B42" i="44"/>
  <c r="C41" i="44"/>
  <c r="B41" i="44"/>
  <c r="C40" i="44"/>
  <c r="B40" i="44"/>
  <c r="C39" i="44"/>
  <c r="B39" i="44"/>
  <c r="C38" i="44"/>
  <c r="B38" i="44"/>
  <c r="C37" i="44"/>
  <c r="B37" i="44"/>
  <c r="C36" i="44"/>
  <c r="B36" i="44"/>
  <c r="C35" i="44"/>
  <c r="B35" i="44"/>
  <c r="C34" i="44"/>
  <c r="B34" i="44"/>
  <c r="C33" i="44"/>
  <c r="B33" i="44"/>
  <c r="C32" i="44"/>
  <c r="B32" i="44"/>
  <c r="C31" i="44"/>
  <c r="B31" i="44"/>
  <c r="B30" i="44"/>
  <c r="C29" i="44"/>
  <c r="B29" i="44"/>
  <c r="C28" i="44"/>
  <c r="B28" i="44"/>
  <c r="C27" i="44"/>
  <c r="B27" i="44"/>
  <c r="C26" i="44"/>
  <c r="B26" i="44"/>
  <c r="C25" i="44"/>
  <c r="B25" i="44"/>
  <c r="C24" i="44"/>
  <c r="B24" i="44"/>
  <c r="C23" i="44"/>
  <c r="B23" i="44"/>
  <c r="C22" i="44"/>
  <c r="B22" i="44"/>
  <c r="C21" i="44"/>
  <c r="B21" i="44"/>
  <c r="C20" i="44"/>
  <c r="B20" i="44"/>
  <c r="C19" i="44"/>
  <c r="B19" i="44"/>
  <c r="C18" i="44"/>
  <c r="B18" i="44"/>
  <c r="C17" i="44"/>
  <c r="B17" i="44"/>
  <c r="C16" i="44"/>
  <c r="B16" i="44"/>
  <c r="C15" i="44"/>
  <c r="B15" i="44"/>
  <c r="C14" i="44"/>
  <c r="B14" i="44"/>
  <c r="C13" i="44"/>
  <c r="B13" i="44"/>
  <c r="C12" i="44"/>
  <c r="B12" i="44"/>
  <c r="C11" i="44"/>
  <c r="B11" i="44"/>
  <c r="C10" i="44"/>
  <c r="B10" i="44"/>
  <c r="C9" i="44"/>
  <c r="B9" i="44"/>
  <c r="C8" i="44"/>
  <c r="B8" i="44"/>
  <c r="C7" i="44"/>
  <c r="B7" i="44"/>
  <c r="C41" i="45"/>
  <c r="B41" i="45"/>
  <c r="C40" i="45"/>
  <c r="B40" i="45"/>
  <c r="C39" i="45"/>
  <c r="B39" i="45"/>
  <c r="C38" i="45"/>
  <c r="B38" i="45"/>
  <c r="C37" i="45"/>
  <c r="B37" i="45"/>
  <c r="C36" i="45"/>
  <c r="B36" i="45"/>
  <c r="C35" i="45"/>
  <c r="B35" i="45"/>
  <c r="C34" i="45"/>
  <c r="B34" i="45"/>
  <c r="C33" i="45"/>
  <c r="B33" i="45"/>
  <c r="C32" i="45"/>
  <c r="B32" i="45"/>
  <c r="C31" i="45"/>
  <c r="B31" i="45"/>
  <c r="C30" i="45"/>
  <c r="B30" i="45"/>
  <c r="C29" i="45"/>
  <c r="B29" i="45"/>
  <c r="B28" i="45"/>
  <c r="C27" i="45"/>
  <c r="B27" i="45"/>
  <c r="C26" i="45"/>
  <c r="B26" i="45"/>
  <c r="C25" i="45"/>
  <c r="B25" i="45"/>
  <c r="C24" i="45"/>
  <c r="B24" i="45"/>
  <c r="C23" i="45"/>
  <c r="B23" i="45"/>
  <c r="C22" i="45"/>
  <c r="B22" i="45"/>
  <c r="C21" i="45"/>
  <c r="B21" i="45"/>
  <c r="C20" i="45"/>
  <c r="B20" i="45"/>
  <c r="C19" i="45"/>
  <c r="B19" i="45"/>
  <c r="C18" i="45"/>
  <c r="B18" i="45"/>
  <c r="C17" i="45"/>
  <c r="B17" i="45"/>
  <c r="C16" i="45"/>
  <c r="B16" i="45"/>
  <c r="C15" i="45"/>
  <c r="B15" i="45"/>
  <c r="C14" i="45"/>
  <c r="B14" i="45"/>
  <c r="C13" i="45"/>
  <c r="B13" i="45"/>
  <c r="C12" i="45"/>
  <c r="B12" i="45"/>
  <c r="C11" i="45"/>
  <c r="B11" i="45"/>
  <c r="C10" i="45"/>
  <c r="B10" i="45"/>
  <c r="C9" i="45"/>
  <c r="B9" i="45"/>
  <c r="C8" i="45"/>
  <c r="B8" i="45"/>
  <c r="C7" i="45"/>
  <c r="B7" i="45"/>
  <c r="C43" i="46"/>
  <c r="B43" i="46"/>
  <c r="C42" i="46"/>
  <c r="B42" i="46"/>
  <c r="C41" i="46"/>
  <c r="B41" i="46"/>
  <c r="C40" i="46"/>
  <c r="B40" i="46"/>
  <c r="C39" i="46"/>
  <c r="B39" i="46"/>
  <c r="C38" i="46"/>
  <c r="B38" i="46"/>
  <c r="C37" i="46"/>
  <c r="B37" i="46"/>
  <c r="C36" i="46"/>
  <c r="B36" i="46"/>
  <c r="C35" i="46"/>
  <c r="B35" i="46"/>
  <c r="C34" i="46"/>
  <c r="B34" i="46"/>
  <c r="C33" i="46"/>
  <c r="B33" i="46"/>
  <c r="C32" i="46"/>
  <c r="B32" i="46"/>
  <c r="C31" i="46"/>
  <c r="B31" i="46"/>
  <c r="B30" i="46"/>
  <c r="C29" i="46"/>
  <c r="B29" i="46"/>
  <c r="C28" i="46"/>
  <c r="B28" i="46"/>
  <c r="C27" i="46"/>
  <c r="B27" i="46"/>
  <c r="C26" i="46"/>
  <c r="B26" i="46"/>
  <c r="C25" i="46"/>
  <c r="B25" i="46"/>
  <c r="C24" i="46"/>
  <c r="B24" i="46"/>
  <c r="C23" i="46"/>
  <c r="B23" i="46"/>
  <c r="C22" i="46"/>
  <c r="B22" i="46"/>
  <c r="C21" i="46"/>
  <c r="B21" i="46"/>
  <c r="C20" i="46"/>
  <c r="B20" i="46"/>
  <c r="C19" i="46"/>
  <c r="B19" i="46"/>
  <c r="C18" i="46"/>
  <c r="B18" i="46"/>
  <c r="C17" i="46"/>
  <c r="B17" i="46"/>
  <c r="C16" i="46"/>
  <c r="B16" i="46"/>
  <c r="C15" i="46"/>
  <c r="B15" i="46"/>
  <c r="C14" i="46"/>
  <c r="B14" i="46"/>
  <c r="C13" i="46"/>
  <c r="B13" i="46"/>
  <c r="C12" i="46"/>
  <c r="B12" i="46"/>
  <c r="C11" i="46"/>
  <c r="B11" i="46"/>
  <c r="C10" i="46"/>
  <c r="B10" i="46"/>
  <c r="C9" i="46"/>
  <c r="B9" i="46"/>
  <c r="C8" i="46"/>
  <c r="B8" i="46"/>
  <c r="C7" i="46"/>
  <c r="B7" i="46"/>
  <c r="S45" i="48" l="1"/>
  <c r="F45" i="48" s="1"/>
  <c r="S51" i="48"/>
  <c r="F51" i="48" s="1"/>
  <c r="S22" i="48"/>
  <c r="F22" i="48" s="1"/>
  <c r="S37" i="48"/>
  <c r="F37" i="48" s="1"/>
  <c r="S14" i="48"/>
  <c r="F14" i="48" s="1"/>
  <c r="S41" i="48"/>
  <c r="F41" i="48" s="1"/>
  <c r="S33" i="48"/>
  <c r="F33" i="48" s="1"/>
  <c r="S18" i="48"/>
  <c r="F18" i="48" s="1"/>
  <c r="S9" i="48"/>
  <c r="F9" i="48" s="1"/>
  <c r="S12" i="48"/>
  <c r="F12" i="48" s="1"/>
  <c r="S43" i="48"/>
  <c r="F43" i="48" s="1"/>
  <c r="S39" i="48"/>
  <c r="F39" i="48" s="1"/>
  <c r="S35" i="48"/>
  <c r="F35" i="48" s="1"/>
  <c r="S24" i="48"/>
  <c r="F24" i="48" s="1"/>
  <c r="S20" i="48"/>
  <c r="F20" i="48" s="1"/>
  <c r="S16" i="48"/>
  <c r="F16" i="48" s="1"/>
  <c r="S11" i="48"/>
  <c r="F11" i="48" s="1"/>
  <c r="S54" i="48"/>
  <c r="F54" i="48" s="1"/>
  <c r="S46" i="48"/>
  <c r="F46" i="48" s="1"/>
  <c r="S42" i="48"/>
  <c r="F42" i="48" s="1"/>
  <c r="S38" i="48"/>
  <c r="F38" i="48" s="1"/>
  <c r="S34" i="48"/>
  <c r="F34" i="48" s="1"/>
  <c r="S23" i="48"/>
  <c r="F23" i="48" s="1"/>
  <c r="S19" i="48"/>
  <c r="F19" i="48" s="1"/>
  <c r="S15" i="48"/>
  <c r="F15" i="48" s="1"/>
  <c r="S55" i="48"/>
  <c r="F55" i="48" s="1"/>
  <c r="S49" i="48"/>
  <c r="F49" i="48" s="1"/>
  <c r="S44" i="48"/>
  <c r="F44" i="48" s="1"/>
  <c r="S40" i="48"/>
  <c r="F40" i="48" s="1"/>
  <c r="S36" i="48"/>
  <c r="F36" i="48" s="1"/>
  <c r="S25" i="48"/>
  <c r="F25" i="48" s="1"/>
  <c r="S21" i="48"/>
  <c r="F21" i="48" s="1"/>
  <c r="S17" i="48"/>
  <c r="F17" i="48" s="1"/>
  <c r="S13" i="48"/>
  <c r="F13" i="48" s="1"/>
  <c r="S10" i="48"/>
  <c r="F10" i="48" s="1"/>
  <c r="S52" i="48"/>
  <c r="F52" i="48" s="1"/>
  <c r="S26" i="48"/>
  <c r="F26" i="48" s="1"/>
  <c r="AM8" i="48"/>
  <c r="G8" i="48" s="1"/>
  <c r="AM45" i="48"/>
  <c r="G45" i="48" s="1"/>
  <c r="AM43" i="48"/>
  <c r="G43" i="48" s="1"/>
  <c r="AM41" i="48"/>
  <c r="G41" i="48" s="1"/>
  <c r="AM40" i="48"/>
  <c r="G40" i="48" s="1"/>
  <c r="AM38" i="48"/>
  <c r="G38" i="48" s="1"/>
  <c r="AM36" i="48"/>
  <c r="G36" i="48" s="1"/>
  <c r="AM34" i="48"/>
  <c r="G34" i="48" s="1"/>
  <c r="AM25" i="48"/>
  <c r="G25" i="48" s="1"/>
  <c r="AM23" i="48"/>
  <c r="G23" i="48" s="1"/>
  <c r="AM21" i="48"/>
  <c r="G21" i="48" s="1"/>
  <c r="AM19" i="48"/>
  <c r="G19" i="48" s="1"/>
  <c r="AM17" i="48"/>
  <c r="G17" i="48" s="1"/>
  <c r="AM48" i="48"/>
  <c r="G48" i="48" s="1"/>
  <c r="AM14" i="48"/>
  <c r="G14" i="48" s="1"/>
  <c r="AM12" i="48"/>
  <c r="G12" i="48" s="1"/>
  <c r="AM10" i="48"/>
  <c r="G10" i="48" s="1"/>
  <c r="AM55" i="48"/>
  <c r="G55" i="48" s="1"/>
  <c r="AM51" i="48"/>
  <c r="G51" i="48" s="1"/>
  <c r="AM26" i="48"/>
  <c r="G26" i="48" s="1"/>
  <c r="S8" i="48"/>
  <c r="F8" i="48" s="1"/>
  <c r="S48" i="48"/>
  <c r="F48" i="48" s="1"/>
  <c r="AM46" i="48"/>
  <c r="G46" i="48" s="1"/>
  <c r="AM44" i="48"/>
  <c r="G44" i="48" s="1"/>
  <c r="AM42" i="48"/>
  <c r="G42" i="48" s="1"/>
  <c r="AM15" i="48"/>
  <c r="G15" i="48" s="1"/>
  <c r="AM39" i="48"/>
  <c r="G39" i="48" s="1"/>
  <c r="AM37" i="48"/>
  <c r="G37" i="48" s="1"/>
  <c r="AM35" i="48"/>
  <c r="G35" i="48" s="1"/>
  <c r="AM33" i="48"/>
  <c r="G33" i="48" s="1"/>
  <c r="AM24" i="48"/>
  <c r="G24" i="48" s="1"/>
  <c r="AM22" i="48"/>
  <c r="G22" i="48" s="1"/>
  <c r="AM20" i="48"/>
  <c r="G20" i="48" s="1"/>
  <c r="AM18" i="48"/>
  <c r="G18" i="48" s="1"/>
  <c r="AM16" i="48"/>
  <c r="G16" i="48" s="1"/>
  <c r="AM52" i="48"/>
  <c r="G52" i="48" s="1"/>
  <c r="AM13" i="48"/>
  <c r="G13" i="48" s="1"/>
  <c r="AM11" i="48"/>
  <c r="G11" i="48" s="1"/>
  <c r="AM9" i="48"/>
  <c r="G9" i="48" s="1"/>
  <c r="AM54" i="48"/>
  <c r="G54" i="48" s="1"/>
  <c r="AM49" i="48"/>
  <c r="G49" i="48" s="1"/>
  <c r="B7" i="42"/>
  <c r="C7" i="42"/>
  <c r="B8" i="42"/>
  <c r="C8" i="42"/>
  <c r="B9" i="42"/>
  <c r="C9" i="42"/>
  <c r="B10" i="42"/>
  <c r="C10" i="42"/>
  <c r="B11" i="42"/>
  <c r="C11" i="42"/>
  <c r="B12" i="42"/>
  <c r="C12" i="42"/>
  <c r="B13" i="42"/>
  <c r="C13" i="42"/>
  <c r="B14" i="42"/>
  <c r="C14" i="42"/>
  <c r="B15" i="42"/>
  <c r="C15" i="42"/>
  <c r="B16" i="42"/>
  <c r="C16" i="42"/>
  <c r="B17" i="42"/>
  <c r="C17" i="42"/>
  <c r="B18" i="42"/>
  <c r="C18" i="42"/>
  <c r="B19" i="42"/>
  <c r="C19" i="42"/>
  <c r="B20" i="42"/>
  <c r="C20" i="42"/>
  <c r="B21" i="42"/>
  <c r="C21" i="42"/>
  <c r="B22" i="42"/>
  <c r="C22" i="42"/>
  <c r="B23" i="42"/>
  <c r="C23" i="42"/>
  <c r="B24" i="42"/>
  <c r="C24" i="42"/>
  <c r="B25" i="42"/>
  <c r="C25" i="42"/>
  <c r="B26" i="42"/>
  <c r="B27" i="42"/>
  <c r="C27" i="42"/>
  <c r="B28" i="42"/>
  <c r="C28" i="42"/>
  <c r="B29" i="42"/>
  <c r="C29" i="42"/>
  <c r="B30" i="42"/>
  <c r="C30" i="42"/>
  <c r="B31" i="42"/>
  <c r="C31" i="42"/>
  <c r="B32" i="42"/>
  <c r="C32" i="42"/>
  <c r="B33" i="42"/>
  <c r="C33" i="42"/>
  <c r="B34" i="42"/>
  <c r="C34" i="42"/>
  <c r="B35" i="42"/>
  <c r="C35" i="42"/>
  <c r="B36" i="42"/>
  <c r="C36" i="42"/>
  <c r="B37" i="42"/>
  <c r="C37" i="42"/>
  <c r="B38" i="42"/>
  <c r="C38" i="42"/>
  <c r="B39" i="42"/>
  <c r="C39" i="42"/>
  <c r="B5" i="42"/>
  <c r="C5" i="42"/>
  <c r="B6" i="42"/>
  <c r="C6" i="42"/>
  <c r="B7" i="41" l="1"/>
  <c r="C7" i="41"/>
  <c r="B8" i="41"/>
  <c r="C8" i="41"/>
  <c r="B9" i="41"/>
  <c r="C9" i="41"/>
  <c r="B10" i="41"/>
  <c r="C10" i="41"/>
  <c r="B11" i="41"/>
  <c r="C11" i="41"/>
  <c r="B12" i="41"/>
  <c r="C12" i="41"/>
  <c r="B13" i="41"/>
  <c r="C13" i="41"/>
  <c r="B14" i="41"/>
  <c r="C14" i="41"/>
  <c r="B15" i="41"/>
  <c r="C15" i="41"/>
  <c r="B16" i="41"/>
  <c r="C16" i="41"/>
  <c r="B17" i="41"/>
  <c r="C17" i="41"/>
  <c r="B18" i="41"/>
  <c r="C18" i="41"/>
  <c r="B19" i="41"/>
  <c r="B20" i="41"/>
  <c r="C20" i="41"/>
  <c r="B21" i="41"/>
  <c r="C21" i="41"/>
  <c r="B22" i="41"/>
  <c r="C22" i="41"/>
  <c r="B23" i="41"/>
  <c r="C23" i="41"/>
  <c r="B24" i="41"/>
  <c r="B25" i="41"/>
  <c r="C25" i="41"/>
  <c r="B26" i="41"/>
  <c r="C26" i="41"/>
  <c r="B27" i="41"/>
  <c r="C27" i="41"/>
  <c r="B28" i="41"/>
  <c r="C28" i="41"/>
  <c r="B29" i="41"/>
  <c r="C29" i="41"/>
  <c r="B30" i="41"/>
  <c r="C30" i="41"/>
  <c r="B31" i="41"/>
  <c r="C31" i="41"/>
  <c r="B32" i="41"/>
  <c r="C32" i="41"/>
  <c r="B33" i="41"/>
  <c r="C33" i="41"/>
  <c r="B34" i="41"/>
  <c r="C34" i="41"/>
  <c r="B35" i="41"/>
  <c r="C35" i="41"/>
  <c r="B36" i="41"/>
  <c r="C36" i="41"/>
  <c r="B37" i="41"/>
  <c r="C37" i="41"/>
  <c r="B5" i="41"/>
  <c r="C5" i="41"/>
  <c r="C6" i="41" l="1"/>
  <c r="B6" i="41"/>
  <c r="I27" i="40" l="1"/>
  <c r="I26" i="40"/>
  <c r="I25" i="40"/>
  <c r="I24" i="40"/>
  <c r="I23" i="40"/>
  <c r="I22" i="40"/>
  <c r="DW51" i="4" l="1"/>
  <c r="DV51" i="4"/>
  <c r="DU51" i="4"/>
  <c r="DT51" i="4"/>
  <c r="DS51" i="4"/>
  <c r="CZ51" i="4"/>
  <c r="CY51" i="4"/>
  <c r="CX51" i="4"/>
  <c r="CW51" i="4"/>
  <c r="CV51" i="4"/>
  <c r="BR51" i="4"/>
  <c r="BQ51" i="4"/>
  <c r="D51" i="20" s="1"/>
  <c r="BJ51" i="4"/>
  <c r="BI51" i="4"/>
  <c r="BH51" i="4"/>
  <c r="BG51" i="4"/>
  <c r="BF51" i="4"/>
  <c r="AM51" i="4"/>
  <c r="AL51" i="4"/>
  <c r="AK51" i="4"/>
  <c r="AJ51" i="4"/>
  <c r="AI51" i="4"/>
  <c r="E51" i="4"/>
  <c r="D55" i="48" s="1"/>
  <c r="E55" i="48" s="1"/>
  <c r="D51" i="4"/>
  <c r="DW50" i="4"/>
  <c r="DV50" i="4"/>
  <c r="DU50" i="4"/>
  <c r="DT50" i="4"/>
  <c r="DS50" i="4"/>
  <c r="CZ50" i="4"/>
  <c r="CY50" i="4"/>
  <c r="CX50" i="4"/>
  <c r="CW50" i="4"/>
  <c r="CV50" i="4"/>
  <c r="BR50" i="4"/>
  <c r="BQ50" i="4"/>
  <c r="D50" i="20" s="1"/>
  <c r="BJ50" i="4"/>
  <c r="BI50" i="4"/>
  <c r="BH50" i="4"/>
  <c r="BG50" i="4"/>
  <c r="BF50" i="4"/>
  <c r="AM50" i="4"/>
  <c r="AL50" i="4"/>
  <c r="AK50" i="4"/>
  <c r="AJ50" i="4"/>
  <c r="AI50" i="4"/>
  <c r="E50" i="4"/>
  <c r="D54" i="48" s="1"/>
  <c r="E54" i="48" s="1"/>
  <c r="D50" i="4"/>
  <c r="DW49" i="4"/>
  <c r="DV49" i="4"/>
  <c r="DU49" i="4"/>
  <c r="DT49" i="4"/>
  <c r="DS49" i="4"/>
  <c r="CZ49" i="4"/>
  <c r="CY49" i="4"/>
  <c r="CX49" i="4"/>
  <c r="CW49" i="4"/>
  <c r="CV49" i="4"/>
  <c r="BR49" i="4"/>
  <c r="BQ49" i="4"/>
  <c r="D49" i="20" s="1"/>
  <c r="BJ49" i="4"/>
  <c r="BI49" i="4"/>
  <c r="BH49" i="4"/>
  <c r="BG49" i="4"/>
  <c r="BF49" i="4"/>
  <c r="AM49" i="4"/>
  <c r="AL49" i="4"/>
  <c r="AK49" i="4"/>
  <c r="AJ49" i="4"/>
  <c r="AI49" i="4"/>
  <c r="E49" i="4"/>
  <c r="D49" i="4"/>
  <c r="DW48" i="4"/>
  <c r="DV48" i="4"/>
  <c r="DU48" i="4"/>
  <c r="DT48" i="4"/>
  <c r="DS48" i="4"/>
  <c r="CZ48" i="4"/>
  <c r="CY48" i="4"/>
  <c r="CX48" i="4"/>
  <c r="CW48" i="4"/>
  <c r="CV48" i="4"/>
  <c r="BR48" i="4"/>
  <c r="BQ48" i="4"/>
  <c r="D48" i="20" s="1"/>
  <c r="BJ48" i="4"/>
  <c r="BI48" i="4"/>
  <c r="BH48" i="4"/>
  <c r="BG48" i="4"/>
  <c r="BF48" i="4"/>
  <c r="AM48" i="4"/>
  <c r="AL48" i="4"/>
  <c r="AK48" i="4"/>
  <c r="AJ48" i="4"/>
  <c r="AI48" i="4"/>
  <c r="E48" i="4"/>
  <c r="D52" i="48" s="1"/>
  <c r="E52" i="48" s="1"/>
  <c r="D48" i="4"/>
  <c r="DW47" i="4"/>
  <c r="DV47" i="4"/>
  <c r="DU47" i="4"/>
  <c r="DT47" i="4"/>
  <c r="DS47" i="4"/>
  <c r="CZ47" i="4"/>
  <c r="CY47" i="4"/>
  <c r="CX47" i="4"/>
  <c r="CW47" i="4"/>
  <c r="CV47" i="4"/>
  <c r="BR47" i="4"/>
  <c r="BQ47" i="4"/>
  <c r="D47" i="20" s="1"/>
  <c r="BJ47" i="4"/>
  <c r="BI47" i="4"/>
  <c r="BH47" i="4"/>
  <c r="BG47" i="4"/>
  <c r="BF47" i="4"/>
  <c r="AM47" i="4"/>
  <c r="AL47" i="4"/>
  <c r="AK47" i="4"/>
  <c r="AJ47" i="4"/>
  <c r="AI47" i="4"/>
  <c r="E47" i="4"/>
  <c r="D51" i="48" s="1"/>
  <c r="E51" i="48" s="1"/>
  <c r="D47" i="4"/>
  <c r="DW46" i="4"/>
  <c r="DV46" i="4"/>
  <c r="DU46" i="4"/>
  <c r="DT46" i="4"/>
  <c r="DS46" i="4"/>
  <c r="CZ46" i="4"/>
  <c r="CY46" i="4"/>
  <c r="CX46" i="4"/>
  <c r="CW46" i="4"/>
  <c r="CV46" i="4"/>
  <c r="BR46" i="4"/>
  <c r="BQ46" i="4"/>
  <c r="D46" i="20" s="1"/>
  <c r="BJ46" i="4"/>
  <c r="BI46" i="4"/>
  <c r="BH46" i="4"/>
  <c r="BG46" i="4"/>
  <c r="BF46" i="4"/>
  <c r="AM46" i="4"/>
  <c r="AL46" i="4"/>
  <c r="AK46" i="4"/>
  <c r="AJ46" i="4"/>
  <c r="AI46" i="4"/>
  <c r="E46" i="4"/>
  <c r="D46" i="4"/>
  <c r="DW45" i="4"/>
  <c r="DV45" i="4"/>
  <c r="DU45" i="4"/>
  <c r="DT45" i="4"/>
  <c r="DS45" i="4"/>
  <c r="CZ45" i="4"/>
  <c r="CY45" i="4"/>
  <c r="CX45" i="4"/>
  <c r="CW45" i="4"/>
  <c r="CV45" i="4"/>
  <c r="BR45" i="4"/>
  <c r="BQ45" i="4"/>
  <c r="D45" i="20" s="1"/>
  <c r="BJ45" i="4"/>
  <c r="BI45" i="4"/>
  <c r="BH45" i="4"/>
  <c r="BG45" i="4"/>
  <c r="BF45" i="4"/>
  <c r="AM45" i="4"/>
  <c r="AL45" i="4"/>
  <c r="AK45" i="4"/>
  <c r="AJ45" i="4"/>
  <c r="AI45" i="4"/>
  <c r="E45" i="4"/>
  <c r="D49" i="48" s="1"/>
  <c r="E49" i="48" s="1"/>
  <c r="D45" i="4"/>
  <c r="DW44" i="4"/>
  <c r="DV44" i="4"/>
  <c r="DU44" i="4"/>
  <c r="DT44" i="4"/>
  <c r="DS44" i="4"/>
  <c r="CZ44" i="4"/>
  <c r="CY44" i="4"/>
  <c r="CX44" i="4"/>
  <c r="CW44" i="4"/>
  <c r="CV44" i="4"/>
  <c r="BR44" i="4"/>
  <c r="BQ44" i="4"/>
  <c r="D44" i="20" s="1"/>
  <c r="BJ44" i="4"/>
  <c r="BI44" i="4"/>
  <c r="BH44" i="4"/>
  <c r="BG44" i="4"/>
  <c r="BF44" i="4"/>
  <c r="AM44" i="4"/>
  <c r="AL44" i="4"/>
  <c r="AK44" i="4"/>
  <c r="AJ44" i="4"/>
  <c r="AI44" i="4"/>
  <c r="E44" i="4"/>
  <c r="D48" i="48" s="1"/>
  <c r="E48" i="48" s="1"/>
  <c r="D44" i="4"/>
  <c r="DW43" i="4"/>
  <c r="DV43" i="4"/>
  <c r="DU43" i="4"/>
  <c r="DT43" i="4"/>
  <c r="DS43" i="4"/>
  <c r="CZ43" i="4"/>
  <c r="CY43" i="4"/>
  <c r="CX43" i="4"/>
  <c r="CW43" i="4"/>
  <c r="CV43" i="4"/>
  <c r="BR43" i="4"/>
  <c r="BQ43" i="4"/>
  <c r="BJ43" i="4"/>
  <c r="BI43" i="4"/>
  <c r="BH43" i="4"/>
  <c r="BG43" i="4"/>
  <c r="BF43" i="4"/>
  <c r="AM43" i="4"/>
  <c r="AL43" i="4"/>
  <c r="AK43" i="4"/>
  <c r="AJ43" i="4"/>
  <c r="AI43" i="4"/>
  <c r="E43" i="4"/>
  <c r="D43" i="4"/>
  <c r="DW42" i="4"/>
  <c r="DV42" i="4"/>
  <c r="DU42" i="4"/>
  <c r="DT42" i="4"/>
  <c r="DS42" i="4"/>
  <c r="CZ42" i="4"/>
  <c r="CY42" i="4"/>
  <c r="CX42" i="4"/>
  <c r="CW42" i="4"/>
  <c r="CV42" i="4"/>
  <c r="BR42" i="4"/>
  <c r="BQ42" i="4"/>
  <c r="BJ42" i="4"/>
  <c r="BI42" i="4"/>
  <c r="BH42" i="4"/>
  <c r="BG42" i="4"/>
  <c r="BF42" i="4"/>
  <c r="AM42" i="4"/>
  <c r="AL42" i="4"/>
  <c r="AK42" i="4"/>
  <c r="AJ42" i="4"/>
  <c r="AI42" i="4"/>
  <c r="E42" i="4"/>
  <c r="D42" i="4"/>
  <c r="DW41" i="4"/>
  <c r="DV41" i="4"/>
  <c r="DU41" i="4"/>
  <c r="DT41" i="4"/>
  <c r="DS41" i="4"/>
  <c r="CZ41" i="4"/>
  <c r="CY41" i="4"/>
  <c r="CX41" i="4"/>
  <c r="CW41" i="4"/>
  <c r="CV41" i="4"/>
  <c r="BR41" i="4"/>
  <c r="BQ41" i="4"/>
  <c r="BJ41" i="4"/>
  <c r="BI41" i="4"/>
  <c r="BH41" i="4"/>
  <c r="BG41" i="4"/>
  <c r="BF41" i="4"/>
  <c r="AM41" i="4"/>
  <c r="AL41" i="4"/>
  <c r="AK41" i="4"/>
  <c r="AJ41" i="4"/>
  <c r="AI41" i="4"/>
  <c r="E41" i="4"/>
  <c r="D41" i="4"/>
  <c r="DW40" i="4"/>
  <c r="DV40" i="4"/>
  <c r="DU40" i="4"/>
  <c r="DT40" i="4"/>
  <c r="DS40" i="4"/>
  <c r="CZ40" i="4"/>
  <c r="CY40" i="4"/>
  <c r="CX40" i="4"/>
  <c r="CW40" i="4"/>
  <c r="CV40" i="4"/>
  <c r="BR40" i="4"/>
  <c r="BQ40" i="4"/>
  <c r="BJ40" i="4"/>
  <c r="BI40" i="4"/>
  <c r="BH40" i="4"/>
  <c r="BG40" i="4"/>
  <c r="BF40" i="4"/>
  <c r="AM40" i="4"/>
  <c r="AL40" i="4"/>
  <c r="AK40" i="4"/>
  <c r="AJ40" i="4"/>
  <c r="AI40" i="4"/>
  <c r="E40" i="4"/>
  <c r="D40" i="4"/>
  <c r="DW39" i="4"/>
  <c r="DV39" i="4"/>
  <c r="DU39" i="4"/>
  <c r="DT39" i="4"/>
  <c r="DS39" i="4"/>
  <c r="CZ39" i="4"/>
  <c r="CY39" i="4"/>
  <c r="CX39" i="4"/>
  <c r="CW39" i="4"/>
  <c r="CV39" i="4"/>
  <c r="BR39" i="4"/>
  <c r="BQ39" i="4"/>
  <c r="BJ39" i="4"/>
  <c r="BI39" i="4"/>
  <c r="BH39" i="4"/>
  <c r="BG39" i="4"/>
  <c r="BF39" i="4"/>
  <c r="AM39" i="4"/>
  <c r="AL39" i="4"/>
  <c r="AK39" i="4"/>
  <c r="AJ39" i="4"/>
  <c r="AI39" i="4"/>
  <c r="E39" i="4"/>
  <c r="D39" i="4"/>
  <c r="DW38" i="4"/>
  <c r="DV38" i="4"/>
  <c r="DU38" i="4"/>
  <c r="DT38" i="4"/>
  <c r="DS38" i="4"/>
  <c r="CZ38" i="4"/>
  <c r="CY38" i="4"/>
  <c r="CX38" i="4"/>
  <c r="CW38" i="4"/>
  <c r="CV38" i="4"/>
  <c r="BR38" i="4"/>
  <c r="BQ38" i="4"/>
  <c r="BJ38" i="4"/>
  <c r="BI38" i="4"/>
  <c r="BH38" i="4"/>
  <c r="BG38" i="4"/>
  <c r="BF38" i="4"/>
  <c r="AM38" i="4"/>
  <c r="AL38" i="4"/>
  <c r="AK38" i="4"/>
  <c r="AJ38" i="4"/>
  <c r="AI38" i="4"/>
  <c r="E38" i="4"/>
  <c r="D38" i="4"/>
  <c r="DW37" i="4"/>
  <c r="DV37" i="4"/>
  <c r="DU37" i="4"/>
  <c r="DT37" i="4"/>
  <c r="DS37" i="4"/>
  <c r="CZ37" i="4"/>
  <c r="CY37" i="4"/>
  <c r="CX37" i="4"/>
  <c r="CW37" i="4"/>
  <c r="CV37" i="4"/>
  <c r="BR37" i="4"/>
  <c r="BQ37" i="4"/>
  <c r="BJ37" i="4"/>
  <c r="BI37" i="4"/>
  <c r="BH37" i="4"/>
  <c r="BG37" i="4"/>
  <c r="BF37" i="4"/>
  <c r="AM37" i="4"/>
  <c r="AL37" i="4"/>
  <c r="AK37" i="4"/>
  <c r="AJ37" i="4"/>
  <c r="AI37" i="4"/>
  <c r="E37" i="4"/>
  <c r="D37" i="4"/>
  <c r="DW36" i="4"/>
  <c r="DV36" i="4"/>
  <c r="DU36" i="4"/>
  <c r="DT36" i="4"/>
  <c r="DS36" i="4"/>
  <c r="CZ36" i="4"/>
  <c r="CY36" i="4"/>
  <c r="CX36" i="4"/>
  <c r="CW36" i="4"/>
  <c r="CV36" i="4"/>
  <c r="BR36" i="4"/>
  <c r="BQ36" i="4"/>
  <c r="BJ36" i="4"/>
  <c r="BI36" i="4"/>
  <c r="BH36" i="4"/>
  <c r="BG36" i="4"/>
  <c r="BF36" i="4"/>
  <c r="AM36" i="4"/>
  <c r="AL36" i="4"/>
  <c r="AK36" i="4"/>
  <c r="AJ36" i="4"/>
  <c r="AI36" i="4"/>
  <c r="E36" i="4"/>
  <c r="D36" i="4"/>
  <c r="DW35" i="4"/>
  <c r="DV35" i="4"/>
  <c r="DU35" i="4"/>
  <c r="DT35" i="4"/>
  <c r="DS35" i="4"/>
  <c r="CZ35" i="4"/>
  <c r="CY35" i="4"/>
  <c r="CX35" i="4"/>
  <c r="CW35" i="4"/>
  <c r="CV35" i="4"/>
  <c r="BR35" i="4"/>
  <c r="BQ35" i="4"/>
  <c r="BJ35" i="4"/>
  <c r="BI35" i="4"/>
  <c r="BH35" i="4"/>
  <c r="BG35" i="4"/>
  <c r="BF35" i="4"/>
  <c r="AM35" i="4"/>
  <c r="AL35" i="4"/>
  <c r="AK35" i="4"/>
  <c r="AJ35" i="4"/>
  <c r="AI35" i="4"/>
  <c r="E35" i="4"/>
  <c r="D38" i="48" s="1"/>
  <c r="E38" i="48" s="1"/>
  <c r="D35" i="4"/>
  <c r="DW34" i="4"/>
  <c r="DV34" i="4"/>
  <c r="DU34" i="4"/>
  <c r="DT34" i="4"/>
  <c r="DS34" i="4"/>
  <c r="CZ34" i="4"/>
  <c r="CY34" i="4"/>
  <c r="CX34" i="4"/>
  <c r="CW34" i="4"/>
  <c r="CV34" i="4"/>
  <c r="BR34" i="4"/>
  <c r="BQ34" i="4"/>
  <c r="BJ34" i="4"/>
  <c r="BI34" i="4"/>
  <c r="BH34" i="4"/>
  <c r="BG34" i="4"/>
  <c r="BF34" i="4"/>
  <c r="AM34" i="4"/>
  <c r="AL34" i="4"/>
  <c r="AK34" i="4"/>
  <c r="AJ34" i="4"/>
  <c r="AI34" i="4"/>
  <c r="E34" i="4"/>
  <c r="D34" i="4"/>
  <c r="DW33" i="4"/>
  <c r="DV33" i="4"/>
  <c r="DU33" i="4"/>
  <c r="DT33" i="4"/>
  <c r="DS33" i="4"/>
  <c r="CZ33" i="4"/>
  <c r="CY33" i="4"/>
  <c r="CX33" i="4"/>
  <c r="CW33" i="4"/>
  <c r="CV33" i="4"/>
  <c r="BR33" i="4"/>
  <c r="BQ33" i="4"/>
  <c r="BJ33" i="4"/>
  <c r="BI33" i="4"/>
  <c r="BH33" i="4"/>
  <c r="BG33" i="4"/>
  <c r="BF33" i="4"/>
  <c r="AM33" i="4"/>
  <c r="AL33" i="4"/>
  <c r="AK33" i="4"/>
  <c r="AJ33" i="4"/>
  <c r="AI33" i="4"/>
  <c r="E33" i="4"/>
  <c r="D33" i="4"/>
  <c r="DW32" i="4"/>
  <c r="DV32" i="4"/>
  <c r="DU32" i="4"/>
  <c r="DT32" i="4"/>
  <c r="DS32" i="4"/>
  <c r="CZ32" i="4"/>
  <c r="CY32" i="4"/>
  <c r="CX32" i="4"/>
  <c r="CW32" i="4"/>
  <c r="CV32" i="4"/>
  <c r="BR32" i="4"/>
  <c r="BQ32" i="4"/>
  <c r="BJ32" i="4"/>
  <c r="BI32" i="4"/>
  <c r="BH32" i="4"/>
  <c r="BG32" i="4"/>
  <c r="BF32" i="4"/>
  <c r="AM32" i="4"/>
  <c r="AL32" i="4"/>
  <c r="AK32" i="4"/>
  <c r="AJ32" i="4"/>
  <c r="AI32" i="4"/>
  <c r="E32" i="4"/>
  <c r="D32" i="4"/>
  <c r="DW31" i="4"/>
  <c r="DV31" i="4"/>
  <c r="DU31" i="4"/>
  <c r="DT31" i="4"/>
  <c r="DS31" i="4"/>
  <c r="CZ31" i="4"/>
  <c r="CY31" i="4"/>
  <c r="CX31" i="4"/>
  <c r="CW31" i="4"/>
  <c r="CV31" i="4"/>
  <c r="BR31" i="4"/>
  <c r="BQ31" i="4"/>
  <c r="BJ31" i="4"/>
  <c r="BI31" i="4"/>
  <c r="BH31" i="4"/>
  <c r="BG31" i="4"/>
  <c r="BF31" i="4"/>
  <c r="AM31" i="4"/>
  <c r="AL31" i="4"/>
  <c r="AK31" i="4"/>
  <c r="AJ31" i="4"/>
  <c r="AI31" i="4"/>
  <c r="E31" i="4"/>
  <c r="D31" i="4"/>
  <c r="DW30" i="4"/>
  <c r="DV30" i="4"/>
  <c r="DU30" i="4"/>
  <c r="DT30" i="4"/>
  <c r="DS30" i="4"/>
  <c r="CZ30" i="4"/>
  <c r="CY30" i="4"/>
  <c r="CX30" i="4"/>
  <c r="CW30" i="4"/>
  <c r="CV30" i="4"/>
  <c r="BR30" i="4"/>
  <c r="BQ30" i="4"/>
  <c r="BJ30" i="4"/>
  <c r="BI30" i="4"/>
  <c r="BH30" i="4"/>
  <c r="BG30" i="4"/>
  <c r="BF30" i="4"/>
  <c r="AM30" i="4"/>
  <c r="AL30" i="4"/>
  <c r="AK30" i="4"/>
  <c r="AJ30" i="4"/>
  <c r="AI30" i="4"/>
  <c r="E30" i="4"/>
  <c r="D30" i="4"/>
  <c r="DW29" i="4"/>
  <c r="DV29" i="4"/>
  <c r="DU29" i="4"/>
  <c r="DT29" i="4"/>
  <c r="DS29" i="4"/>
  <c r="CZ29" i="4"/>
  <c r="CY29" i="4"/>
  <c r="CX29" i="4"/>
  <c r="CW29" i="4"/>
  <c r="CV29" i="4"/>
  <c r="BR29" i="4"/>
  <c r="BQ29" i="4"/>
  <c r="BJ29" i="4"/>
  <c r="BI29" i="4"/>
  <c r="BH29" i="4"/>
  <c r="BG29" i="4"/>
  <c r="BF29" i="4"/>
  <c r="AM29" i="4"/>
  <c r="AL29" i="4"/>
  <c r="AK29" i="4"/>
  <c r="AJ29" i="4"/>
  <c r="AI29" i="4"/>
  <c r="E29" i="4"/>
  <c r="D29" i="4"/>
  <c r="D26" i="47" s="1"/>
  <c r="DW28" i="4"/>
  <c r="DV28" i="4"/>
  <c r="DU28" i="4"/>
  <c r="DT28" i="4"/>
  <c r="DS28" i="4"/>
  <c r="CZ28" i="4"/>
  <c r="CY28" i="4"/>
  <c r="CX28" i="4"/>
  <c r="CW28" i="4"/>
  <c r="CV28" i="4"/>
  <c r="BR28" i="4"/>
  <c r="BQ28" i="4"/>
  <c r="BJ28" i="4"/>
  <c r="BI28" i="4"/>
  <c r="BH28" i="4"/>
  <c r="BG28" i="4"/>
  <c r="BF28" i="4"/>
  <c r="AM28" i="4"/>
  <c r="AL28" i="4"/>
  <c r="AK28" i="4"/>
  <c r="AJ28" i="4"/>
  <c r="AI28" i="4"/>
  <c r="E28" i="4"/>
  <c r="D28" i="4"/>
  <c r="D25" i="47" s="1"/>
  <c r="DW27" i="4"/>
  <c r="DV27" i="4"/>
  <c r="DU27" i="4"/>
  <c r="DT27" i="4"/>
  <c r="DS27" i="4"/>
  <c r="CZ27" i="4"/>
  <c r="CY27" i="4"/>
  <c r="CX27" i="4"/>
  <c r="CW27" i="4"/>
  <c r="CV27" i="4"/>
  <c r="BR27" i="4"/>
  <c r="BQ27" i="4"/>
  <c r="BJ27" i="4"/>
  <c r="BI27" i="4"/>
  <c r="BH27" i="4"/>
  <c r="BG27" i="4"/>
  <c r="BF27" i="4"/>
  <c r="AM27" i="4"/>
  <c r="AL27" i="4"/>
  <c r="AK27" i="4"/>
  <c r="AJ27" i="4"/>
  <c r="AI27" i="4"/>
  <c r="E27" i="4"/>
  <c r="D27" i="4"/>
  <c r="DW26" i="4"/>
  <c r="DV26" i="4"/>
  <c r="DU26" i="4"/>
  <c r="DT26" i="4"/>
  <c r="DS26" i="4"/>
  <c r="CZ26" i="4"/>
  <c r="CY26" i="4"/>
  <c r="CX26" i="4"/>
  <c r="CW26" i="4"/>
  <c r="CV26" i="4"/>
  <c r="BR26" i="4"/>
  <c r="BQ26" i="4"/>
  <c r="BJ26" i="4"/>
  <c r="BI26" i="4"/>
  <c r="BH26" i="4"/>
  <c r="BG26" i="4"/>
  <c r="BF26" i="4"/>
  <c r="AM26" i="4"/>
  <c r="AL26" i="4"/>
  <c r="AK26" i="4"/>
  <c r="AJ26" i="4"/>
  <c r="AI26" i="4"/>
  <c r="E26" i="4"/>
  <c r="D26" i="4"/>
  <c r="DW25" i="4"/>
  <c r="DV25" i="4"/>
  <c r="DU25" i="4"/>
  <c r="DT25" i="4"/>
  <c r="DS25" i="4"/>
  <c r="CZ25" i="4"/>
  <c r="CY25" i="4"/>
  <c r="CX25" i="4"/>
  <c r="CW25" i="4"/>
  <c r="CV25" i="4"/>
  <c r="BR25" i="4"/>
  <c r="BQ25" i="4"/>
  <c r="BJ25" i="4"/>
  <c r="BI25" i="4"/>
  <c r="BH25" i="4"/>
  <c r="BG25" i="4"/>
  <c r="BF25" i="4"/>
  <c r="AM25" i="4"/>
  <c r="AL25" i="4"/>
  <c r="AK25" i="4"/>
  <c r="AJ25" i="4"/>
  <c r="AI25" i="4"/>
  <c r="E25" i="4"/>
  <c r="D25" i="4"/>
  <c r="DW24" i="4"/>
  <c r="DV24" i="4"/>
  <c r="DU24" i="4"/>
  <c r="DT24" i="4"/>
  <c r="DS24" i="4"/>
  <c r="CZ24" i="4"/>
  <c r="CY24" i="4"/>
  <c r="CX24" i="4"/>
  <c r="CW24" i="4"/>
  <c r="CV24" i="4"/>
  <c r="BR24" i="4"/>
  <c r="BQ24" i="4"/>
  <c r="BJ24" i="4"/>
  <c r="BI24" i="4"/>
  <c r="BH24" i="4"/>
  <c r="BG24" i="4"/>
  <c r="BF24" i="4"/>
  <c r="AM24" i="4"/>
  <c r="AL24" i="4"/>
  <c r="AK24" i="4"/>
  <c r="AJ24" i="4"/>
  <c r="AI24" i="4"/>
  <c r="E24" i="4"/>
  <c r="D24" i="4"/>
  <c r="DW23" i="4"/>
  <c r="DV23" i="4"/>
  <c r="DU23" i="4"/>
  <c r="DT23" i="4"/>
  <c r="DS23" i="4"/>
  <c r="CZ23" i="4"/>
  <c r="CY23" i="4"/>
  <c r="CX23" i="4"/>
  <c r="CW23" i="4"/>
  <c r="CV23" i="4"/>
  <c r="BR23" i="4"/>
  <c r="BQ23" i="4"/>
  <c r="BJ23" i="4"/>
  <c r="BI23" i="4"/>
  <c r="BH23" i="4"/>
  <c r="BG23" i="4"/>
  <c r="BF23" i="4"/>
  <c r="AM23" i="4"/>
  <c r="AL23" i="4"/>
  <c r="AK23" i="4"/>
  <c r="AJ23" i="4"/>
  <c r="AI23" i="4"/>
  <c r="E23" i="4"/>
  <c r="D23" i="4"/>
  <c r="DW22" i="4"/>
  <c r="DV22" i="4"/>
  <c r="DU22" i="4"/>
  <c r="DT22" i="4"/>
  <c r="DS22" i="4"/>
  <c r="CZ22" i="4"/>
  <c r="CY22" i="4"/>
  <c r="CX22" i="4"/>
  <c r="CW22" i="4"/>
  <c r="CV22" i="4"/>
  <c r="BR22" i="4"/>
  <c r="BQ22" i="4"/>
  <c r="BJ22" i="4"/>
  <c r="BI22" i="4"/>
  <c r="BH22" i="4"/>
  <c r="BG22" i="4"/>
  <c r="BF22" i="4"/>
  <c r="AM22" i="4"/>
  <c r="AL22" i="4"/>
  <c r="AK22" i="4"/>
  <c r="AJ22" i="4"/>
  <c r="AI22" i="4"/>
  <c r="E22" i="4"/>
  <c r="D22" i="4"/>
  <c r="DW21" i="4"/>
  <c r="DV21" i="4"/>
  <c r="DU21" i="4"/>
  <c r="DT21" i="4"/>
  <c r="DS21" i="4"/>
  <c r="CZ21" i="4"/>
  <c r="CY21" i="4"/>
  <c r="CX21" i="4"/>
  <c r="CW21" i="4"/>
  <c r="CV21" i="4"/>
  <c r="BR21" i="4"/>
  <c r="BQ21" i="4"/>
  <c r="BJ21" i="4"/>
  <c r="BI21" i="4"/>
  <c r="BH21" i="4"/>
  <c r="BG21" i="4"/>
  <c r="BF21" i="4"/>
  <c r="AM21" i="4"/>
  <c r="AL21" i="4"/>
  <c r="AK21" i="4"/>
  <c r="AJ21" i="4"/>
  <c r="AI21" i="4"/>
  <c r="E21" i="4"/>
  <c r="D21" i="4"/>
  <c r="DW20" i="4"/>
  <c r="DV20" i="4"/>
  <c r="DU20" i="4"/>
  <c r="DT20" i="4"/>
  <c r="DS20" i="4"/>
  <c r="CZ20" i="4"/>
  <c r="CY20" i="4"/>
  <c r="CX20" i="4"/>
  <c r="CW20" i="4"/>
  <c r="CV20" i="4"/>
  <c r="BR20" i="4"/>
  <c r="BQ20" i="4"/>
  <c r="BJ20" i="4"/>
  <c r="BI20" i="4"/>
  <c r="BH20" i="4"/>
  <c r="BG20" i="4"/>
  <c r="BF20" i="4"/>
  <c r="AM20" i="4"/>
  <c r="AL20" i="4"/>
  <c r="AK20" i="4"/>
  <c r="AJ20" i="4"/>
  <c r="AI20" i="4"/>
  <c r="E20" i="4"/>
  <c r="D20" i="4"/>
  <c r="DW19" i="4"/>
  <c r="DV19" i="4"/>
  <c r="DU19" i="4"/>
  <c r="DT19" i="4"/>
  <c r="DS19" i="4"/>
  <c r="CZ19" i="4"/>
  <c r="CY19" i="4"/>
  <c r="CX19" i="4"/>
  <c r="CW19" i="4"/>
  <c r="CV19" i="4"/>
  <c r="BR19" i="4"/>
  <c r="BQ19" i="4"/>
  <c r="BJ19" i="4"/>
  <c r="BI19" i="4"/>
  <c r="BH19" i="4"/>
  <c r="BG19" i="4"/>
  <c r="BF19" i="4"/>
  <c r="AM19" i="4"/>
  <c r="AL19" i="4"/>
  <c r="AK19" i="4"/>
  <c r="AJ19" i="4"/>
  <c r="AI19" i="4"/>
  <c r="E19" i="4"/>
  <c r="D19" i="4"/>
  <c r="DW18" i="4"/>
  <c r="DV18" i="4"/>
  <c r="DU18" i="4"/>
  <c r="DT18" i="4"/>
  <c r="DS18" i="4"/>
  <c r="CZ18" i="4"/>
  <c r="CY18" i="4"/>
  <c r="CX18" i="4"/>
  <c r="CW18" i="4"/>
  <c r="CV18" i="4"/>
  <c r="BR18" i="4"/>
  <c r="BQ18" i="4"/>
  <c r="BJ18" i="4"/>
  <c r="BI18" i="4"/>
  <c r="BH18" i="4"/>
  <c r="BG18" i="4"/>
  <c r="BF18" i="4"/>
  <c r="AM18" i="4"/>
  <c r="AL18" i="4"/>
  <c r="AK18" i="4"/>
  <c r="AJ18" i="4"/>
  <c r="AI18" i="4"/>
  <c r="E18" i="4"/>
  <c r="D18" i="4"/>
  <c r="DW17" i="4"/>
  <c r="DV17" i="4"/>
  <c r="DU17" i="4"/>
  <c r="DT17" i="4"/>
  <c r="DS17" i="4"/>
  <c r="CZ17" i="4"/>
  <c r="CY17" i="4"/>
  <c r="CX17" i="4"/>
  <c r="CW17" i="4"/>
  <c r="CV17" i="4"/>
  <c r="BR17" i="4"/>
  <c r="BQ17" i="4"/>
  <c r="BJ17" i="4"/>
  <c r="BI17" i="4"/>
  <c r="BH17" i="4"/>
  <c r="BG17" i="4"/>
  <c r="BF17" i="4"/>
  <c r="AM17" i="4"/>
  <c r="AL17" i="4"/>
  <c r="AK17" i="4"/>
  <c r="AJ17" i="4"/>
  <c r="AI17" i="4"/>
  <c r="E17" i="4"/>
  <c r="D17" i="4"/>
  <c r="DW16" i="4"/>
  <c r="DV16" i="4"/>
  <c r="DU16" i="4"/>
  <c r="DT16" i="4"/>
  <c r="DS16" i="4"/>
  <c r="CZ16" i="4"/>
  <c r="CY16" i="4"/>
  <c r="CX16" i="4"/>
  <c r="CW16" i="4"/>
  <c r="CV16" i="4"/>
  <c r="BR16" i="4"/>
  <c r="BQ16" i="4"/>
  <c r="BJ16" i="4"/>
  <c r="BI16" i="4"/>
  <c r="BH16" i="4"/>
  <c r="BG16" i="4"/>
  <c r="BF16" i="4"/>
  <c r="AM16" i="4"/>
  <c r="AL16" i="4"/>
  <c r="AK16" i="4"/>
  <c r="AJ16" i="4"/>
  <c r="AI16" i="4"/>
  <c r="E16" i="4"/>
  <c r="D16" i="4"/>
  <c r="DW15" i="4"/>
  <c r="DV15" i="4"/>
  <c r="DU15" i="4"/>
  <c r="DT15" i="4"/>
  <c r="DS15" i="4"/>
  <c r="CZ15" i="4"/>
  <c r="CY15" i="4"/>
  <c r="CX15" i="4"/>
  <c r="CW15" i="4"/>
  <c r="CV15" i="4"/>
  <c r="BR15" i="4"/>
  <c r="BQ15" i="4"/>
  <c r="BJ15" i="4"/>
  <c r="BI15" i="4"/>
  <c r="BH15" i="4"/>
  <c r="BG15" i="4"/>
  <c r="BF15" i="4"/>
  <c r="AM15" i="4"/>
  <c r="AL15" i="4"/>
  <c r="AK15" i="4"/>
  <c r="AJ15" i="4"/>
  <c r="AI15" i="4"/>
  <c r="E15" i="4"/>
  <c r="D15" i="4"/>
  <c r="DW14" i="4"/>
  <c r="DV14" i="4"/>
  <c r="DU14" i="4"/>
  <c r="DT14" i="4"/>
  <c r="DS14" i="4"/>
  <c r="CZ14" i="4"/>
  <c r="CY14" i="4"/>
  <c r="CX14" i="4"/>
  <c r="CW14" i="4"/>
  <c r="CV14" i="4"/>
  <c r="BR14" i="4"/>
  <c r="BQ14" i="4"/>
  <c r="BJ14" i="4"/>
  <c r="BI14" i="4"/>
  <c r="BH14" i="4"/>
  <c r="BG14" i="4"/>
  <c r="BF14" i="4"/>
  <c r="AM14" i="4"/>
  <c r="AL14" i="4"/>
  <c r="AK14" i="4"/>
  <c r="AJ14" i="4"/>
  <c r="AI14" i="4"/>
  <c r="E14" i="4"/>
  <c r="D14" i="4"/>
  <c r="DW13" i="4"/>
  <c r="DV13" i="4"/>
  <c r="DU13" i="4"/>
  <c r="DT13" i="4"/>
  <c r="DS13" i="4"/>
  <c r="CZ13" i="4"/>
  <c r="CY13" i="4"/>
  <c r="CX13" i="4"/>
  <c r="CW13" i="4"/>
  <c r="CV13" i="4"/>
  <c r="BR13" i="4"/>
  <c r="BQ13" i="4"/>
  <c r="BJ13" i="4"/>
  <c r="BI13" i="4"/>
  <c r="BH13" i="4"/>
  <c r="BG13" i="4"/>
  <c r="BF13" i="4"/>
  <c r="AM13" i="4"/>
  <c r="AL13" i="4"/>
  <c r="AK13" i="4"/>
  <c r="AJ13" i="4"/>
  <c r="AI13" i="4"/>
  <c r="E13" i="4"/>
  <c r="D13" i="4"/>
  <c r="DW12" i="4"/>
  <c r="DV12" i="4"/>
  <c r="DU12" i="4"/>
  <c r="DT12" i="4"/>
  <c r="DS12" i="4"/>
  <c r="CZ12" i="4"/>
  <c r="CY12" i="4"/>
  <c r="CX12" i="4"/>
  <c r="CW12" i="4"/>
  <c r="CV12" i="4"/>
  <c r="BR12" i="4"/>
  <c r="BQ12" i="4"/>
  <c r="BJ12" i="4"/>
  <c r="BI12" i="4"/>
  <c r="BH12" i="4"/>
  <c r="BG12" i="4"/>
  <c r="BF12" i="4"/>
  <c r="AM12" i="4"/>
  <c r="AL12" i="4"/>
  <c r="AK12" i="4"/>
  <c r="AJ12" i="4"/>
  <c r="AI12" i="4"/>
  <c r="E12" i="4"/>
  <c r="D12" i="4"/>
  <c r="DW11" i="4"/>
  <c r="DV11" i="4"/>
  <c r="DU11" i="4"/>
  <c r="DT11" i="4"/>
  <c r="DS11" i="4"/>
  <c r="CZ11" i="4"/>
  <c r="CY11" i="4"/>
  <c r="CX11" i="4"/>
  <c r="CW11" i="4"/>
  <c r="CV11" i="4"/>
  <c r="BR11" i="4"/>
  <c r="BQ11" i="4"/>
  <c r="BJ11" i="4"/>
  <c r="BI11" i="4"/>
  <c r="BH11" i="4"/>
  <c r="BG11" i="4"/>
  <c r="BF11" i="4"/>
  <c r="AM11" i="4"/>
  <c r="AL11" i="4"/>
  <c r="AK11" i="4"/>
  <c r="AJ11" i="4"/>
  <c r="AI11" i="4"/>
  <c r="E11" i="4"/>
  <c r="D11" i="4"/>
  <c r="DW10" i="4"/>
  <c r="DV10" i="4"/>
  <c r="DU10" i="4"/>
  <c r="DT10" i="4"/>
  <c r="DS10" i="4"/>
  <c r="CZ10" i="4"/>
  <c r="CY10" i="4"/>
  <c r="CX10" i="4"/>
  <c r="CW10" i="4"/>
  <c r="CV10" i="4"/>
  <c r="BR10" i="4"/>
  <c r="BQ10" i="4"/>
  <c r="BJ10" i="4"/>
  <c r="BI10" i="4"/>
  <c r="BH10" i="4"/>
  <c r="BG10" i="4"/>
  <c r="BF10" i="4"/>
  <c r="AM10" i="4"/>
  <c r="AL10" i="4"/>
  <c r="AK10" i="4"/>
  <c r="AJ10" i="4"/>
  <c r="AI10" i="4"/>
  <c r="E10" i="4"/>
  <c r="D10" i="4"/>
  <c r="DW9" i="4"/>
  <c r="DV9" i="4"/>
  <c r="DU9" i="4"/>
  <c r="DT9" i="4"/>
  <c r="DS9" i="4"/>
  <c r="CZ9" i="4"/>
  <c r="CY9" i="4"/>
  <c r="CX9" i="4"/>
  <c r="CW9" i="4"/>
  <c r="CV9" i="4"/>
  <c r="BR9" i="4"/>
  <c r="BQ9" i="4"/>
  <c r="BJ9" i="4"/>
  <c r="BI9" i="4"/>
  <c r="BH9" i="4"/>
  <c r="BG9" i="4"/>
  <c r="BF9" i="4"/>
  <c r="AM9" i="4"/>
  <c r="AL9" i="4"/>
  <c r="AK9" i="4"/>
  <c r="AJ9" i="4"/>
  <c r="AI9" i="4"/>
  <c r="E9" i="4"/>
  <c r="D9" i="4"/>
  <c r="DW8" i="4"/>
  <c r="DV8" i="4"/>
  <c r="DU8" i="4"/>
  <c r="DT8" i="4"/>
  <c r="DS8" i="4"/>
  <c r="CZ8" i="4"/>
  <c r="CY8" i="4"/>
  <c r="CX8" i="4"/>
  <c r="CW8" i="4"/>
  <c r="CV8" i="4"/>
  <c r="BR8" i="4"/>
  <c r="BQ8" i="4"/>
  <c r="BJ8" i="4"/>
  <c r="BI8" i="4"/>
  <c r="BH8" i="4"/>
  <c r="BG8" i="4"/>
  <c r="BF8" i="4"/>
  <c r="AM8" i="4"/>
  <c r="AL8" i="4"/>
  <c r="AK8" i="4"/>
  <c r="AJ8" i="4"/>
  <c r="AI8" i="4"/>
  <c r="E8" i="4"/>
  <c r="D11" i="48" s="1"/>
  <c r="E11" i="48" s="1"/>
  <c r="D8" i="4"/>
  <c r="DW7" i="4"/>
  <c r="DV7" i="4"/>
  <c r="DU7" i="4"/>
  <c r="DT7" i="4"/>
  <c r="DS7" i="4"/>
  <c r="CZ7" i="4"/>
  <c r="CY7" i="4"/>
  <c r="CX7" i="4"/>
  <c r="CW7" i="4"/>
  <c r="CV7" i="4"/>
  <c r="BR7" i="4"/>
  <c r="BQ7" i="4"/>
  <c r="BJ7" i="4"/>
  <c r="BI7" i="4"/>
  <c r="BH7" i="4"/>
  <c r="BG7" i="4"/>
  <c r="BF7" i="4"/>
  <c r="AM7" i="4"/>
  <c r="AL7" i="4"/>
  <c r="AK7" i="4"/>
  <c r="AJ7" i="4"/>
  <c r="AI7" i="4"/>
  <c r="E7" i="4"/>
  <c r="D7" i="4"/>
  <c r="DW6" i="4"/>
  <c r="DV6" i="4"/>
  <c r="DU6" i="4"/>
  <c r="DT6" i="4"/>
  <c r="DS6" i="4"/>
  <c r="CZ6" i="4"/>
  <c r="CY6" i="4"/>
  <c r="CX6" i="4"/>
  <c r="CW6" i="4"/>
  <c r="CV6" i="4"/>
  <c r="BR6" i="4"/>
  <c r="BQ6" i="4"/>
  <c r="BJ6" i="4"/>
  <c r="BI6" i="4"/>
  <c r="BH6" i="4"/>
  <c r="BG6" i="4"/>
  <c r="BF6" i="4"/>
  <c r="AM6" i="4"/>
  <c r="AL6" i="4"/>
  <c r="AK6" i="4"/>
  <c r="AJ6" i="4"/>
  <c r="AI6" i="4"/>
  <c r="E6" i="4"/>
  <c r="D6" i="4"/>
  <c r="DW5" i="4"/>
  <c r="DV5" i="4"/>
  <c r="DU5" i="4"/>
  <c r="DT5" i="4"/>
  <c r="DS5" i="4"/>
  <c r="CZ5" i="4"/>
  <c r="CY5" i="4"/>
  <c r="CX5" i="4"/>
  <c r="CW5" i="4"/>
  <c r="CV5" i="4"/>
  <c r="BR5" i="4"/>
  <c r="BQ5" i="4"/>
  <c r="BJ5" i="4"/>
  <c r="BI5" i="4"/>
  <c r="BH5" i="4"/>
  <c r="BG5" i="4"/>
  <c r="BF5" i="4"/>
  <c r="AM5" i="4"/>
  <c r="AL5" i="4"/>
  <c r="AK5" i="4"/>
  <c r="AJ5" i="4"/>
  <c r="AI5" i="4"/>
  <c r="E5" i="4"/>
  <c r="D5" i="4"/>
  <c r="DW4" i="4"/>
  <c r="DV4" i="4"/>
  <c r="DU4" i="4"/>
  <c r="DT4" i="4"/>
  <c r="DS4" i="4"/>
  <c r="CZ4" i="4"/>
  <c r="CY4" i="4"/>
  <c r="CX4" i="4"/>
  <c r="CW4" i="4"/>
  <c r="CV4" i="4"/>
  <c r="BR4" i="4"/>
  <c r="BQ4" i="4"/>
  <c r="BJ4" i="4"/>
  <c r="BI4" i="4"/>
  <c r="BH4" i="4"/>
  <c r="BG4" i="4"/>
  <c r="BF4" i="4"/>
  <c r="AM4" i="4"/>
  <c r="AL4" i="4"/>
  <c r="AK4" i="4"/>
  <c r="AJ4" i="4"/>
  <c r="AI4" i="4"/>
  <c r="E4" i="4"/>
  <c r="D4" i="4"/>
  <c r="D46" i="48" l="1"/>
  <c r="E46" i="48" s="1"/>
  <c r="D10" i="48"/>
  <c r="E10" i="48" s="1"/>
  <c r="D43" i="48"/>
  <c r="E43" i="48" s="1"/>
  <c r="D33" i="48"/>
  <c r="E33" i="48" s="1"/>
  <c r="D18" i="48"/>
  <c r="E18" i="48" s="1"/>
  <c r="D35" i="48"/>
  <c r="E35" i="48" s="1"/>
  <c r="D44" i="48"/>
  <c r="E44" i="48" s="1"/>
  <c r="D23" i="48"/>
  <c r="E23" i="48" s="1"/>
  <c r="D36" i="48"/>
  <c r="E36" i="48" s="1"/>
  <c r="D37" i="48"/>
  <c r="E37" i="48" s="1"/>
  <c r="D39" i="48"/>
  <c r="E39" i="48" s="1"/>
  <c r="D22" i="48"/>
  <c r="E22" i="48" s="1"/>
  <c r="D40" i="48"/>
  <c r="E40" i="48" s="1"/>
  <c r="D42" i="48"/>
  <c r="E42" i="48" s="1"/>
  <c r="D8" i="48"/>
  <c r="E8" i="48" s="1"/>
  <c r="D16" i="48"/>
  <c r="E16" i="48" s="1"/>
  <c r="D19" i="48"/>
  <c r="E19" i="48" s="1"/>
  <c r="D20" i="48"/>
  <c r="E20" i="48" s="1"/>
  <c r="D9" i="48"/>
  <c r="E9" i="48" s="1"/>
  <c r="D15" i="48"/>
  <c r="E15" i="48" s="1"/>
  <c r="D24" i="48"/>
  <c r="E24" i="48" s="1"/>
  <c r="D25" i="48"/>
  <c r="E25" i="48" s="1"/>
  <c r="D13" i="48"/>
  <c r="E13" i="48" s="1"/>
  <c r="D17" i="48"/>
  <c r="E17" i="48" s="1"/>
  <c r="D21" i="48"/>
  <c r="E21" i="48" s="1"/>
  <c r="D26" i="48"/>
  <c r="E26" i="48" s="1"/>
  <c r="D34" i="48"/>
  <c r="E34" i="48" s="1"/>
  <c r="D41" i="48"/>
  <c r="E41" i="48" s="1"/>
  <c r="D45" i="48"/>
  <c r="E45" i="48" s="1"/>
  <c r="D12" i="48"/>
  <c r="E12" i="48" s="1"/>
  <c r="D14" i="48"/>
  <c r="E14" i="48" s="1"/>
  <c r="D9" i="19"/>
  <c r="D7" i="47"/>
  <c r="E7" i="47" s="1"/>
  <c r="D11" i="19"/>
  <c r="D9" i="47"/>
  <c r="E9" i="47" s="1"/>
  <c r="D12" i="19"/>
  <c r="D10" i="47"/>
  <c r="E10" i="47" s="1"/>
  <c r="D15" i="19"/>
  <c r="D13" i="47"/>
  <c r="E13" i="47" s="1"/>
  <c r="D17" i="19"/>
  <c r="D15" i="47"/>
  <c r="E15" i="47" s="1"/>
  <c r="D19" i="19"/>
  <c r="D17" i="47"/>
  <c r="E17" i="47" s="1"/>
  <c r="D22" i="19"/>
  <c r="D20" i="47"/>
  <c r="E20" i="47" s="1"/>
  <c r="D24" i="19"/>
  <c r="D22" i="47"/>
  <c r="E22" i="47" s="1"/>
  <c r="D32" i="19"/>
  <c r="E26" i="47"/>
  <c r="E32" i="19" s="1"/>
  <c r="D34" i="19"/>
  <c r="D28" i="47"/>
  <c r="E28" i="47" s="1"/>
  <c r="D29" i="47"/>
  <c r="E29" i="47" s="1"/>
  <c r="D35" i="19"/>
  <c r="D36" i="19"/>
  <c r="D30" i="47"/>
  <c r="E30" i="47" s="1"/>
  <c r="D31" i="47"/>
  <c r="E31" i="47" s="1"/>
  <c r="D37" i="19"/>
  <c r="D38" i="19"/>
  <c r="D32" i="47"/>
  <c r="E32" i="47" s="1"/>
  <c r="D33" i="47"/>
  <c r="E33" i="47" s="1"/>
  <c r="D39" i="19"/>
  <c r="D40" i="19"/>
  <c r="D34" i="47"/>
  <c r="E34" i="47" s="1"/>
  <c r="D35" i="47"/>
  <c r="E35" i="47" s="1"/>
  <c r="D41" i="19"/>
  <c r="D42" i="19"/>
  <c r="D36" i="47"/>
  <c r="E36" i="47" s="1"/>
  <c r="D37" i="47"/>
  <c r="E37" i="47" s="1"/>
  <c r="D43" i="19"/>
  <c r="D44" i="19"/>
  <c r="D38" i="47"/>
  <c r="E38" i="47" s="1"/>
  <c r="D39" i="47"/>
  <c r="E39" i="47" s="1"/>
  <c r="D45" i="19"/>
  <c r="D46" i="19"/>
  <c r="D40" i="47"/>
  <c r="E40" i="47" s="1"/>
  <c r="D48" i="19"/>
  <c r="D42" i="47"/>
  <c r="E42" i="47" s="1"/>
  <c r="D49" i="19"/>
  <c r="D43" i="47"/>
  <c r="E43" i="47" s="1"/>
  <c r="D51" i="19"/>
  <c r="D44" i="47"/>
  <c r="E44" i="47" s="1"/>
  <c r="D52" i="19"/>
  <c r="D45" i="47"/>
  <c r="E45" i="47" s="1"/>
  <c r="D54" i="19"/>
  <c r="D46" i="47"/>
  <c r="E46" i="47" s="1"/>
  <c r="D55" i="19"/>
  <c r="D47" i="47"/>
  <c r="E47" i="47" s="1"/>
  <c r="D6" i="47"/>
  <c r="E6" i="47" s="1"/>
  <c r="D8" i="19"/>
  <c r="D10" i="19"/>
  <c r="D8" i="47"/>
  <c r="E8" i="47" s="1"/>
  <c r="D13" i="19"/>
  <c r="D11" i="47"/>
  <c r="E11" i="47" s="1"/>
  <c r="D14" i="19"/>
  <c r="D12" i="47"/>
  <c r="E12" i="47" s="1"/>
  <c r="D16" i="19"/>
  <c r="D14" i="47"/>
  <c r="E14" i="47" s="1"/>
  <c r="D18" i="19"/>
  <c r="D16" i="47"/>
  <c r="E16" i="47" s="1"/>
  <c r="D20" i="19"/>
  <c r="D18" i="47"/>
  <c r="E18" i="47" s="1"/>
  <c r="D21" i="19"/>
  <c r="D19" i="47"/>
  <c r="E19" i="47" s="1"/>
  <c r="D23" i="19"/>
  <c r="D21" i="47"/>
  <c r="E21" i="47" s="1"/>
  <c r="D25" i="19"/>
  <c r="D23" i="47"/>
  <c r="E23" i="47" s="1"/>
  <c r="D26" i="19"/>
  <c r="D24" i="47"/>
  <c r="E24" i="47" s="1"/>
  <c r="D31" i="19"/>
  <c r="E25" i="47"/>
  <c r="E31" i="19" s="1"/>
  <c r="D27" i="47"/>
  <c r="E27" i="47" s="1"/>
  <c r="D33" i="19"/>
  <c r="V2" i="19"/>
  <c r="AP2" i="19" s="1"/>
  <c r="V2" i="20"/>
  <c r="W2" i="36"/>
  <c r="W2" i="37"/>
  <c r="S79" i="40"/>
  <c r="I79" i="40"/>
  <c r="S78" i="40"/>
  <c r="I78" i="40"/>
  <c r="S77" i="40"/>
  <c r="I77" i="40"/>
  <c r="S76" i="40"/>
  <c r="I76" i="40"/>
  <c r="S75" i="40"/>
  <c r="I75" i="40"/>
  <c r="S74" i="40"/>
  <c r="I74" i="40"/>
  <c r="S73" i="40"/>
  <c r="I73" i="40"/>
  <c r="S72" i="40"/>
  <c r="I72" i="40"/>
  <c r="S71" i="40"/>
  <c r="I71" i="40"/>
  <c r="S70" i="40"/>
  <c r="I70" i="40"/>
  <c r="S69" i="40"/>
  <c r="I69" i="40"/>
  <c r="M68" i="40"/>
  <c r="C68" i="40"/>
  <c r="S66" i="40"/>
  <c r="I66" i="40"/>
  <c r="S65" i="40"/>
  <c r="I65" i="40"/>
  <c r="S64" i="40"/>
  <c r="I64" i="40"/>
  <c r="S63" i="40"/>
  <c r="I63" i="40"/>
  <c r="S62" i="40"/>
  <c r="I62" i="40"/>
  <c r="S61" i="40"/>
  <c r="I61" i="40"/>
  <c r="S60" i="40"/>
  <c r="I60" i="40"/>
  <c r="S59" i="40"/>
  <c r="I59" i="40"/>
  <c r="S58" i="40"/>
  <c r="I58" i="40"/>
  <c r="S57" i="40"/>
  <c r="I57" i="40"/>
  <c r="S56" i="40"/>
  <c r="I56" i="40"/>
  <c r="M55" i="40"/>
  <c r="C55" i="40"/>
  <c r="S53" i="40"/>
  <c r="I53" i="40"/>
  <c r="S52" i="40"/>
  <c r="I52" i="40"/>
  <c r="S51" i="40"/>
  <c r="I51" i="40"/>
  <c r="S50" i="40"/>
  <c r="I50" i="40"/>
  <c r="S49" i="40"/>
  <c r="I49" i="40"/>
  <c r="S48" i="40"/>
  <c r="I48" i="40"/>
  <c r="S47" i="40"/>
  <c r="I47" i="40"/>
  <c r="S46" i="40"/>
  <c r="I46" i="40"/>
  <c r="S45" i="40"/>
  <c r="I45" i="40"/>
  <c r="S44" i="40"/>
  <c r="I44" i="40"/>
  <c r="S43" i="40"/>
  <c r="I43" i="40"/>
  <c r="M42" i="40"/>
  <c r="C42" i="40"/>
  <c r="I40" i="40"/>
  <c r="S39" i="40"/>
  <c r="I39" i="40"/>
  <c r="S38" i="40"/>
  <c r="I38" i="40"/>
  <c r="S37" i="40"/>
  <c r="I37" i="40"/>
  <c r="S36" i="40"/>
  <c r="I36" i="40"/>
  <c r="S35" i="40"/>
  <c r="I35" i="40"/>
  <c r="S34" i="40"/>
  <c r="I34" i="40"/>
  <c r="S33" i="40"/>
  <c r="I33" i="40"/>
  <c r="S32" i="40"/>
  <c r="I32" i="40"/>
  <c r="S31" i="40"/>
  <c r="I31" i="40"/>
  <c r="S30" i="40"/>
  <c r="I30" i="40"/>
  <c r="M29" i="40"/>
  <c r="C29" i="40"/>
  <c r="S27" i="40"/>
  <c r="S26" i="40"/>
  <c r="S25" i="40"/>
  <c r="S24" i="40"/>
  <c r="S23" i="40"/>
  <c r="S22" i="40"/>
  <c r="S19" i="40"/>
  <c r="I19" i="40"/>
  <c r="S18" i="40"/>
  <c r="I18" i="40"/>
  <c r="S17" i="40"/>
  <c r="I17" i="40"/>
  <c r="M16" i="40"/>
  <c r="C16" i="40"/>
  <c r="S14" i="40"/>
  <c r="I14" i="40"/>
  <c r="S13" i="40"/>
  <c r="I13" i="40"/>
  <c r="S12" i="40"/>
  <c r="I12" i="40"/>
  <c r="S11" i="40"/>
  <c r="I11" i="40"/>
  <c r="S10" i="40"/>
  <c r="I10" i="40"/>
  <c r="S9" i="40"/>
  <c r="I9" i="40"/>
  <c r="S8" i="40"/>
  <c r="I8" i="40"/>
  <c r="S7" i="40"/>
  <c r="I7" i="40"/>
  <c r="S6" i="40"/>
  <c r="I6" i="40"/>
  <c r="S5" i="40"/>
  <c r="I5" i="40"/>
  <c r="S4" i="40"/>
  <c r="I4" i="40"/>
  <c r="M3" i="40"/>
  <c r="C3" i="40"/>
  <c r="S40" i="39" l="1"/>
  <c r="S39" i="39"/>
  <c r="S38" i="39"/>
  <c r="S37" i="39"/>
  <c r="S36" i="39"/>
  <c r="S35" i="39"/>
  <c r="S34" i="39"/>
  <c r="S33" i="39"/>
  <c r="S32" i="39"/>
  <c r="S31" i="39"/>
  <c r="S30" i="39"/>
  <c r="I40" i="39"/>
  <c r="I39" i="39"/>
  <c r="I38" i="39"/>
  <c r="I37" i="39"/>
  <c r="I36" i="39"/>
  <c r="I35" i="39"/>
  <c r="I34" i="39"/>
  <c r="I33" i="39"/>
  <c r="I32" i="39"/>
  <c r="I31" i="39"/>
  <c r="I30" i="39"/>
  <c r="C29" i="39"/>
  <c r="M29" i="39"/>
  <c r="I27" i="39"/>
  <c r="S26" i="39"/>
  <c r="S27" i="39"/>
  <c r="S23" i="39"/>
  <c r="S22" i="39"/>
  <c r="S21" i="39"/>
  <c r="S20" i="39"/>
  <c r="S19" i="39"/>
  <c r="S18" i="39"/>
  <c r="S17" i="39"/>
  <c r="I25" i="39"/>
  <c r="I24" i="39"/>
  <c r="I23" i="39"/>
  <c r="I22" i="39"/>
  <c r="I21" i="39"/>
  <c r="I20" i="39"/>
  <c r="I19" i="39"/>
  <c r="I18" i="39"/>
  <c r="I17" i="39"/>
  <c r="M16" i="39"/>
  <c r="C16" i="39"/>
  <c r="M3" i="39"/>
  <c r="C3" i="39"/>
  <c r="S4" i="39"/>
  <c r="S14" i="39"/>
  <c r="S13" i="39"/>
  <c r="S12" i="39"/>
  <c r="S11" i="39"/>
  <c r="S10" i="39"/>
  <c r="S9" i="39"/>
  <c r="S8" i="39"/>
  <c r="S7" i="39"/>
  <c r="S6" i="39"/>
  <c r="S5" i="39"/>
  <c r="I14" i="39" l="1"/>
  <c r="I13" i="39"/>
  <c r="I12" i="39"/>
  <c r="I11" i="39"/>
  <c r="I10" i="39"/>
  <c r="I9" i="39"/>
  <c r="I8" i="39"/>
  <c r="I7" i="39"/>
  <c r="I6" i="39"/>
  <c r="I5" i="39"/>
  <c r="I4" i="39"/>
  <c r="B7" i="35" l="1"/>
  <c r="C7" i="35"/>
  <c r="D7" i="35"/>
  <c r="E7" i="35"/>
  <c r="F7" i="35"/>
  <c r="G7" i="35"/>
  <c r="B8" i="35"/>
  <c r="C8" i="35"/>
  <c r="D8" i="35"/>
  <c r="E8" i="35"/>
  <c r="F8" i="35"/>
  <c r="G8" i="35"/>
  <c r="B9" i="35"/>
  <c r="C9" i="35"/>
  <c r="D9" i="35"/>
  <c r="E9" i="35"/>
  <c r="F9" i="35"/>
  <c r="G9" i="35"/>
  <c r="B10" i="35"/>
  <c r="C10" i="35"/>
  <c r="D10" i="35"/>
  <c r="E10" i="35"/>
  <c r="F10" i="35"/>
  <c r="G10" i="35"/>
  <c r="B11" i="35"/>
  <c r="C11" i="35"/>
  <c r="D11" i="35"/>
  <c r="E11" i="35"/>
  <c r="F11" i="35"/>
  <c r="G11" i="35"/>
  <c r="B12" i="35"/>
  <c r="C12" i="35"/>
  <c r="D12" i="35"/>
  <c r="E12" i="35"/>
  <c r="F12" i="35"/>
  <c r="G12" i="35"/>
  <c r="B13" i="35"/>
  <c r="C13" i="35"/>
  <c r="D13" i="35"/>
  <c r="E13" i="35"/>
  <c r="F13" i="35"/>
  <c r="G13" i="35"/>
  <c r="B14" i="35"/>
  <c r="C14" i="35"/>
  <c r="D14" i="35"/>
  <c r="E14" i="35"/>
  <c r="F14" i="35"/>
  <c r="G14" i="35"/>
  <c r="B15" i="35"/>
  <c r="C15" i="35"/>
  <c r="D15" i="35"/>
  <c r="E15" i="35"/>
  <c r="F15" i="35"/>
  <c r="G15" i="35"/>
  <c r="B16" i="35"/>
  <c r="C16" i="35"/>
  <c r="D16" i="35"/>
  <c r="E16" i="35"/>
  <c r="F16" i="35"/>
  <c r="G16" i="35"/>
  <c r="B17" i="35"/>
  <c r="C17" i="35"/>
  <c r="D17" i="35"/>
  <c r="E17" i="35"/>
  <c r="F17" i="35"/>
  <c r="G17" i="35"/>
  <c r="B18" i="35"/>
  <c r="C18" i="35"/>
  <c r="D18" i="35"/>
  <c r="E18" i="35"/>
  <c r="F18" i="35"/>
  <c r="G18" i="35"/>
  <c r="B19" i="35"/>
  <c r="C19" i="35"/>
  <c r="D19" i="35"/>
  <c r="E19" i="35"/>
  <c r="F19" i="35"/>
  <c r="G19" i="35"/>
  <c r="B20" i="35"/>
  <c r="C20" i="35"/>
  <c r="D20" i="35"/>
  <c r="E20" i="35"/>
  <c r="F20" i="35"/>
  <c r="G20" i="35"/>
  <c r="B21" i="35"/>
  <c r="C21" i="35"/>
  <c r="D21" i="35"/>
  <c r="E21" i="35"/>
  <c r="F21" i="35"/>
  <c r="G21" i="35"/>
  <c r="B22" i="35"/>
  <c r="C22" i="35"/>
  <c r="D22" i="35"/>
  <c r="E22" i="35"/>
  <c r="F22" i="35"/>
  <c r="G22" i="35"/>
  <c r="B23" i="35"/>
  <c r="C23" i="35"/>
  <c r="D23" i="35"/>
  <c r="E23" i="35"/>
  <c r="F23" i="35"/>
  <c r="G23" i="35"/>
  <c r="B24" i="35"/>
  <c r="C24" i="35"/>
  <c r="D24" i="35"/>
  <c r="E24" i="35"/>
  <c r="F24" i="35"/>
  <c r="G24" i="35"/>
  <c r="B25" i="35"/>
  <c r="C25" i="35"/>
  <c r="D25" i="35"/>
  <c r="E25" i="35"/>
  <c r="F25" i="35"/>
  <c r="G25" i="35"/>
  <c r="B26" i="35"/>
  <c r="C26" i="35"/>
  <c r="D26" i="35"/>
  <c r="E26" i="35"/>
  <c r="F26" i="35"/>
  <c r="G26" i="35"/>
  <c r="B27" i="35"/>
  <c r="C27" i="35"/>
  <c r="D27" i="35"/>
  <c r="E27" i="35"/>
  <c r="F27" i="35"/>
  <c r="G27" i="35"/>
  <c r="B28" i="35"/>
  <c r="D28" i="35"/>
  <c r="E28" i="35"/>
  <c r="F28" i="35"/>
  <c r="G28" i="35"/>
  <c r="B29" i="35"/>
  <c r="C29" i="35"/>
  <c r="D29" i="35"/>
  <c r="E29" i="35"/>
  <c r="F29" i="35"/>
  <c r="G29" i="35"/>
  <c r="B30" i="35"/>
  <c r="C30" i="35"/>
  <c r="D30" i="35"/>
  <c r="E30" i="35"/>
  <c r="F30" i="35"/>
  <c r="G30" i="35"/>
  <c r="B31" i="35"/>
  <c r="C31" i="35"/>
  <c r="D31" i="35"/>
  <c r="E31" i="35"/>
  <c r="F31" i="35"/>
  <c r="G31" i="35"/>
  <c r="B32" i="35"/>
  <c r="C32" i="35"/>
  <c r="D32" i="35"/>
  <c r="E32" i="35"/>
  <c r="F32" i="35"/>
  <c r="G32" i="35"/>
  <c r="B33" i="35"/>
  <c r="C33" i="35"/>
  <c r="D33" i="35"/>
  <c r="E33" i="35"/>
  <c r="F33" i="35"/>
  <c r="G33" i="35"/>
  <c r="B34" i="35"/>
  <c r="C34" i="35"/>
  <c r="D34" i="35"/>
  <c r="E34" i="35"/>
  <c r="F34" i="35"/>
  <c r="G34" i="35"/>
  <c r="B35" i="35"/>
  <c r="C35" i="35"/>
  <c r="D35" i="35"/>
  <c r="E35" i="35"/>
  <c r="F35" i="35"/>
  <c r="G35" i="35"/>
  <c r="B36" i="35"/>
  <c r="C36" i="35"/>
  <c r="D36" i="35"/>
  <c r="E36" i="35"/>
  <c r="F36" i="35"/>
  <c r="G36" i="35"/>
  <c r="B37" i="35"/>
  <c r="C37" i="35"/>
  <c r="D37" i="35"/>
  <c r="E37" i="35"/>
  <c r="F37" i="35"/>
  <c r="G37" i="35"/>
  <c r="B38" i="35"/>
  <c r="C38" i="35"/>
  <c r="D38" i="35"/>
  <c r="E38" i="35"/>
  <c r="F38" i="35"/>
  <c r="G38" i="35"/>
  <c r="B39" i="35"/>
  <c r="C39" i="35"/>
  <c r="D39" i="35"/>
  <c r="E39" i="35"/>
  <c r="F39" i="35"/>
  <c r="G39" i="35"/>
  <c r="B40" i="35"/>
  <c r="C40" i="35"/>
  <c r="D40" i="35"/>
  <c r="E40" i="35"/>
  <c r="F40" i="35"/>
  <c r="G40" i="35"/>
  <c r="B41" i="35"/>
  <c r="C41" i="35"/>
  <c r="D41" i="35"/>
  <c r="E41" i="35"/>
  <c r="F41" i="35"/>
  <c r="G41" i="35"/>
  <c r="B43" i="35"/>
  <c r="C43" i="35"/>
  <c r="D43" i="35"/>
  <c r="E43" i="35"/>
  <c r="F43" i="35"/>
  <c r="G43" i="35"/>
  <c r="B44" i="35"/>
  <c r="C44" i="35"/>
  <c r="D44" i="35"/>
  <c r="E44" i="35"/>
  <c r="F44" i="35"/>
  <c r="G44" i="35"/>
  <c r="B45" i="35"/>
  <c r="C45" i="35"/>
  <c r="D45" i="35"/>
  <c r="E45" i="35"/>
  <c r="F45" i="35"/>
  <c r="G45" i="35"/>
  <c r="B46" i="35"/>
  <c r="C46" i="35"/>
  <c r="D46" i="35"/>
  <c r="E46" i="35"/>
  <c r="F46" i="35"/>
  <c r="G46" i="35"/>
  <c r="B47" i="35"/>
  <c r="C47" i="35"/>
  <c r="D47" i="35"/>
  <c r="E47" i="35"/>
  <c r="F47" i="35"/>
  <c r="G47" i="35"/>
  <c r="B48" i="35"/>
  <c r="C48" i="35"/>
  <c r="D48" i="35"/>
  <c r="E48" i="35"/>
  <c r="F48" i="35"/>
  <c r="G48" i="35"/>
  <c r="B49" i="35"/>
  <c r="C49" i="35"/>
  <c r="D49" i="35"/>
  <c r="E49" i="35"/>
  <c r="F49" i="35"/>
  <c r="G49" i="35"/>
  <c r="B50" i="35"/>
  <c r="C50" i="35"/>
  <c r="D50" i="35"/>
  <c r="E50" i="35"/>
  <c r="F50" i="35"/>
  <c r="G50" i="35"/>
  <c r="B7" i="34"/>
  <c r="C7" i="34"/>
  <c r="D7" i="34"/>
  <c r="E7" i="34"/>
  <c r="F7" i="34"/>
  <c r="G7" i="34"/>
  <c r="B8" i="34"/>
  <c r="C8" i="34"/>
  <c r="D8" i="34"/>
  <c r="E8" i="34"/>
  <c r="F8" i="34"/>
  <c r="G8" i="34"/>
  <c r="B9" i="34"/>
  <c r="C9" i="34"/>
  <c r="D9" i="34"/>
  <c r="E9" i="34"/>
  <c r="F9" i="34"/>
  <c r="G9" i="34"/>
  <c r="B10" i="34"/>
  <c r="C10" i="34"/>
  <c r="D10" i="34"/>
  <c r="E10" i="34"/>
  <c r="F10" i="34"/>
  <c r="G10" i="34"/>
  <c r="B11" i="34"/>
  <c r="C11" i="34"/>
  <c r="D11" i="34"/>
  <c r="E11" i="34"/>
  <c r="F11" i="34"/>
  <c r="G11" i="34"/>
  <c r="B12" i="34"/>
  <c r="C12" i="34"/>
  <c r="D12" i="34"/>
  <c r="E12" i="34"/>
  <c r="F12" i="34"/>
  <c r="G12" i="34"/>
  <c r="B13" i="34"/>
  <c r="C13" i="34"/>
  <c r="D13" i="34"/>
  <c r="E13" i="34"/>
  <c r="F13" i="34"/>
  <c r="G13" i="34"/>
  <c r="B14" i="34"/>
  <c r="C14" i="34"/>
  <c r="D14" i="34"/>
  <c r="E14" i="34"/>
  <c r="F14" i="34"/>
  <c r="G14" i="34"/>
  <c r="B15" i="34"/>
  <c r="C15" i="34"/>
  <c r="D15" i="34"/>
  <c r="E15" i="34"/>
  <c r="F15" i="34"/>
  <c r="G15" i="34"/>
  <c r="B16" i="34"/>
  <c r="C16" i="34"/>
  <c r="D16" i="34"/>
  <c r="E16" i="34"/>
  <c r="F16" i="34"/>
  <c r="G16" i="34"/>
  <c r="B17" i="34"/>
  <c r="C17" i="34"/>
  <c r="D17" i="34"/>
  <c r="E17" i="34"/>
  <c r="F17" i="34"/>
  <c r="G17" i="34"/>
  <c r="B18" i="34"/>
  <c r="C18" i="34"/>
  <c r="D18" i="34"/>
  <c r="E18" i="34"/>
  <c r="F18" i="34"/>
  <c r="G18" i="34"/>
  <c r="B19" i="34"/>
  <c r="C19" i="34"/>
  <c r="D19" i="34"/>
  <c r="E19" i="34"/>
  <c r="F19" i="34"/>
  <c r="G19" i="34"/>
  <c r="B20" i="34"/>
  <c r="C20" i="34"/>
  <c r="D20" i="34"/>
  <c r="E20" i="34"/>
  <c r="F20" i="34"/>
  <c r="G20" i="34"/>
  <c r="B21" i="34"/>
  <c r="C21" i="34"/>
  <c r="D21" i="34"/>
  <c r="E21" i="34"/>
  <c r="F21" i="34"/>
  <c r="G21" i="34"/>
  <c r="B22" i="34"/>
  <c r="C22" i="34"/>
  <c r="D22" i="34"/>
  <c r="E22" i="34"/>
  <c r="F22" i="34"/>
  <c r="G22" i="34"/>
  <c r="B23" i="34"/>
  <c r="C23" i="34"/>
  <c r="D23" i="34"/>
  <c r="E23" i="34"/>
  <c r="F23" i="34"/>
  <c r="G23" i="34"/>
  <c r="B24" i="34"/>
  <c r="C24" i="34"/>
  <c r="D24" i="34"/>
  <c r="E24" i="34"/>
  <c r="F24" i="34"/>
  <c r="G24" i="34"/>
  <c r="B25" i="34"/>
  <c r="C25" i="34"/>
  <c r="D25" i="34"/>
  <c r="E25" i="34"/>
  <c r="F25" i="34"/>
  <c r="G25" i="34"/>
  <c r="B26" i="34"/>
  <c r="D26" i="34"/>
  <c r="E26" i="34"/>
  <c r="F26" i="34"/>
  <c r="G26" i="34"/>
  <c r="B27" i="34"/>
  <c r="C27" i="34"/>
  <c r="D27" i="34"/>
  <c r="E27" i="34"/>
  <c r="F27" i="34"/>
  <c r="G27" i="34"/>
  <c r="B28" i="34"/>
  <c r="C28" i="34"/>
  <c r="D28" i="34"/>
  <c r="E28" i="34"/>
  <c r="F28" i="34"/>
  <c r="G28" i="34"/>
  <c r="B29" i="34"/>
  <c r="C29" i="34"/>
  <c r="D29" i="34"/>
  <c r="E29" i="34"/>
  <c r="F29" i="34"/>
  <c r="G29" i="34"/>
  <c r="B30" i="34"/>
  <c r="C30" i="34"/>
  <c r="D30" i="34"/>
  <c r="E30" i="34"/>
  <c r="F30" i="34"/>
  <c r="G30" i="34"/>
  <c r="B31" i="34"/>
  <c r="C31" i="34"/>
  <c r="D31" i="34"/>
  <c r="E31" i="34"/>
  <c r="F31" i="34"/>
  <c r="G31" i="34"/>
  <c r="B32" i="34"/>
  <c r="C32" i="34"/>
  <c r="D32" i="34"/>
  <c r="E32" i="34"/>
  <c r="F32" i="34"/>
  <c r="G32" i="34"/>
  <c r="B33" i="34"/>
  <c r="C33" i="34"/>
  <c r="D33" i="34"/>
  <c r="E33" i="34"/>
  <c r="F33" i="34"/>
  <c r="G33" i="34"/>
  <c r="B34" i="34"/>
  <c r="C34" i="34"/>
  <c r="D34" i="34"/>
  <c r="E34" i="34"/>
  <c r="F34" i="34"/>
  <c r="G34" i="34"/>
  <c r="B35" i="34"/>
  <c r="C35" i="34"/>
  <c r="D35" i="34"/>
  <c r="E35" i="34"/>
  <c r="F35" i="34"/>
  <c r="G35" i="34"/>
  <c r="B36" i="34"/>
  <c r="C36" i="34"/>
  <c r="D36" i="34"/>
  <c r="E36" i="34"/>
  <c r="F36" i="34"/>
  <c r="G36" i="34"/>
  <c r="B37" i="34"/>
  <c r="C37" i="34"/>
  <c r="D37" i="34"/>
  <c r="E37" i="34"/>
  <c r="F37" i="34"/>
  <c r="G37" i="34"/>
  <c r="B38" i="34"/>
  <c r="C38" i="34"/>
  <c r="D38" i="34"/>
  <c r="E38" i="34"/>
  <c r="F38" i="34"/>
  <c r="G38" i="34"/>
  <c r="B39" i="34"/>
  <c r="C39" i="34"/>
  <c r="D39" i="34"/>
  <c r="E39" i="34"/>
  <c r="F39" i="34"/>
  <c r="G39" i="34"/>
  <c r="B41" i="34"/>
  <c r="C41" i="34"/>
  <c r="D41" i="34"/>
  <c r="E41" i="34"/>
  <c r="F41" i="34"/>
  <c r="G41" i="34"/>
  <c r="B42" i="34"/>
  <c r="C42" i="34"/>
  <c r="D42" i="34"/>
  <c r="E42" i="34"/>
  <c r="F42" i="34"/>
  <c r="G42" i="34"/>
  <c r="B43" i="34"/>
  <c r="C43" i="34"/>
  <c r="D43" i="34"/>
  <c r="E43" i="34"/>
  <c r="F43" i="34"/>
  <c r="G43" i="34"/>
  <c r="B44" i="34"/>
  <c r="C44" i="34"/>
  <c r="D44" i="34"/>
  <c r="E44" i="34"/>
  <c r="F44" i="34"/>
  <c r="G44" i="34"/>
  <c r="B45" i="34"/>
  <c r="C45" i="34"/>
  <c r="D45" i="34"/>
  <c r="E45" i="34"/>
  <c r="F45" i="34"/>
  <c r="G45" i="34"/>
  <c r="B46" i="34"/>
  <c r="C46" i="34"/>
  <c r="D46" i="34"/>
  <c r="E46" i="34"/>
  <c r="F46" i="34"/>
  <c r="G46" i="3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B29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B6" i="14"/>
  <c r="C6" i="14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B7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B17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B20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B21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B22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B23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B25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B26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B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B28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B29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B30" i="12"/>
  <c r="C30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B31" i="12"/>
  <c r="C31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B32" i="12"/>
  <c r="C32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B33" i="12"/>
  <c r="C33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B34" i="12"/>
  <c r="C34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B35" i="12"/>
  <c r="C35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B36" i="12"/>
  <c r="C36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B37" i="12"/>
  <c r="C37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B38" i="12"/>
  <c r="C38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B39" i="12"/>
  <c r="C39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B40" i="12"/>
  <c r="C40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B42" i="12"/>
  <c r="C42" i="12"/>
  <c r="D42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B43" i="12"/>
  <c r="C43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B44" i="12"/>
  <c r="C44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B45" i="12"/>
  <c r="C45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B46" i="12"/>
  <c r="C46" i="12"/>
  <c r="D46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B47" i="12"/>
  <c r="C47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B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B34" i="11"/>
  <c r="C34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B37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B40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B41" i="11"/>
  <c r="C41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B42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B44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B45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B46" i="11"/>
  <c r="C46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B47" i="11"/>
  <c r="C47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T47" i="11"/>
  <c r="U47" i="11"/>
  <c r="B48" i="11"/>
  <c r="C48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B49" i="11"/>
  <c r="C49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S49" i="11"/>
  <c r="T49" i="11"/>
  <c r="U49" i="11"/>
  <c r="B50" i="11"/>
  <c r="C50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B51" i="11"/>
  <c r="C51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B8" i="9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B9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B10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B17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B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B34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B36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B37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B38" i="9"/>
  <c r="C38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B39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B40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B42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B43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B44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B46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E6" i="9"/>
  <c r="F6" i="9"/>
  <c r="G6" i="9"/>
  <c r="H6" i="9"/>
  <c r="B8" i="37"/>
  <c r="C8" i="37"/>
  <c r="B9" i="37"/>
  <c r="C9" i="37"/>
  <c r="B10" i="37"/>
  <c r="C10" i="37"/>
  <c r="B11" i="37"/>
  <c r="C11" i="37"/>
  <c r="B12" i="37"/>
  <c r="C12" i="37"/>
  <c r="B13" i="37"/>
  <c r="C13" i="37"/>
  <c r="B14" i="37"/>
  <c r="C14" i="37"/>
  <c r="B15" i="37"/>
  <c r="C15" i="37"/>
  <c r="B16" i="37"/>
  <c r="C16" i="37"/>
  <c r="B17" i="37"/>
  <c r="C17" i="37"/>
  <c r="B18" i="37"/>
  <c r="C18" i="37"/>
  <c r="B19" i="37"/>
  <c r="C19" i="37"/>
  <c r="B20" i="37"/>
  <c r="C20" i="37"/>
  <c r="B21" i="37"/>
  <c r="C21" i="37"/>
  <c r="B22" i="37"/>
  <c r="C22" i="37"/>
  <c r="B23" i="37"/>
  <c r="C23" i="37"/>
  <c r="B24" i="37"/>
  <c r="C24" i="37"/>
  <c r="B25" i="37"/>
  <c r="C25" i="37"/>
  <c r="B26" i="37"/>
  <c r="C26" i="37"/>
  <c r="B27" i="37"/>
  <c r="C27" i="37"/>
  <c r="B28" i="37"/>
  <c r="C28" i="37"/>
  <c r="B29" i="37"/>
  <c r="B30" i="37"/>
  <c r="C30" i="37"/>
  <c r="B31" i="37"/>
  <c r="C31" i="37"/>
  <c r="B32" i="37"/>
  <c r="C32" i="37"/>
  <c r="B33" i="37"/>
  <c r="C33" i="37"/>
  <c r="B34" i="37"/>
  <c r="C34" i="37"/>
  <c r="B35" i="37"/>
  <c r="C35" i="37"/>
  <c r="B36" i="37"/>
  <c r="C36" i="37"/>
  <c r="B37" i="37"/>
  <c r="C37" i="37"/>
  <c r="B38" i="37"/>
  <c r="C38" i="37"/>
  <c r="B39" i="37"/>
  <c r="C39" i="37"/>
  <c r="B40" i="37"/>
  <c r="C40" i="37"/>
  <c r="B41" i="37"/>
  <c r="C41" i="37"/>
  <c r="B42" i="37"/>
  <c r="C42" i="37"/>
  <c r="B44" i="37"/>
  <c r="C44" i="37"/>
  <c r="B45" i="37"/>
  <c r="C45" i="37"/>
  <c r="B46" i="37"/>
  <c r="C46" i="37"/>
  <c r="B47" i="37"/>
  <c r="C47" i="37"/>
  <c r="B48" i="37"/>
  <c r="C48" i="37"/>
  <c r="B49" i="37"/>
  <c r="C49" i="37"/>
  <c r="B50" i="37"/>
  <c r="C50" i="37"/>
  <c r="B51" i="37"/>
  <c r="C51" i="37"/>
  <c r="V40" i="11" l="1"/>
  <c r="V20" i="11"/>
  <c r="V8" i="12"/>
  <c r="V8" i="9"/>
  <c r="V6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4" i="14"/>
  <c r="V45" i="14"/>
  <c r="V46" i="14"/>
  <c r="V47" i="14"/>
  <c r="V48" i="14"/>
  <c r="V49" i="14"/>
  <c r="V50" i="14"/>
  <c r="V51" i="14"/>
  <c r="V38" i="12"/>
  <c r="V30" i="12"/>
  <c r="V45" i="12"/>
  <c r="V20" i="12"/>
  <c r="V16" i="12"/>
  <c r="V25" i="12"/>
  <c r="V31" i="11"/>
  <c r="V15" i="11"/>
  <c r="V25" i="11"/>
  <c r="V22" i="11"/>
  <c r="V8" i="11"/>
  <c r="V49" i="11"/>
  <c r="V36" i="11"/>
  <c r="V28" i="11"/>
  <c r="V18" i="11"/>
  <c r="V34" i="9"/>
  <c r="V43" i="9"/>
  <c r="V45" i="11"/>
  <c r="V34" i="11"/>
  <c r="V38" i="11"/>
  <c r="V11" i="11"/>
  <c r="V18" i="12"/>
  <c r="V22" i="12"/>
  <c r="V12" i="12"/>
  <c r="V14" i="12"/>
  <c r="V34" i="12"/>
  <c r="V38" i="9"/>
  <c r="V18" i="9"/>
  <c r="V14" i="9"/>
  <c r="V30" i="9"/>
  <c r="V20" i="9"/>
  <c r="V25" i="9"/>
  <c r="V16" i="9"/>
  <c r="V19" i="9"/>
  <c r="V12" i="9"/>
  <c r="V22" i="9"/>
  <c r="V23" i="9"/>
  <c r="V21" i="9"/>
  <c r="V40" i="12"/>
  <c r="V26" i="12"/>
  <c r="V21" i="12"/>
  <c r="V17" i="12"/>
  <c r="V13" i="12"/>
  <c r="V47" i="12"/>
  <c r="V28" i="12"/>
  <c r="V23" i="12"/>
  <c r="V19" i="12"/>
  <c r="V15" i="12"/>
  <c r="V46" i="12"/>
  <c r="V39" i="12"/>
  <c r="V32" i="12"/>
  <c r="V44" i="12"/>
  <c r="V43" i="12"/>
  <c r="V36" i="12"/>
  <c r="V24" i="12"/>
  <c r="V11" i="12"/>
  <c r="V42" i="12"/>
  <c r="V35" i="12"/>
  <c r="V31" i="12"/>
  <c r="V27" i="12"/>
  <c r="V37" i="12"/>
  <c r="V33" i="12"/>
  <c r="V29" i="12"/>
  <c r="V10" i="12"/>
  <c r="V29" i="11"/>
  <c r="V50" i="11"/>
  <c r="V42" i="11"/>
  <c r="V37" i="11"/>
  <c r="V33" i="11"/>
  <c r="V27" i="11"/>
  <c r="V21" i="11"/>
  <c r="V17" i="11"/>
  <c r="V9" i="11"/>
  <c r="V48" i="11"/>
  <c r="V39" i="11"/>
  <c r="V35" i="11"/>
  <c r="V30" i="11"/>
  <c r="V23" i="11"/>
  <c r="V19" i="11"/>
  <c r="V13" i="11"/>
  <c r="V47" i="9"/>
  <c r="V44" i="9"/>
  <c r="V40" i="9"/>
  <c r="V32" i="9"/>
  <c r="V26" i="9"/>
  <c r="V36" i="9"/>
  <c r="V28" i="9"/>
  <c r="V46" i="9"/>
  <c r="V39" i="9"/>
  <c r="V35" i="9"/>
  <c r="V31" i="9"/>
  <c r="V27" i="9"/>
  <c r="V10" i="9"/>
  <c r="V45" i="9"/>
  <c r="V42" i="9"/>
  <c r="V37" i="9"/>
  <c r="V33" i="9"/>
  <c r="V29" i="9"/>
  <c r="V24" i="9"/>
  <c r="V7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9" i="12"/>
  <c r="V41" i="11"/>
  <c r="V32" i="11"/>
  <c r="V26" i="11"/>
  <c r="V16" i="11"/>
  <c r="V12" i="11"/>
  <c r="V47" i="11"/>
  <c r="V46" i="11"/>
  <c r="V51" i="11"/>
  <c r="V44" i="11"/>
  <c r="V24" i="11"/>
  <c r="V14" i="11"/>
  <c r="V10" i="11"/>
  <c r="V17" i="9"/>
  <c r="V13" i="9"/>
  <c r="V9" i="9"/>
  <c r="V15" i="9"/>
  <c r="V11" i="9"/>
  <c r="B8" i="36"/>
  <c r="C8" i="36"/>
  <c r="B9" i="36"/>
  <c r="C9" i="36"/>
  <c r="B10" i="36"/>
  <c r="C10" i="36"/>
  <c r="B11" i="36"/>
  <c r="C11" i="36"/>
  <c r="B12" i="36"/>
  <c r="C12" i="36"/>
  <c r="B13" i="36"/>
  <c r="C13" i="36"/>
  <c r="B14" i="36"/>
  <c r="C14" i="36"/>
  <c r="B15" i="36"/>
  <c r="C15" i="36"/>
  <c r="B16" i="36"/>
  <c r="C16" i="36"/>
  <c r="B17" i="36"/>
  <c r="C17" i="36"/>
  <c r="B18" i="36"/>
  <c r="C18" i="36"/>
  <c r="B19" i="36"/>
  <c r="C19" i="36"/>
  <c r="B20" i="36"/>
  <c r="C20" i="36"/>
  <c r="B21" i="36"/>
  <c r="C21" i="36"/>
  <c r="B22" i="36"/>
  <c r="C22" i="36"/>
  <c r="B23" i="36"/>
  <c r="C23" i="36"/>
  <c r="B24" i="36"/>
  <c r="C24" i="36"/>
  <c r="B25" i="36"/>
  <c r="C25" i="36"/>
  <c r="B26" i="36"/>
  <c r="C26" i="36"/>
  <c r="B27" i="36"/>
  <c r="B28" i="36"/>
  <c r="C28" i="36"/>
  <c r="B29" i="36"/>
  <c r="C29" i="36"/>
  <c r="B30" i="36"/>
  <c r="C30" i="36"/>
  <c r="B31" i="36"/>
  <c r="C31" i="36"/>
  <c r="B32" i="36"/>
  <c r="C32" i="36"/>
  <c r="B33" i="36"/>
  <c r="C33" i="36"/>
  <c r="B34" i="36"/>
  <c r="C34" i="36"/>
  <c r="B35" i="36"/>
  <c r="C35" i="36"/>
  <c r="B36" i="36"/>
  <c r="C36" i="36"/>
  <c r="B37" i="36"/>
  <c r="C37" i="36"/>
  <c r="B38" i="36"/>
  <c r="C38" i="36"/>
  <c r="B39" i="36"/>
  <c r="C39" i="36"/>
  <c r="B40" i="36"/>
  <c r="C40" i="36"/>
  <c r="B42" i="36"/>
  <c r="C42" i="36"/>
  <c r="B43" i="36"/>
  <c r="C43" i="36"/>
  <c r="B44" i="36"/>
  <c r="C44" i="36"/>
  <c r="B45" i="36"/>
  <c r="C45" i="36"/>
  <c r="B46" i="36"/>
  <c r="C46" i="36"/>
  <c r="B47" i="36"/>
  <c r="C47" i="36"/>
  <c r="B8" i="20"/>
  <c r="C8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B21" i="20"/>
  <c r="C21" i="20"/>
  <c r="B22" i="20"/>
  <c r="C22" i="20"/>
  <c r="B23" i="20"/>
  <c r="C23" i="20"/>
  <c r="B24" i="20"/>
  <c r="C24" i="20"/>
  <c r="B25" i="20"/>
  <c r="C25" i="20"/>
  <c r="B26" i="20"/>
  <c r="C26" i="20"/>
  <c r="B27" i="20"/>
  <c r="C27" i="20"/>
  <c r="B28" i="20"/>
  <c r="C28" i="20"/>
  <c r="B29" i="20"/>
  <c r="B30" i="20"/>
  <c r="C30" i="20"/>
  <c r="B31" i="20"/>
  <c r="C31" i="20"/>
  <c r="B32" i="20"/>
  <c r="C32" i="20"/>
  <c r="B33" i="20"/>
  <c r="C33" i="20"/>
  <c r="B34" i="20"/>
  <c r="C34" i="20"/>
  <c r="B35" i="20"/>
  <c r="C35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4" i="20"/>
  <c r="C44" i="20"/>
  <c r="B45" i="20"/>
  <c r="C45" i="20"/>
  <c r="B46" i="20"/>
  <c r="C46" i="20"/>
  <c r="B47" i="20"/>
  <c r="C47" i="20"/>
  <c r="B48" i="20"/>
  <c r="C48" i="20"/>
  <c r="B49" i="20"/>
  <c r="C49" i="20"/>
  <c r="B50" i="20"/>
  <c r="C50" i="20"/>
  <c r="B51" i="20"/>
  <c r="C51" i="20"/>
  <c r="B48" i="19"/>
  <c r="C48" i="19"/>
  <c r="D8" i="23"/>
  <c r="H8" i="23"/>
  <c r="J8" i="23"/>
  <c r="L8" i="23"/>
  <c r="D9" i="23"/>
  <c r="H9" i="23"/>
  <c r="J9" i="23"/>
  <c r="L9" i="23"/>
  <c r="D10" i="23"/>
  <c r="H10" i="23"/>
  <c r="J10" i="23"/>
  <c r="L10" i="23"/>
  <c r="D11" i="23"/>
  <c r="H11" i="23"/>
  <c r="J11" i="23"/>
  <c r="L11" i="23"/>
  <c r="D12" i="23"/>
  <c r="H12" i="23"/>
  <c r="J12" i="23"/>
  <c r="L12" i="23"/>
  <c r="D13" i="23"/>
  <c r="H13" i="23"/>
  <c r="J13" i="23"/>
  <c r="L13" i="23"/>
  <c r="D14" i="23"/>
  <c r="H14" i="23"/>
  <c r="J14" i="23"/>
  <c r="L14" i="23"/>
  <c r="D15" i="23"/>
  <c r="F15" i="23"/>
  <c r="H15" i="23"/>
  <c r="J15" i="23"/>
  <c r="L15" i="23"/>
  <c r="D16" i="23"/>
  <c r="F16" i="23"/>
  <c r="H16" i="23"/>
  <c r="J16" i="23"/>
  <c r="L16" i="23"/>
  <c r="D17" i="23"/>
  <c r="F17" i="23"/>
  <c r="H17" i="23"/>
  <c r="J17" i="23"/>
  <c r="L17" i="23"/>
  <c r="D18" i="23"/>
  <c r="F18" i="23"/>
  <c r="H18" i="23"/>
  <c r="J18" i="23"/>
  <c r="L18" i="23"/>
  <c r="D19" i="23"/>
  <c r="F19" i="23"/>
  <c r="H19" i="23"/>
  <c r="J19" i="23"/>
  <c r="L19" i="23"/>
  <c r="D20" i="23"/>
  <c r="F20" i="23"/>
  <c r="H20" i="23"/>
  <c r="J20" i="23"/>
  <c r="L20" i="23"/>
  <c r="D21" i="23"/>
  <c r="F21" i="23"/>
  <c r="H21" i="23"/>
  <c r="J21" i="23"/>
  <c r="L21" i="23"/>
  <c r="D22" i="23"/>
  <c r="F22" i="23"/>
  <c r="H22" i="23"/>
  <c r="J22" i="23"/>
  <c r="L22" i="23"/>
  <c r="D23" i="23"/>
  <c r="F23" i="23"/>
  <c r="H23" i="23"/>
  <c r="J23" i="23"/>
  <c r="L23" i="23"/>
  <c r="D24" i="23"/>
  <c r="F24" i="23"/>
  <c r="H24" i="23"/>
  <c r="J24" i="23"/>
  <c r="L24" i="23"/>
  <c r="D25" i="23"/>
  <c r="F25" i="23"/>
  <c r="H25" i="23"/>
  <c r="J25" i="23"/>
  <c r="L25" i="23"/>
  <c r="D26" i="23"/>
  <c r="F26" i="23"/>
  <c r="H26" i="23"/>
  <c r="J26" i="23"/>
  <c r="L26" i="23"/>
  <c r="D27" i="23"/>
  <c r="F27" i="23"/>
  <c r="H27" i="23"/>
  <c r="J27" i="23"/>
  <c r="L27" i="23"/>
  <c r="D28" i="23"/>
  <c r="F28" i="23"/>
  <c r="H28" i="23"/>
  <c r="J28" i="23"/>
  <c r="L28" i="23"/>
  <c r="D29" i="23"/>
  <c r="F29" i="23"/>
  <c r="H29" i="23"/>
  <c r="J29" i="23"/>
  <c r="L29" i="23"/>
  <c r="D30" i="23"/>
  <c r="F30" i="23"/>
  <c r="H30" i="23"/>
  <c r="J30" i="23"/>
  <c r="L30" i="23"/>
  <c r="D31" i="23"/>
  <c r="F31" i="23"/>
  <c r="H31" i="23"/>
  <c r="J31" i="23"/>
  <c r="L31" i="23"/>
  <c r="D32" i="23"/>
  <c r="F32" i="23"/>
  <c r="H32" i="23"/>
  <c r="J32" i="23"/>
  <c r="L32" i="23"/>
  <c r="D33" i="23"/>
  <c r="F33" i="23"/>
  <c r="H33" i="23"/>
  <c r="J33" i="23"/>
  <c r="L33" i="23"/>
  <c r="D34" i="23"/>
  <c r="F34" i="23"/>
  <c r="H34" i="23"/>
  <c r="J34" i="23"/>
  <c r="L34" i="23"/>
  <c r="D35" i="23"/>
  <c r="F35" i="23"/>
  <c r="H35" i="23"/>
  <c r="J35" i="23"/>
  <c r="L35" i="23"/>
  <c r="D36" i="23"/>
  <c r="F36" i="23"/>
  <c r="H36" i="23"/>
  <c r="J36" i="23"/>
  <c r="L36" i="23"/>
  <c r="D37" i="23"/>
  <c r="F37" i="23"/>
  <c r="H37" i="23"/>
  <c r="J37" i="23"/>
  <c r="L37" i="23"/>
  <c r="D8" i="8"/>
  <c r="J8" i="8"/>
  <c r="D9" i="8"/>
  <c r="J9" i="8"/>
  <c r="D10" i="8"/>
  <c r="J10" i="8"/>
  <c r="D11" i="8"/>
  <c r="J11" i="8"/>
  <c r="D12" i="8"/>
  <c r="J12" i="8"/>
  <c r="D13" i="8"/>
  <c r="J13" i="8"/>
  <c r="D14" i="8"/>
  <c r="J14" i="8"/>
  <c r="D15" i="8"/>
  <c r="J15" i="8"/>
  <c r="D16" i="8"/>
  <c r="J16" i="8"/>
  <c r="D17" i="8"/>
  <c r="F17" i="8"/>
  <c r="H17" i="8"/>
  <c r="J17" i="8"/>
  <c r="L17" i="8"/>
  <c r="D18" i="8"/>
  <c r="F18" i="8"/>
  <c r="H18" i="8"/>
  <c r="J18" i="8"/>
  <c r="L18" i="8"/>
  <c r="D19" i="8"/>
  <c r="F19" i="8"/>
  <c r="H19" i="8"/>
  <c r="J19" i="8"/>
  <c r="L19" i="8"/>
  <c r="D20" i="8"/>
  <c r="F20" i="8"/>
  <c r="H20" i="8"/>
  <c r="J20" i="8"/>
  <c r="L20" i="8"/>
  <c r="D21" i="8"/>
  <c r="F21" i="8"/>
  <c r="H21" i="8"/>
  <c r="J21" i="8"/>
  <c r="L21" i="8"/>
  <c r="D22" i="8"/>
  <c r="F22" i="8"/>
  <c r="H22" i="8"/>
  <c r="J22" i="8"/>
  <c r="L22" i="8"/>
  <c r="D23" i="8"/>
  <c r="F23" i="8"/>
  <c r="H23" i="8"/>
  <c r="J23" i="8"/>
  <c r="L23" i="8"/>
  <c r="D24" i="8"/>
  <c r="F24" i="8"/>
  <c r="H24" i="8"/>
  <c r="J24" i="8"/>
  <c r="L24" i="8"/>
  <c r="J25" i="8"/>
  <c r="J26" i="8"/>
  <c r="J27" i="8"/>
  <c r="J28" i="8"/>
  <c r="J29" i="8"/>
  <c r="J30" i="8"/>
  <c r="J31" i="8"/>
  <c r="J32" i="8"/>
  <c r="J33" i="8"/>
  <c r="J34" i="8"/>
  <c r="J35" i="8"/>
  <c r="B7" i="9" l="1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AQ2" i="37"/>
  <c r="AS2" i="37" s="1"/>
  <c r="AM3" i="37"/>
  <c r="AL3" i="37"/>
  <c r="B7" i="37"/>
  <c r="C7" i="37"/>
  <c r="C6" i="37"/>
  <c r="AM3" i="36"/>
  <c r="AQ2" i="36"/>
  <c r="AS2" i="36" s="1"/>
  <c r="B7" i="36"/>
  <c r="C7" i="36"/>
  <c r="C6" i="36"/>
  <c r="C7" i="20"/>
  <c r="C6" i="20"/>
  <c r="AP2" i="20"/>
  <c r="AL3" i="20"/>
  <c r="AR2" i="20"/>
  <c r="B7" i="20"/>
  <c r="AL3" i="19"/>
  <c r="R3" i="19"/>
  <c r="B8" i="19"/>
  <c r="B7" i="8"/>
  <c r="C7" i="8"/>
  <c r="D7" i="8"/>
  <c r="J7" i="8"/>
  <c r="B8" i="8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B28" i="8"/>
  <c r="C28" i="8"/>
  <c r="B29" i="8"/>
  <c r="C29" i="8"/>
  <c r="B30" i="8"/>
  <c r="C30" i="8"/>
  <c r="B31" i="8"/>
  <c r="C31" i="8"/>
  <c r="B32" i="8"/>
  <c r="C32" i="8"/>
  <c r="B33" i="8"/>
  <c r="C33" i="8"/>
  <c r="B34" i="8"/>
  <c r="C34" i="8"/>
  <c r="B35" i="8"/>
  <c r="C35" i="8"/>
  <c r="B7" i="23"/>
  <c r="C7" i="23"/>
  <c r="D7" i="23"/>
  <c r="H7" i="23"/>
  <c r="J7" i="23"/>
  <c r="L7" i="23"/>
  <c r="B8" i="23"/>
  <c r="C8" i="23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B21" i="23"/>
  <c r="C21" i="23"/>
  <c r="B22" i="23"/>
  <c r="C22" i="23"/>
  <c r="B23" i="23"/>
  <c r="C23" i="23"/>
  <c r="B24" i="23"/>
  <c r="C24" i="23"/>
  <c r="B25" i="23"/>
  <c r="C25" i="23"/>
  <c r="B26" i="23"/>
  <c r="C26" i="23"/>
  <c r="B27" i="23"/>
  <c r="C27" i="23"/>
  <c r="B28" i="23"/>
  <c r="C28" i="23"/>
  <c r="B29" i="23"/>
  <c r="B30" i="23"/>
  <c r="C30" i="23"/>
  <c r="B31" i="23"/>
  <c r="C31" i="23"/>
  <c r="B32" i="23"/>
  <c r="C32" i="23"/>
  <c r="B33" i="23"/>
  <c r="C33" i="23"/>
  <c r="B34" i="23"/>
  <c r="C34" i="23"/>
  <c r="B35" i="23"/>
  <c r="C35" i="23"/>
  <c r="B36" i="23"/>
  <c r="C36" i="23"/>
  <c r="B37" i="23"/>
  <c r="C37" i="23"/>
  <c r="D25" i="37"/>
  <c r="D27" i="48" s="1"/>
  <c r="V7" i="9" l="1"/>
  <c r="G25" i="23"/>
  <c r="I25" i="23"/>
  <c r="K25" i="23"/>
  <c r="M25" i="23"/>
  <c r="D25" i="20"/>
  <c r="D27" i="19" s="1"/>
  <c r="E25" i="23"/>
  <c r="S54" i="37" l="1"/>
  <c r="S3" i="37"/>
  <c r="R58" i="19"/>
  <c r="R54" i="20"/>
  <c r="R3" i="20" l="1"/>
  <c r="S50" i="36"/>
  <c r="B6" i="37"/>
  <c r="Y2" i="37"/>
  <c r="B6" i="36"/>
  <c r="S3" i="36"/>
  <c r="Y2" i="36"/>
  <c r="BE4" i="36" l="1"/>
  <c r="BC4" i="36"/>
  <c r="BA4" i="36"/>
  <c r="AY4" i="36"/>
  <c r="AW4" i="36"/>
  <c r="AU4" i="36"/>
  <c r="AS4" i="36"/>
  <c r="AQ4" i="36"/>
  <c r="AO4" i="36"/>
  <c r="BD4" i="36"/>
  <c r="AZ4" i="36"/>
  <c r="AV4" i="36"/>
  <c r="AR4" i="36"/>
  <c r="AN4" i="36"/>
  <c r="BB4" i="36"/>
  <c r="AX4" i="36"/>
  <c r="AT4" i="36"/>
  <c r="AP4" i="36"/>
  <c r="AJ4" i="37"/>
  <c r="BE4" i="37"/>
  <c r="BC4" i="37"/>
  <c r="BA4" i="37"/>
  <c r="AY4" i="37"/>
  <c r="AW4" i="37"/>
  <c r="AU4" i="37"/>
  <c r="AS4" i="37"/>
  <c r="AQ4" i="37"/>
  <c r="AO4" i="37"/>
  <c r="BD4" i="37"/>
  <c r="AZ4" i="37"/>
  <c r="AV4" i="37"/>
  <c r="AR4" i="37"/>
  <c r="AN4" i="37"/>
  <c r="BB4" i="37"/>
  <c r="AT4" i="37"/>
  <c r="AX4" i="37"/>
  <c r="AP4" i="37"/>
  <c r="U4" i="37"/>
  <c r="W4" i="37"/>
  <c r="Y4" i="37"/>
  <c r="AA4" i="37"/>
  <c r="AC4" i="37"/>
  <c r="AE4" i="37"/>
  <c r="AG4" i="37"/>
  <c r="AI4" i="37"/>
  <c r="AK4" i="37"/>
  <c r="T4" i="37"/>
  <c r="V4" i="37"/>
  <c r="X4" i="37"/>
  <c r="Z4" i="37"/>
  <c r="AB4" i="37"/>
  <c r="AD4" i="37"/>
  <c r="AF4" i="37"/>
  <c r="AH4" i="37"/>
  <c r="AJ4" i="36"/>
  <c r="AH4" i="36"/>
  <c r="AF4" i="36"/>
  <c r="AD4" i="36"/>
  <c r="AB4" i="36"/>
  <c r="Z4" i="36"/>
  <c r="X4" i="36"/>
  <c r="V4" i="36"/>
  <c r="T4" i="36"/>
  <c r="AK4" i="36"/>
  <c r="AI4" i="36"/>
  <c r="AG4" i="36"/>
  <c r="AE4" i="36"/>
  <c r="AC4" i="36"/>
  <c r="AA4" i="36"/>
  <c r="Y4" i="36"/>
  <c r="W4" i="36"/>
  <c r="U4" i="36"/>
  <c r="W6" i="36" l="1"/>
  <c r="W7" i="36"/>
  <c r="W8" i="36"/>
  <c r="W9" i="36"/>
  <c r="W10" i="36"/>
  <c r="W11" i="36"/>
  <c r="W12" i="36"/>
  <c r="W13" i="36"/>
  <c r="W14" i="36"/>
  <c r="W15" i="36"/>
  <c r="W16" i="36"/>
  <c r="W17" i="36"/>
  <c r="W18" i="36"/>
  <c r="W19" i="36"/>
  <c r="W20" i="36"/>
  <c r="W21" i="36"/>
  <c r="W22" i="36"/>
  <c r="W23" i="36"/>
  <c r="W24" i="36"/>
  <c r="W25" i="36"/>
  <c r="W26" i="36"/>
  <c r="W27" i="36"/>
  <c r="W28" i="36"/>
  <c r="W29" i="36"/>
  <c r="W30" i="36"/>
  <c r="W31" i="36"/>
  <c r="W32" i="36"/>
  <c r="W33" i="36"/>
  <c r="W34" i="36"/>
  <c r="W35" i="36"/>
  <c r="W36" i="36"/>
  <c r="W37" i="36"/>
  <c r="W38" i="36"/>
  <c r="W39" i="36"/>
  <c r="W40" i="36"/>
  <c r="W42" i="36"/>
  <c r="W43" i="36"/>
  <c r="W44" i="36"/>
  <c r="W45" i="36"/>
  <c r="W46" i="36"/>
  <c r="W47" i="36"/>
  <c r="AA6" i="36"/>
  <c r="AA7" i="36"/>
  <c r="AA8" i="36"/>
  <c r="AA9" i="36"/>
  <c r="AA10" i="36"/>
  <c r="AA11" i="36"/>
  <c r="AA12" i="36"/>
  <c r="AA13" i="36"/>
  <c r="AA14" i="36"/>
  <c r="AA15" i="36"/>
  <c r="AA16" i="36"/>
  <c r="AA17" i="36"/>
  <c r="AA18" i="36"/>
  <c r="AA19" i="36"/>
  <c r="AA20" i="36"/>
  <c r="AA21" i="36"/>
  <c r="AA22" i="36"/>
  <c r="AA23" i="36"/>
  <c r="AA24" i="36"/>
  <c r="AA25" i="36"/>
  <c r="AA26" i="36"/>
  <c r="AA27" i="36"/>
  <c r="AA28" i="36"/>
  <c r="AA29" i="36"/>
  <c r="AA30" i="36"/>
  <c r="AA31" i="36"/>
  <c r="AA32" i="36"/>
  <c r="AA33" i="36"/>
  <c r="AA34" i="36"/>
  <c r="AA35" i="36"/>
  <c r="AA36" i="36"/>
  <c r="AA37" i="36"/>
  <c r="AA38" i="36"/>
  <c r="AA39" i="36"/>
  <c r="AA40" i="36"/>
  <c r="AA42" i="36"/>
  <c r="AA43" i="36"/>
  <c r="AA44" i="36"/>
  <c r="AA45" i="36"/>
  <c r="AA46" i="36"/>
  <c r="AA47" i="36"/>
  <c r="AE6" i="36"/>
  <c r="AE7" i="36"/>
  <c r="AE8" i="36"/>
  <c r="AE9" i="36"/>
  <c r="AE10" i="36"/>
  <c r="AE11" i="36"/>
  <c r="AE12" i="36"/>
  <c r="AE13" i="36"/>
  <c r="AE14" i="36"/>
  <c r="AE15" i="36"/>
  <c r="AE16" i="36"/>
  <c r="AE17" i="36"/>
  <c r="AE18" i="36"/>
  <c r="AE19" i="36"/>
  <c r="AE20" i="36"/>
  <c r="AE21" i="36"/>
  <c r="AE22" i="36"/>
  <c r="AE23" i="36"/>
  <c r="AE24" i="36"/>
  <c r="AE25" i="36"/>
  <c r="AE26" i="36"/>
  <c r="AE27" i="36"/>
  <c r="AE28" i="36"/>
  <c r="AE29" i="36"/>
  <c r="AE30" i="36"/>
  <c r="AE31" i="36"/>
  <c r="AE32" i="36"/>
  <c r="AE33" i="36"/>
  <c r="AE34" i="36"/>
  <c r="AE35" i="36"/>
  <c r="AE36" i="36"/>
  <c r="AE37" i="36"/>
  <c r="AE38" i="36"/>
  <c r="AE39" i="36"/>
  <c r="AE40" i="36"/>
  <c r="AE42" i="36"/>
  <c r="AE43" i="36"/>
  <c r="AE44" i="36"/>
  <c r="AE45" i="36"/>
  <c r="AE46" i="36"/>
  <c r="AE47" i="36"/>
  <c r="AI6" i="36"/>
  <c r="AI7" i="36"/>
  <c r="AI8" i="36"/>
  <c r="AI9" i="36"/>
  <c r="AI10" i="36"/>
  <c r="AI11" i="36"/>
  <c r="AI12" i="36"/>
  <c r="AI13" i="36"/>
  <c r="AI14" i="36"/>
  <c r="AI15" i="36"/>
  <c r="AI16" i="36"/>
  <c r="AI17" i="36"/>
  <c r="AI18" i="36"/>
  <c r="AI19" i="36"/>
  <c r="AI20" i="36"/>
  <c r="AI21" i="36"/>
  <c r="AI22" i="36"/>
  <c r="AI23" i="36"/>
  <c r="AI24" i="36"/>
  <c r="AI25" i="36"/>
  <c r="AI26" i="36"/>
  <c r="AI27" i="36"/>
  <c r="AI28" i="36"/>
  <c r="AI29" i="36"/>
  <c r="AI30" i="36"/>
  <c r="AI31" i="36"/>
  <c r="AI32" i="36"/>
  <c r="AI33" i="36"/>
  <c r="AI34" i="36"/>
  <c r="AI35" i="36"/>
  <c r="AI36" i="36"/>
  <c r="AI37" i="36"/>
  <c r="AI38" i="36"/>
  <c r="AI39" i="36"/>
  <c r="AI40" i="36"/>
  <c r="AI42" i="36"/>
  <c r="AI43" i="36"/>
  <c r="AI44" i="36"/>
  <c r="AI45" i="36"/>
  <c r="AI46" i="36"/>
  <c r="AI47" i="36"/>
  <c r="T7" i="36"/>
  <c r="T9" i="36"/>
  <c r="T11" i="36"/>
  <c r="T13" i="36"/>
  <c r="T15" i="36"/>
  <c r="T17" i="36"/>
  <c r="T19" i="36"/>
  <c r="T21" i="36"/>
  <c r="T23" i="36"/>
  <c r="T25" i="36"/>
  <c r="T26" i="36"/>
  <c r="T27" i="36"/>
  <c r="T28" i="36"/>
  <c r="T29" i="36"/>
  <c r="T30" i="36"/>
  <c r="T31" i="36"/>
  <c r="T32" i="36"/>
  <c r="T33" i="36"/>
  <c r="T34" i="36"/>
  <c r="T35" i="36"/>
  <c r="T36" i="36"/>
  <c r="T37" i="36"/>
  <c r="T38" i="36"/>
  <c r="T39" i="36"/>
  <c r="T40" i="36"/>
  <c r="T42" i="36"/>
  <c r="T43" i="36"/>
  <c r="T44" i="36"/>
  <c r="T45" i="36"/>
  <c r="T46" i="36"/>
  <c r="T47" i="36"/>
  <c r="T6" i="36"/>
  <c r="T8" i="36"/>
  <c r="T10" i="36"/>
  <c r="T12" i="36"/>
  <c r="T14" i="36"/>
  <c r="T16" i="36"/>
  <c r="T18" i="36"/>
  <c r="T20" i="36"/>
  <c r="T22" i="36"/>
  <c r="T24" i="36"/>
  <c r="X7" i="36"/>
  <c r="X9" i="36"/>
  <c r="X11" i="36"/>
  <c r="X13" i="36"/>
  <c r="X15" i="36"/>
  <c r="X17" i="36"/>
  <c r="X19" i="36"/>
  <c r="X21" i="36"/>
  <c r="X23" i="36"/>
  <c r="X25" i="36"/>
  <c r="X26" i="36"/>
  <c r="X27" i="36"/>
  <c r="X28" i="36"/>
  <c r="X29" i="36"/>
  <c r="X30" i="36"/>
  <c r="X31" i="36"/>
  <c r="X32" i="36"/>
  <c r="X33" i="36"/>
  <c r="X34" i="36"/>
  <c r="X35" i="36"/>
  <c r="X36" i="36"/>
  <c r="X37" i="36"/>
  <c r="X38" i="36"/>
  <c r="X39" i="36"/>
  <c r="X40" i="36"/>
  <c r="X42" i="36"/>
  <c r="X43" i="36"/>
  <c r="X44" i="36"/>
  <c r="X45" i="36"/>
  <c r="X46" i="36"/>
  <c r="X47" i="36"/>
  <c r="X6" i="36"/>
  <c r="X8" i="36"/>
  <c r="X10" i="36"/>
  <c r="X12" i="36"/>
  <c r="X14" i="36"/>
  <c r="X16" i="36"/>
  <c r="X18" i="36"/>
  <c r="X20" i="36"/>
  <c r="X22" i="36"/>
  <c r="X24" i="36"/>
  <c r="AB7" i="36"/>
  <c r="AB9" i="36"/>
  <c r="AB11" i="36"/>
  <c r="AB13" i="36"/>
  <c r="AB15" i="36"/>
  <c r="AB17" i="36"/>
  <c r="AB19" i="36"/>
  <c r="AB21" i="36"/>
  <c r="AB23" i="36"/>
  <c r="AB25" i="36"/>
  <c r="AB26" i="36"/>
  <c r="AB27" i="36"/>
  <c r="AB28" i="36"/>
  <c r="AB29" i="36"/>
  <c r="AB30" i="36"/>
  <c r="AB31" i="36"/>
  <c r="AB32" i="36"/>
  <c r="AB33" i="36"/>
  <c r="AB34" i="36"/>
  <c r="AB35" i="36"/>
  <c r="AB36" i="36"/>
  <c r="AB37" i="36"/>
  <c r="AB38" i="36"/>
  <c r="AB39" i="36"/>
  <c r="AB40" i="36"/>
  <c r="AB42" i="36"/>
  <c r="AB43" i="36"/>
  <c r="AB44" i="36"/>
  <c r="AB45" i="36"/>
  <c r="AB46" i="36"/>
  <c r="AB47" i="36"/>
  <c r="AB6" i="36"/>
  <c r="AB8" i="36"/>
  <c r="AB10" i="36"/>
  <c r="AB12" i="36"/>
  <c r="AB14" i="36"/>
  <c r="AB16" i="36"/>
  <c r="AB18" i="36"/>
  <c r="AB20" i="36"/>
  <c r="AB22" i="36"/>
  <c r="AB24" i="36"/>
  <c r="AF7" i="36"/>
  <c r="AF9" i="36"/>
  <c r="AF11" i="36"/>
  <c r="AF13" i="36"/>
  <c r="AF15" i="36"/>
  <c r="AF17" i="36"/>
  <c r="AF19" i="36"/>
  <c r="AF21" i="36"/>
  <c r="AF23" i="36"/>
  <c r="AF24" i="36"/>
  <c r="AF25" i="36"/>
  <c r="AF26" i="36"/>
  <c r="AF27" i="36"/>
  <c r="AF28" i="36"/>
  <c r="AF29" i="36"/>
  <c r="AF30" i="36"/>
  <c r="AF31" i="36"/>
  <c r="AF32" i="36"/>
  <c r="AF33" i="36"/>
  <c r="AF34" i="36"/>
  <c r="AF35" i="36"/>
  <c r="AF36" i="36"/>
  <c r="AF37" i="36"/>
  <c r="AF38" i="36"/>
  <c r="AF39" i="36"/>
  <c r="AF40" i="36"/>
  <c r="AF42" i="36"/>
  <c r="AF43" i="36"/>
  <c r="AF44" i="36"/>
  <c r="AF45" i="36"/>
  <c r="AF46" i="36"/>
  <c r="AF47" i="36"/>
  <c r="AF6" i="36"/>
  <c r="AF8" i="36"/>
  <c r="AF10" i="36"/>
  <c r="AF12" i="36"/>
  <c r="AF14" i="36"/>
  <c r="AF16" i="36"/>
  <c r="AF18" i="36"/>
  <c r="AF20" i="36"/>
  <c r="AF22" i="36"/>
  <c r="AJ7" i="36"/>
  <c r="AJ9" i="36"/>
  <c r="AJ11" i="36"/>
  <c r="AJ13" i="36"/>
  <c r="AJ15" i="36"/>
  <c r="AJ17" i="36"/>
  <c r="AJ19" i="36"/>
  <c r="AJ21" i="36"/>
  <c r="AJ23" i="36"/>
  <c r="AJ24" i="36"/>
  <c r="AJ25" i="36"/>
  <c r="AJ26" i="36"/>
  <c r="AJ27" i="36"/>
  <c r="AJ28" i="36"/>
  <c r="AJ29" i="36"/>
  <c r="AJ30" i="36"/>
  <c r="AJ31" i="36"/>
  <c r="AJ32" i="36"/>
  <c r="AJ33" i="36"/>
  <c r="AJ34" i="36"/>
  <c r="AJ35" i="36"/>
  <c r="AJ36" i="36"/>
  <c r="AJ37" i="36"/>
  <c r="AJ38" i="36"/>
  <c r="AJ39" i="36"/>
  <c r="AJ40" i="36"/>
  <c r="AJ42" i="36"/>
  <c r="AJ43" i="36"/>
  <c r="AJ44" i="36"/>
  <c r="AJ45" i="36"/>
  <c r="AJ46" i="36"/>
  <c r="AJ47" i="36"/>
  <c r="AJ6" i="36"/>
  <c r="AJ8" i="36"/>
  <c r="AJ10" i="36"/>
  <c r="AJ12" i="36"/>
  <c r="AJ14" i="36"/>
  <c r="AJ16" i="36"/>
  <c r="AJ18" i="36"/>
  <c r="AJ20" i="36"/>
  <c r="AJ22" i="36"/>
  <c r="AF6" i="37"/>
  <c r="AF7" i="37"/>
  <c r="AF8" i="37"/>
  <c r="AF9" i="37"/>
  <c r="AF10" i="37"/>
  <c r="AF11" i="37"/>
  <c r="AF12" i="37"/>
  <c r="AF13" i="37"/>
  <c r="AF14" i="37"/>
  <c r="AF15" i="37"/>
  <c r="AF16" i="37"/>
  <c r="AF17" i="37"/>
  <c r="AF18" i="37"/>
  <c r="AF19" i="37"/>
  <c r="AF20" i="37"/>
  <c r="AF21" i="37"/>
  <c r="AF22" i="37"/>
  <c r="AF23" i="37"/>
  <c r="AF24" i="37"/>
  <c r="AF25" i="37"/>
  <c r="AF26" i="37"/>
  <c r="AF27" i="37"/>
  <c r="AF28" i="37"/>
  <c r="AF30" i="37"/>
  <c r="AF32" i="37"/>
  <c r="AF34" i="37"/>
  <c r="AF36" i="37"/>
  <c r="AF38" i="37"/>
  <c r="AF40" i="37"/>
  <c r="AF42" i="37"/>
  <c r="AF45" i="37"/>
  <c r="AF47" i="37"/>
  <c r="AF49" i="37"/>
  <c r="AF51" i="37"/>
  <c r="AF31" i="37"/>
  <c r="AF35" i="37"/>
  <c r="AF39" i="37"/>
  <c r="AF44" i="37"/>
  <c r="AF48" i="37"/>
  <c r="AF29" i="37"/>
  <c r="AF33" i="37"/>
  <c r="AF37" i="37"/>
  <c r="AF41" i="37"/>
  <c r="AF46" i="37"/>
  <c r="AF50" i="37"/>
  <c r="AB6" i="37"/>
  <c r="AB7" i="37"/>
  <c r="AB8" i="37"/>
  <c r="AB9" i="37"/>
  <c r="AB10" i="37"/>
  <c r="AB11" i="37"/>
  <c r="AB12" i="37"/>
  <c r="AB13" i="37"/>
  <c r="AB14" i="37"/>
  <c r="AB15" i="37"/>
  <c r="AB16" i="37"/>
  <c r="AB17" i="37"/>
  <c r="AB18" i="37"/>
  <c r="AB19" i="37"/>
  <c r="AB20" i="37"/>
  <c r="AB21" i="37"/>
  <c r="AB22" i="37"/>
  <c r="AB23" i="37"/>
  <c r="AB24" i="37"/>
  <c r="AB25" i="37"/>
  <c r="AB26" i="37"/>
  <c r="AB27" i="37"/>
  <c r="AB28" i="37"/>
  <c r="AB30" i="37"/>
  <c r="AB32" i="37"/>
  <c r="AB34" i="37"/>
  <c r="AB36" i="37"/>
  <c r="AB38" i="37"/>
  <c r="AB40" i="37"/>
  <c r="AB42" i="37"/>
  <c r="AB45" i="37"/>
  <c r="AB47" i="37"/>
  <c r="AB49" i="37"/>
  <c r="AB51" i="37"/>
  <c r="AB29" i="37"/>
  <c r="AB33" i="37"/>
  <c r="AB37" i="37"/>
  <c r="AB41" i="37"/>
  <c r="AB46" i="37"/>
  <c r="AB50" i="37"/>
  <c r="AB31" i="37"/>
  <c r="AB35" i="37"/>
  <c r="AB39" i="37"/>
  <c r="AB44" i="37"/>
  <c r="AB48" i="37"/>
  <c r="X6" i="37"/>
  <c r="X7" i="37"/>
  <c r="X8" i="37"/>
  <c r="X9" i="37"/>
  <c r="X10" i="37"/>
  <c r="X11" i="37"/>
  <c r="X12" i="37"/>
  <c r="X13" i="37"/>
  <c r="X14" i="37"/>
  <c r="X15" i="37"/>
  <c r="X16" i="37"/>
  <c r="X17" i="37"/>
  <c r="X18" i="37"/>
  <c r="X19" i="37"/>
  <c r="X20" i="37"/>
  <c r="X21" i="37"/>
  <c r="X22" i="37"/>
  <c r="X23" i="37"/>
  <c r="X24" i="37"/>
  <c r="X25" i="37"/>
  <c r="X26" i="37"/>
  <c r="X27" i="37"/>
  <c r="X28" i="37"/>
  <c r="X30" i="37"/>
  <c r="X32" i="37"/>
  <c r="X34" i="37"/>
  <c r="X36" i="37"/>
  <c r="X38" i="37"/>
  <c r="X40" i="37"/>
  <c r="X42" i="37"/>
  <c r="X45" i="37"/>
  <c r="X47" i="37"/>
  <c r="X49" i="37"/>
  <c r="X51" i="37"/>
  <c r="X31" i="37"/>
  <c r="X35" i="37"/>
  <c r="X39" i="37"/>
  <c r="X44" i="37"/>
  <c r="X48" i="37"/>
  <c r="X29" i="37"/>
  <c r="X33" i="37"/>
  <c r="X37" i="37"/>
  <c r="X41" i="37"/>
  <c r="X46" i="37"/>
  <c r="X50" i="37"/>
  <c r="T6" i="37"/>
  <c r="T7" i="37"/>
  <c r="T8" i="37"/>
  <c r="T9" i="37"/>
  <c r="T10" i="37"/>
  <c r="T11" i="37"/>
  <c r="T12" i="37"/>
  <c r="T13" i="37"/>
  <c r="T14" i="37"/>
  <c r="T15" i="37"/>
  <c r="T16" i="37"/>
  <c r="T17" i="37"/>
  <c r="T18" i="37"/>
  <c r="T19" i="37"/>
  <c r="T20" i="37"/>
  <c r="T21" i="37"/>
  <c r="T22" i="37"/>
  <c r="T23" i="37"/>
  <c r="T24" i="37"/>
  <c r="T25" i="37"/>
  <c r="T26" i="37"/>
  <c r="T27" i="37"/>
  <c r="T28" i="37"/>
  <c r="T30" i="37"/>
  <c r="T32" i="37"/>
  <c r="T34" i="37"/>
  <c r="T36" i="37"/>
  <c r="T38" i="37"/>
  <c r="T40" i="37"/>
  <c r="T42" i="37"/>
  <c r="T45" i="37"/>
  <c r="T47" i="37"/>
  <c r="T49" i="37"/>
  <c r="T51" i="37"/>
  <c r="T29" i="37"/>
  <c r="T33" i="37"/>
  <c r="T37" i="37"/>
  <c r="T41" i="37"/>
  <c r="T46" i="37"/>
  <c r="T50" i="37"/>
  <c r="T31" i="37"/>
  <c r="T35" i="37"/>
  <c r="T39" i="37"/>
  <c r="T44" i="37"/>
  <c r="T48" i="37"/>
  <c r="AI6" i="37"/>
  <c r="AI7" i="37"/>
  <c r="AI8" i="37"/>
  <c r="AI9" i="37"/>
  <c r="AI10" i="37"/>
  <c r="AI11" i="37"/>
  <c r="AI12" i="37"/>
  <c r="AI13" i="37"/>
  <c r="AI14" i="37"/>
  <c r="AI15" i="37"/>
  <c r="AI16" i="37"/>
  <c r="AI17" i="37"/>
  <c r="AI18" i="37"/>
  <c r="AI19" i="37"/>
  <c r="AI20" i="37"/>
  <c r="AI21" i="37"/>
  <c r="AI22" i="37"/>
  <c r="AI23" i="37"/>
  <c r="AI24" i="37"/>
  <c r="AI25" i="37"/>
  <c r="AI26" i="37"/>
  <c r="AI27" i="37"/>
  <c r="AI28" i="37"/>
  <c r="AI29" i="37"/>
  <c r="AI30" i="37"/>
  <c r="AI31" i="37"/>
  <c r="AI32" i="37"/>
  <c r="AI33" i="37"/>
  <c r="AI34" i="37"/>
  <c r="AI35" i="37"/>
  <c r="AI36" i="37"/>
  <c r="AI37" i="37"/>
  <c r="AI38" i="37"/>
  <c r="AI39" i="37"/>
  <c r="AI40" i="37"/>
  <c r="AI41" i="37"/>
  <c r="AI42" i="37"/>
  <c r="AI44" i="37"/>
  <c r="AI45" i="37"/>
  <c r="AI46" i="37"/>
  <c r="AI47" i="37"/>
  <c r="AI48" i="37"/>
  <c r="AI49" i="37"/>
  <c r="AI50" i="37"/>
  <c r="AI51" i="37"/>
  <c r="AE6" i="37"/>
  <c r="AE7" i="37"/>
  <c r="AE8" i="37"/>
  <c r="AE9" i="37"/>
  <c r="AE10" i="37"/>
  <c r="AE11" i="37"/>
  <c r="AE12" i="37"/>
  <c r="AE13" i="37"/>
  <c r="AE14" i="37"/>
  <c r="AE15" i="37"/>
  <c r="AE16" i="37"/>
  <c r="AE17" i="37"/>
  <c r="AE18" i="37"/>
  <c r="AE19" i="37"/>
  <c r="AE20" i="37"/>
  <c r="AE21" i="37"/>
  <c r="AE22" i="37"/>
  <c r="AE23" i="37"/>
  <c r="AE24" i="37"/>
  <c r="AE25" i="37"/>
  <c r="AE26" i="37"/>
  <c r="AE27" i="37"/>
  <c r="AE28" i="37"/>
  <c r="AE29" i="37"/>
  <c r="AE30" i="37"/>
  <c r="AE31" i="37"/>
  <c r="AE32" i="37"/>
  <c r="AE33" i="37"/>
  <c r="AE34" i="37"/>
  <c r="AE35" i="37"/>
  <c r="AE36" i="37"/>
  <c r="AE37" i="37"/>
  <c r="AE38" i="37"/>
  <c r="AE39" i="37"/>
  <c r="AE40" i="37"/>
  <c r="AE41" i="37"/>
  <c r="AE42" i="37"/>
  <c r="AE44" i="37"/>
  <c r="AE45" i="37"/>
  <c r="AE46" i="37"/>
  <c r="AE47" i="37"/>
  <c r="AE48" i="37"/>
  <c r="AE49" i="37"/>
  <c r="AE50" i="37"/>
  <c r="AE51" i="37"/>
  <c r="AA6" i="37"/>
  <c r="AA7" i="37"/>
  <c r="AA8" i="37"/>
  <c r="AA9" i="37"/>
  <c r="AA10" i="37"/>
  <c r="AA11" i="37"/>
  <c r="AA12" i="37"/>
  <c r="AA13" i="37"/>
  <c r="AA14" i="37"/>
  <c r="AA15" i="37"/>
  <c r="AA16" i="37"/>
  <c r="AA17" i="37"/>
  <c r="AA18" i="37"/>
  <c r="AA19" i="37"/>
  <c r="AA20" i="37"/>
  <c r="AA21" i="37"/>
  <c r="AA22" i="37"/>
  <c r="AA23" i="37"/>
  <c r="AA24" i="37"/>
  <c r="AA25" i="37"/>
  <c r="AA26" i="37"/>
  <c r="AA27" i="37"/>
  <c r="AA28" i="37"/>
  <c r="AA29" i="37"/>
  <c r="AA30" i="37"/>
  <c r="AA31" i="37"/>
  <c r="AA32" i="37"/>
  <c r="AA33" i="37"/>
  <c r="AA34" i="37"/>
  <c r="AA35" i="37"/>
  <c r="AA36" i="37"/>
  <c r="AA37" i="37"/>
  <c r="AA38" i="37"/>
  <c r="AA39" i="37"/>
  <c r="AA40" i="37"/>
  <c r="AA41" i="37"/>
  <c r="AA42" i="37"/>
  <c r="AA44" i="37"/>
  <c r="AA45" i="37"/>
  <c r="AA46" i="37"/>
  <c r="AA47" i="37"/>
  <c r="AA48" i="37"/>
  <c r="AA49" i="37"/>
  <c r="AA50" i="37"/>
  <c r="AA51" i="37"/>
  <c r="W6" i="37"/>
  <c r="W7" i="37"/>
  <c r="W8" i="37"/>
  <c r="W9" i="37"/>
  <c r="W10" i="37"/>
  <c r="W11" i="37"/>
  <c r="W12" i="37"/>
  <c r="W13" i="37"/>
  <c r="W14" i="37"/>
  <c r="W15" i="37"/>
  <c r="W16" i="37"/>
  <c r="W17" i="37"/>
  <c r="W18" i="37"/>
  <c r="W19" i="37"/>
  <c r="W20" i="37"/>
  <c r="W21" i="37"/>
  <c r="W22" i="37"/>
  <c r="W23" i="37"/>
  <c r="W24" i="37"/>
  <c r="W25" i="37"/>
  <c r="W26" i="37"/>
  <c r="W27" i="37"/>
  <c r="W28" i="37"/>
  <c r="W29" i="37"/>
  <c r="W30" i="37"/>
  <c r="W31" i="37"/>
  <c r="W32" i="37"/>
  <c r="W33" i="37"/>
  <c r="W34" i="37"/>
  <c r="W35" i="37"/>
  <c r="W36" i="37"/>
  <c r="W37" i="37"/>
  <c r="W38" i="37"/>
  <c r="W39" i="37"/>
  <c r="W40" i="37"/>
  <c r="W41" i="37"/>
  <c r="W42" i="37"/>
  <c r="W44" i="37"/>
  <c r="W45" i="37"/>
  <c r="W46" i="37"/>
  <c r="W47" i="37"/>
  <c r="W48" i="37"/>
  <c r="W49" i="37"/>
  <c r="W50" i="37"/>
  <c r="W51" i="37"/>
  <c r="AX6" i="37"/>
  <c r="AX8" i="37"/>
  <c r="AX10" i="37"/>
  <c r="AX12" i="37"/>
  <c r="AX14" i="37"/>
  <c r="AX15" i="37"/>
  <c r="AX16" i="37"/>
  <c r="AX17" i="37"/>
  <c r="AX18" i="37"/>
  <c r="AX19" i="37"/>
  <c r="AX20" i="37"/>
  <c r="AX21" i="37"/>
  <c r="AX22" i="37"/>
  <c r="AX23" i="37"/>
  <c r="AX24" i="37"/>
  <c r="AX25" i="37"/>
  <c r="AX26" i="37"/>
  <c r="AX27" i="37"/>
  <c r="AX28" i="37"/>
  <c r="AX9" i="37"/>
  <c r="AX13" i="37"/>
  <c r="AX7" i="37"/>
  <c r="AX11" i="37"/>
  <c r="AX29" i="37"/>
  <c r="AX30" i="37"/>
  <c r="AX31" i="37"/>
  <c r="AX32" i="37"/>
  <c r="AX33" i="37"/>
  <c r="AX34" i="37"/>
  <c r="AX35" i="37"/>
  <c r="AX36" i="37"/>
  <c r="AX37" i="37"/>
  <c r="AX38" i="37"/>
  <c r="AX39" i="37"/>
  <c r="AX40" i="37"/>
  <c r="AX41" i="37"/>
  <c r="AX42" i="37"/>
  <c r="AX44" i="37"/>
  <c r="AX45" i="37"/>
  <c r="AX46" i="37"/>
  <c r="AX47" i="37"/>
  <c r="AX48" i="37"/>
  <c r="AX49" i="37"/>
  <c r="AX50" i="37"/>
  <c r="AX51" i="37"/>
  <c r="BB6" i="37"/>
  <c r="BB8" i="37"/>
  <c r="BB10" i="37"/>
  <c r="BB12" i="37"/>
  <c r="BB14" i="37"/>
  <c r="BB15" i="37"/>
  <c r="BB16" i="37"/>
  <c r="BB17" i="37"/>
  <c r="BB18" i="37"/>
  <c r="BB19" i="37"/>
  <c r="BB20" i="37"/>
  <c r="BB21" i="37"/>
  <c r="BB22" i="37"/>
  <c r="BB23" i="37"/>
  <c r="BB24" i="37"/>
  <c r="BB25" i="37"/>
  <c r="BB26" i="37"/>
  <c r="BB27" i="37"/>
  <c r="BB28" i="37"/>
  <c r="BB7" i="37"/>
  <c r="BB11" i="37"/>
  <c r="BB9" i="37"/>
  <c r="BB13" i="37"/>
  <c r="BB29" i="37"/>
  <c r="BB30" i="37"/>
  <c r="BB31" i="37"/>
  <c r="BB32" i="37"/>
  <c r="BB33" i="37"/>
  <c r="BB34" i="37"/>
  <c r="BB35" i="37"/>
  <c r="BB36" i="37"/>
  <c r="BB37" i="37"/>
  <c r="BB38" i="37"/>
  <c r="BB39" i="37"/>
  <c r="BB40" i="37"/>
  <c r="BB41" i="37"/>
  <c r="BB42" i="37"/>
  <c r="BB44" i="37"/>
  <c r="BB45" i="37"/>
  <c r="BB46" i="37"/>
  <c r="BB47" i="37"/>
  <c r="BB48" i="37"/>
  <c r="BB49" i="37"/>
  <c r="BB50" i="37"/>
  <c r="BB51" i="37"/>
  <c r="AR7" i="37"/>
  <c r="AR9" i="37"/>
  <c r="AR11" i="37"/>
  <c r="AR13" i="37"/>
  <c r="AR15" i="37"/>
  <c r="AR16" i="37"/>
  <c r="AR17" i="37"/>
  <c r="AR18" i="37"/>
  <c r="AR19" i="37"/>
  <c r="AR20" i="37"/>
  <c r="AR21" i="37"/>
  <c r="AR22" i="37"/>
  <c r="AR23" i="37"/>
  <c r="AR24" i="37"/>
  <c r="AR25" i="37"/>
  <c r="AR26" i="37"/>
  <c r="AR27" i="37"/>
  <c r="AR28" i="37"/>
  <c r="AR8" i="37"/>
  <c r="AR12" i="37"/>
  <c r="AR6" i="37"/>
  <c r="AR10" i="37"/>
  <c r="AR14" i="37"/>
  <c r="AR29" i="37"/>
  <c r="AR30" i="37"/>
  <c r="AR31" i="37"/>
  <c r="AR32" i="37"/>
  <c r="AR33" i="37"/>
  <c r="AR34" i="37"/>
  <c r="AR35" i="37"/>
  <c r="AR36" i="37"/>
  <c r="AR37" i="37"/>
  <c r="AR38" i="37"/>
  <c r="AR39" i="37"/>
  <c r="AR40" i="37"/>
  <c r="AR41" i="37"/>
  <c r="AR42" i="37"/>
  <c r="AR44" i="37"/>
  <c r="AR45" i="37"/>
  <c r="AR46" i="37"/>
  <c r="AR47" i="37"/>
  <c r="AR48" i="37"/>
  <c r="AR49" i="37"/>
  <c r="AR50" i="37"/>
  <c r="AR51" i="37"/>
  <c r="AZ7" i="37"/>
  <c r="AZ9" i="37"/>
  <c r="AZ11" i="37"/>
  <c r="AZ13" i="37"/>
  <c r="AZ15" i="37"/>
  <c r="AZ16" i="37"/>
  <c r="AZ17" i="37"/>
  <c r="AZ18" i="37"/>
  <c r="AZ19" i="37"/>
  <c r="AZ20" i="37"/>
  <c r="AZ21" i="37"/>
  <c r="AZ22" i="37"/>
  <c r="AZ23" i="37"/>
  <c r="AZ24" i="37"/>
  <c r="AZ25" i="37"/>
  <c r="AZ26" i="37"/>
  <c r="AZ27" i="37"/>
  <c r="AZ28" i="37"/>
  <c r="AZ8" i="37"/>
  <c r="AZ12" i="37"/>
  <c r="AZ6" i="37"/>
  <c r="AZ10" i="37"/>
  <c r="AZ14" i="37"/>
  <c r="AZ29" i="37"/>
  <c r="AZ30" i="37"/>
  <c r="AZ31" i="37"/>
  <c r="AZ32" i="37"/>
  <c r="AZ33" i="37"/>
  <c r="AZ34" i="37"/>
  <c r="AZ35" i="37"/>
  <c r="AZ36" i="37"/>
  <c r="AZ37" i="37"/>
  <c r="AZ38" i="37"/>
  <c r="AZ39" i="37"/>
  <c r="AZ40" i="37"/>
  <c r="AZ41" i="37"/>
  <c r="AZ42" i="37"/>
  <c r="AZ44" i="37"/>
  <c r="AZ45" i="37"/>
  <c r="AZ46" i="37"/>
  <c r="AZ47" i="37"/>
  <c r="AZ48" i="37"/>
  <c r="AZ49" i="37"/>
  <c r="AZ50" i="37"/>
  <c r="AZ51" i="37"/>
  <c r="AO6" i="37"/>
  <c r="AO7" i="37"/>
  <c r="AO8" i="37"/>
  <c r="AO9" i="37"/>
  <c r="AO10" i="37"/>
  <c r="AO11" i="37"/>
  <c r="AO12" i="37"/>
  <c r="AO13" i="37"/>
  <c r="AO14" i="37"/>
  <c r="AO15" i="37"/>
  <c r="AO16" i="37"/>
  <c r="AO18" i="37"/>
  <c r="AO20" i="37"/>
  <c r="AO22" i="37"/>
  <c r="AO24" i="37"/>
  <c r="AO26" i="37"/>
  <c r="AO28" i="37"/>
  <c r="AO17" i="37"/>
  <c r="AO19" i="37"/>
  <c r="AO21" i="37"/>
  <c r="AO23" i="37"/>
  <c r="AO25" i="37"/>
  <c r="AO27" i="37"/>
  <c r="AO29" i="37"/>
  <c r="AO31" i="37"/>
  <c r="AO33" i="37"/>
  <c r="AO35" i="37"/>
  <c r="AO37" i="37"/>
  <c r="AO39" i="37"/>
  <c r="AO41" i="37"/>
  <c r="AO44" i="37"/>
  <c r="AO46" i="37"/>
  <c r="AO48" i="37"/>
  <c r="AO30" i="37"/>
  <c r="AO32" i="37"/>
  <c r="AO34" i="37"/>
  <c r="AO36" i="37"/>
  <c r="AO38" i="37"/>
  <c r="AO40" i="37"/>
  <c r="AO42" i="37"/>
  <c r="AO45" i="37"/>
  <c r="AO47" i="37"/>
  <c r="AO49" i="37"/>
  <c r="AO50" i="37"/>
  <c r="AO51" i="37"/>
  <c r="AS6" i="37"/>
  <c r="AS7" i="37"/>
  <c r="AS8" i="37"/>
  <c r="AS9" i="37"/>
  <c r="AS10" i="37"/>
  <c r="AS11" i="37"/>
  <c r="AS12" i="37"/>
  <c r="AS13" i="37"/>
  <c r="AS14" i="37"/>
  <c r="AS15" i="37"/>
  <c r="AS16" i="37"/>
  <c r="AS18" i="37"/>
  <c r="AS20" i="37"/>
  <c r="AS22" i="37"/>
  <c r="AS24" i="37"/>
  <c r="AS26" i="37"/>
  <c r="AS28" i="37"/>
  <c r="AS17" i="37"/>
  <c r="AS19" i="37"/>
  <c r="AS21" i="37"/>
  <c r="AS23" i="37"/>
  <c r="AS25" i="37"/>
  <c r="AS27" i="37"/>
  <c r="AS29" i="37"/>
  <c r="AS31" i="37"/>
  <c r="AS33" i="37"/>
  <c r="AS35" i="37"/>
  <c r="AS37" i="37"/>
  <c r="AS39" i="37"/>
  <c r="AS41" i="37"/>
  <c r="AS44" i="37"/>
  <c r="AS46" i="37"/>
  <c r="AS30" i="37"/>
  <c r="AS32" i="37"/>
  <c r="AS34" i="37"/>
  <c r="AS36" i="37"/>
  <c r="AS38" i="37"/>
  <c r="AS40" i="37"/>
  <c r="AS42" i="37"/>
  <c r="AS45" i="37"/>
  <c r="AS47" i="37"/>
  <c r="AS48" i="37"/>
  <c r="AS49" i="37"/>
  <c r="AS50" i="37"/>
  <c r="AS51" i="37"/>
  <c r="AW6" i="37"/>
  <c r="AW7" i="37"/>
  <c r="AW8" i="37"/>
  <c r="AW9" i="37"/>
  <c r="AW10" i="37"/>
  <c r="AW11" i="37"/>
  <c r="AW12" i="37"/>
  <c r="AW13" i="37"/>
  <c r="AW14" i="37"/>
  <c r="AW16" i="37"/>
  <c r="AW18" i="37"/>
  <c r="AW20" i="37"/>
  <c r="AW22" i="37"/>
  <c r="AW24" i="37"/>
  <c r="AW26" i="37"/>
  <c r="AW28" i="37"/>
  <c r="AW15" i="37"/>
  <c r="AW17" i="37"/>
  <c r="AW19" i="37"/>
  <c r="AW21" i="37"/>
  <c r="AW23" i="37"/>
  <c r="AW25" i="37"/>
  <c r="AW27" i="37"/>
  <c r="AW29" i="37"/>
  <c r="AW31" i="37"/>
  <c r="AW33" i="37"/>
  <c r="AW35" i="37"/>
  <c r="AW37" i="37"/>
  <c r="AW39" i="37"/>
  <c r="AW41" i="37"/>
  <c r="AW44" i="37"/>
  <c r="AW46" i="37"/>
  <c r="AW30" i="37"/>
  <c r="AW32" i="37"/>
  <c r="AW34" i="37"/>
  <c r="AW36" i="37"/>
  <c r="AW38" i="37"/>
  <c r="AW40" i="37"/>
  <c r="AW42" i="37"/>
  <c r="AW45" i="37"/>
  <c r="AW47" i="37"/>
  <c r="AW48" i="37"/>
  <c r="AW49" i="37"/>
  <c r="AW50" i="37"/>
  <c r="AW51" i="37"/>
  <c r="BA6" i="37"/>
  <c r="BA7" i="37"/>
  <c r="BA8" i="37"/>
  <c r="BA9" i="37"/>
  <c r="BA10" i="37"/>
  <c r="BA11" i="37"/>
  <c r="BA12" i="37"/>
  <c r="BA13" i="37"/>
  <c r="BA14" i="37"/>
  <c r="BA16" i="37"/>
  <c r="BA18" i="37"/>
  <c r="BA20" i="37"/>
  <c r="BA22" i="37"/>
  <c r="BA24" i="37"/>
  <c r="BA26" i="37"/>
  <c r="BA28" i="37"/>
  <c r="BA15" i="37"/>
  <c r="BA17" i="37"/>
  <c r="BA19" i="37"/>
  <c r="BA21" i="37"/>
  <c r="BA23" i="37"/>
  <c r="BA25" i="37"/>
  <c r="BA27" i="37"/>
  <c r="BA29" i="37"/>
  <c r="BA31" i="37"/>
  <c r="BA33" i="37"/>
  <c r="BA35" i="37"/>
  <c r="BA37" i="37"/>
  <c r="BA39" i="37"/>
  <c r="BA41" i="37"/>
  <c r="BA44" i="37"/>
  <c r="BA46" i="37"/>
  <c r="BA30" i="37"/>
  <c r="BA32" i="37"/>
  <c r="BA34" i="37"/>
  <c r="BA36" i="37"/>
  <c r="BA38" i="37"/>
  <c r="BA40" i="37"/>
  <c r="BA42" i="37"/>
  <c r="BA45" i="37"/>
  <c r="BA47" i="37"/>
  <c r="BA48" i="37"/>
  <c r="BA49" i="37"/>
  <c r="BA50" i="37"/>
  <c r="BA51" i="37"/>
  <c r="BE6" i="37"/>
  <c r="BE7" i="37"/>
  <c r="BE8" i="37"/>
  <c r="BE9" i="37"/>
  <c r="BE10" i="37"/>
  <c r="BE11" i="37"/>
  <c r="BE12" i="37"/>
  <c r="BE13" i="37"/>
  <c r="BE14" i="37"/>
  <c r="BE16" i="37"/>
  <c r="BE18" i="37"/>
  <c r="BE20" i="37"/>
  <c r="BE22" i="37"/>
  <c r="BE24" i="37"/>
  <c r="BE26" i="37"/>
  <c r="BE28" i="37"/>
  <c r="BE15" i="37"/>
  <c r="BE17" i="37"/>
  <c r="BE19" i="37"/>
  <c r="BE21" i="37"/>
  <c r="BE23" i="37"/>
  <c r="BE25" i="37"/>
  <c r="BE27" i="37"/>
  <c r="BE29" i="37"/>
  <c r="BE31" i="37"/>
  <c r="BE33" i="37"/>
  <c r="BE35" i="37"/>
  <c r="BE37" i="37"/>
  <c r="BE39" i="37"/>
  <c r="BE41" i="37"/>
  <c r="BE44" i="37"/>
  <c r="BE46" i="37"/>
  <c r="BE30" i="37"/>
  <c r="BE32" i="37"/>
  <c r="BE34" i="37"/>
  <c r="BE36" i="37"/>
  <c r="BE38" i="37"/>
  <c r="BE40" i="37"/>
  <c r="BE42" i="37"/>
  <c r="BE45" i="37"/>
  <c r="BE47" i="37"/>
  <c r="BE48" i="37"/>
  <c r="BE49" i="37"/>
  <c r="BE50" i="37"/>
  <c r="BE51" i="37"/>
  <c r="AP7" i="36"/>
  <c r="AP9" i="36"/>
  <c r="AP11" i="36"/>
  <c r="AP13" i="36"/>
  <c r="AP15" i="36"/>
  <c r="AP17" i="36"/>
  <c r="AP18" i="36"/>
  <c r="AP19" i="36"/>
  <c r="AP20" i="36"/>
  <c r="AP21" i="36"/>
  <c r="AP22" i="36"/>
  <c r="AP23" i="36"/>
  <c r="AP24" i="36"/>
  <c r="AP25" i="36"/>
  <c r="AP26" i="36"/>
  <c r="AP27" i="36"/>
  <c r="AP28" i="36"/>
  <c r="AP29" i="36"/>
  <c r="AP30" i="36"/>
  <c r="AP31" i="36"/>
  <c r="AP32" i="36"/>
  <c r="AP33" i="36"/>
  <c r="AP34" i="36"/>
  <c r="AP35" i="36"/>
  <c r="AP36" i="36"/>
  <c r="AP37" i="36"/>
  <c r="AP38" i="36"/>
  <c r="AP39" i="36"/>
  <c r="AP40" i="36"/>
  <c r="AP42" i="36"/>
  <c r="AP43" i="36"/>
  <c r="AP44" i="36"/>
  <c r="AP45" i="36"/>
  <c r="AP46" i="36"/>
  <c r="AP47" i="36"/>
  <c r="AP8" i="36"/>
  <c r="AP12" i="36"/>
  <c r="AP16" i="36"/>
  <c r="AP6" i="36"/>
  <c r="AP10" i="36"/>
  <c r="AP14" i="36"/>
  <c r="AX7" i="36"/>
  <c r="AX9" i="36"/>
  <c r="AX11" i="36"/>
  <c r="AX13" i="36"/>
  <c r="AX15" i="36"/>
  <c r="AX17" i="36"/>
  <c r="AX18" i="36"/>
  <c r="AX19" i="36"/>
  <c r="AX20" i="36"/>
  <c r="AX21" i="36"/>
  <c r="AX22" i="36"/>
  <c r="AX23" i="36"/>
  <c r="AX24" i="36"/>
  <c r="AX25" i="36"/>
  <c r="AX26" i="36"/>
  <c r="AX27" i="36"/>
  <c r="AX28" i="36"/>
  <c r="AX29" i="36"/>
  <c r="AX30" i="36"/>
  <c r="AX31" i="36"/>
  <c r="AX32" i="36"/>
  <c r="AX33" i="36"/>
  <c r="AX34" i="36"/>
  <c r="AX35" i="36"/>
  <c r="AX36" i="36"/>
  <c r="AX37" i="36"/>
  <c r="AX38" i="36"/>
  <c r="AX39" i="36"/>
  <c r="AX40" i="36"/>
  <c r="AX42" i="36"/>
  <c r="AX43" i="36"/>
  <c r="AX44" i="36"/>
  <c r="AX45" i="36"/>
  <c r="AX46" i="36"/>
  <c r="AX47" i="36"/>
  <c r="AX8" i="36"/>
  <c r="AX12" i="36"/>
  <c r="AX16" i="36"/>
  <c r="AX6" i="36"/>
  <c r="AX10" i="36"/>
  <c r="AX14" i="36"/>
  <c r="AN6" i="36"/>
  <c r="AN8" i="36"/>
  <c r="AN10" i="36"/>
  <c r="AN12" i="36"/>
  <c r="AN14" i="36"/>
  <c r="AN16" i="36"/>
  <c r="AN17" i="36"/>
  <c r="AN18" i="36"/>
  <c r="AN19" i="36"/>
  <c r="AN20" i="36"/>
  <c r="AN21" i="36"/>
  <c r="AN22" i="36"/>
  <c r="AN23" i="36"/>
  <c r="AN24" i="36"/>
  <c r="AN25" i="36"/>
  <c r="AN26" i="36"/>
  <c r="AN27" i="36"/>
  <c r="AN28" i="36"/>
  <c r="AN29" i="36"/>
  <c r="AN30" i="36"/>
  <c r="AN31" i="36"/>
  <c r="AN32" i="36"/>
  <c r="AN33" i="36"/>
  <c r="AN34" i="36"/>
  <c r="AN35" i="36"/>
  <c r="AN36" i="36"/>
  <c r="AN37" i="36"/>
  <c r="AN38" i="36"/>
  <c r="AN39" i="36"/>
  <c r="AN40" i="36"/>
  <c r="AN42" i="36"/>
  <c r="AN43" i="36"/>
  <c r="AN44" i="36"/>
  <c r="AN45" i="36"/>
  <c r="AN46" i="36"/>
  <c r="AN47" i="36"/>
  <c r="AM4" i="36"/>
  <c r="AN9" i="36"/>
  <c r="AN13" i="36"/>
  <c r="AN7" i="36"/>
  <c r="AN11" i="36"/>
  <c r="AN15" i="36"/>
  <c r="AV6" i="36"/>
  <c r="AV8" i="36"/>
  <c r="AV10" i="36"/>
  <c r="AV12" i="36"/>
  <c r="AV14" i="36"/>
  <c r="AV16" i="36"/>
  <c r="AV17" i="36"/>
  <c r="AV18" i="36"/>
  <c r="AV19" i="36"/>
  <c r="AV20" i="36"/>
  <c r="AV21" i="36"/>
  <c r="AV22" i="36"/>
  <c r="AV23" i="36"/>
  <c r="AV24" i="36"/>
  <c r="AV25" i="36"/>
  <c r="AV26" i="36"/>
  <c r="AV27" i="36"/>
  <c r="AV28" i="36"/>
  <c r="AV29" i="36"/>
  <c r="AV30" i="36"/>
  <c r="AV31" i="36"/>
  <c r="AV32" i="36"/>
  <c r="AV33" i="36"/>
  <c r="AV34" i="36"/>
  <c r="AV35" i="36"/>
  <c r="AV36" i="36"/>
  <c r="AV37" i="36"/>
  <c r="AV38" i="36"/>
  <c r="AV39" i="36"/>
  <c r="AV40" i="36"/>
  <c r="AV42" i="36"/>
  <c r="AV43" i="36"/>
  <c r="AV44" i="36"/>
  <c r="AV45" i="36"/>
  <c r="AV46" i="36"/>
  <c r="AV47" i="36"/>
  <c r="AV9" i="36"/>
  <c r="AV13" i="36"/>
  <c r="AV7" i="36"/>
  <c r="AV11" i="36"/>
  <c r="AV15" i="36"/>
  <c r="BD6" i="36"/>
  <c r="BD8" i="36"/>
  <c r="BD10" i="36"/>
  <c r="BD12" i="36"/>
  <c r="BD14" i="36"/>
  <c r="BD16" i="36"/>
  <c r="BD17" i="36"/>
  <c r="BD18" i="36"/>
  <c r="BD19" i="36"/>
  <c r="BD20" i="36"/>
  <c r="BD21" i="36"/>
  <c r="BD22" i="36"/>
  <c r="BD23" i="36"/>
  <c r="BD24" i="36"/>
  <c r="BD25" i="36"/>
  <c r="BD26" i="36"/>
  <c r="BD27" i="36"/>
  <c r="BD28" i="36"/>
  <c r="BD29" i="36"/>
  <c r="BD30" i="36"/>
  <c r="BD31" i="36"/>
  <c r="BD32" i="36"/>
  <c r="BD33" i="36"/>
  <c r="BD34" i="36"/>
  <c r="BD35" i="36"/>
  <c r="BD36" i="36"/>
  <c r="BD37" i="36"/>
  <c r="BD38" i="36"/>
  <c r="BD39" i="36"/>
  <c r="BD40" i="36"/>
  <c r="BD42" i="36"/>
  <c r="BD43" i="36"/>
  <c r="BD44" i="36"/>
  <c r="BD45" i="36"/>
  <c r="BD46" i="36"/>
  <c r="BD47" i="36"/>
  <c r="BD9" i="36"/>
  <c r="BD13" i="36"/>
  <c r="BD7" i="36"/>
  <c r="BD11" i="36"/>
  <c r="BD15" i="36"/>
  <c r="AQ6" i="36"/>
  <c r="AQ7" i="36"/>
  <c r="AQ8" i="36"/>
  <c r="AQ9" i="36"/>
  <c r="AQ10" i="36"/>
  <c r="AQ11" i="36"/>
  <c r="AQ12" i="36"/>
  <c r="AQ13" i="36"/>
  <c r="AQ14" i="36"/>
  <c r="AQ15" i="36"/>
  <c r="AQ16" i="36"/>
  <c r="AQ17" i="36"/>
  <c r="AQ19" i="36"/>
  <c r="AQ21" i="36"/>
  <c r="AQ23" i="36"/>
  <c r="AQ25" i="36"/>
  <c r="AQ27" i="36"/>
  <c r="AQ29" i="36"/>
  <c r="AQ31" i="36"/>
  <c r="AQ33" i="36"/>
  <c r="AQ35" i="36"/>
  <c r="AQ37" i="36"/>
  <c r="AQ39" i="36"/>
  <c r="AQ42" i="36"/>
  <c r="AQ45" i="36"/>
  <c r="AQ46" i="36"/>
  <c r="AQ18" i="36"/>
  <c r="AQ20" i="36"/>
  <c r="AQ22" i="36"/>
  <c r="AQ24" i="36"/>
  <c r="AQ26" i="36"/>
  <c r="AQ28" i="36"/>
  <c r="AQ30" i="36"/>
  <c r="AQ32" i="36"/>
  <c r="AQ34" i="36"/>
  <c r="AQ36" i="36"/>
  <c r="AQ38" i="36"/>
  <c r="AQ40" i="36"/>
  <c r="AQ43" i="36"/>
  <c r="AQ44" i="36"/>
  <c r="AQ47" i="36"/>
  <c r="AU6" i="36"/>
  <c r="AU7" i="36"/>
  <c r="AU8" i="36"/>
  <c r="AU9" i="36"/>
  <c r="AU10" i="36"/>
  <c r="AU11" i="36"/>
  <c r="AU12" i="36"/>
  <c r="AU13" i="36"/>
  <c r="AU14" i="36"/>
  <c r="AU15" i="36"/>
  <c r="AU16" i="36"/>
  <c r="AU17" i="36"/>
  <c r="AU19" i="36"/>
  <c r="AU21" i="36"/>
  <c r="AU23" i="36"/>
  <c r="AU25" i="36"/>
  <c r="AU27" i="36"/>
  <c r="AU29" i="36"/>
  <c r="AU31" i="36"/>
  <c r="AU33" i="36"/>
  <c r="AU35" i="36"/>
  <c r="AU37" i="36"/>
  <c r="AU39" i="36"/>
  <c r="AU42" i="36"/>
  <c r="AU45" i="36"/>
  <c r="AU46" i="36"/>
  <c r="AU18" i="36"/>
  <c r="AU20" i="36"/>
  <c r="AU22" i="36"/>
  <c r="AU24" i="36"/>
  <c r="AU26" i="36"/>
  <c r="AU28" i="36"/>
  <c r="AU30" i="36"/>
  <c r="AU32" i="36"/>
  <c r="AU34" i="36"/>
  <c r="AU36" i="36"/>
  <c r="AU38" i="36"/>
  <c r="AU40" i="36"/>
  <c r="AU43" i="36"/>
  <c r="AU44" i="36"/>
  <c r="AU47" i="36"/>
  <c r="AY6" i="36"/>
  <c r="AY7" i="36"/>
  <c r="AY8" i="36"/>
  <c r="AY9" i="36"/>
  <c r="AY10" i="36"/>
  <c r="AY11" i="36"/>
  <c r="AY12" i="36"/>
  <c r="AY13" i="36"/>
  <c r="AY14" i="36"/>
  <c r="AY15" i="36"/>
  <c r="AY16" i="36"/>
  <c r="AY17" i="36"/>
  <c r="AY19" i="36"/>
  <c r="AY21" i="36"/>
  <c r="AY23" i="36"/>
  <c r="AY25" i="36"/>
  <c r="AY27" i="36"/>
  <c r="AY29" i="36"/>
  <c r="AY31" i="36"/>
  <c r="AY33" i="36"/>
  <c r="AY35" i="36"/>
  <c r="AY37" i="36"/>
  <c r="AY39" i="36"/>
  <c r="AY42" i="36"/>
  <c r="AY45" i="36"/>
  <c r="AY46" i="36"/>
  <c r="AY18" i="36"/>
  <c r="AY20" i="36"/>
  <c r="AY22" i="36"/>
  <c r="AY24" i="36"/>
  <c r="AY26" i="36"/>
  <c r="AY28" i="36"/>
  <c r="AY30" i="36"/>
  <c r="AY32" i="36"/>
  <c r="AY34" i="36"/>
  <c r="AY36" i="36"/>
  <c r="AY38" i="36"/>
  <c r="AY40" i="36"/>
  <c r="AY43" i="36"/>
  <c r="AY44" i="36"/>
  <c r="AY47" i="36"/>
  <c r="BC6" i="36"/>
  <c r="BC7" i="36"/>
  <c r="BC8" i="36"/>
  <c r="BC9" i="36"/>
  <c r="BC10" i="36"/>
  <c r="BC11" i="36"/>
  <c r="BC12" i="36"/>
  <c r="BC13" i="36"/>
  <c r="BC14" i="36"/>
  <c r="BC15" i="36"/>
  <c r="BC16" i="36"/>
  <c r="BC17" i="36"/>
  <c r="BC19" i="36"/>
  <c r="BC21" i="36"/>
  <c r="BC23" i="36"/>
  <c r="BC25" i="36"/>
  <c r="BC27" i="36"/>
  <c r="BC29" i="36"/>
  <c r="BC31" i="36"/>
  <c r="BC33" i="36"/>
  <c r="BC35" i="36"/>
  <c r="BC37" i="36"/>
  <c r="BC39" i="36"/>
  <c r="BC42" i="36"/>
  <c r="BC45" i="36"/>
  <c r="BC46" i="36"/>
  <c r="BC18" i="36"/>
  <c r="BC20" i="36"/>
  <c r="BC22" i="36"/>
  <c r="BC24" i="36"/>
  <c r="BC26" i="36"/>
  <c r="BC28" i="36"/>
  <c r="BC30" i="36"/>
  <c r="BC32" i="36"/>
  <c r="BC34" i="36"/>
  <c r="BC36" i="36"/>
  <c r="BC38" i="36"/>
  <c r="BC40" i="36"/>
  <c r="BC43" i="36"/>
  <c r="BC44" i="36"/>
  <c r="BC47" i="36"/>
  <c r="U6" i="36"/>
  <c r="U7" i="36"/>
  <c r="U8" i="36"/>
  <c r="U9" i="36"/>
  <c r="U10" i="36"/>
  <c r="U11" i="36"/>
  <c r="U12" i="36"/>
  <c r="U13" i="36"/>
  <c r="U14" i="36"/>
  <c r="U15" i="36"/>
  <c r="U16" i="36"/>
  <c r="U17" i="36"/>
  <c r="U18" i="36"/>
  <c r="U19" i="36"/>
  <c r="U20" i="36"/>
  <c r="U21" i="36"/>
  <c r="U22" i="36"/>
  <c r="U23" i="36"/>
  <c r="U24" i="36"/>
  <c r="U25" i="36"/>
  <c r="U26" i="36"/>
  <c r="U27" i="36"/>
  <c r="U28" i="36"/>
  <c r="U29" i="36"/>
  <c r="U30" i="36"/>
  <c r="U31" i="36"/>
  <c r="U32" i="36"/>
  <c r="U33" i="36"/>
  <c r="U34" i="36"/>
  <c r="U35" i="36"/>
  <c r="U36" i="36"/>
  <c r="U37" i="36"/>
  <c r="U38" i="36"/>
  <c r="U39" i="36"/>
  <c r="U40" i="36"/>
  <c r="U42" i="36"/>
  <c r="U43" i="36"/>
  <c r="U44" i="36"/>
  <c r="U45" i="36"/>
  <c r="U46" i="36"/>
  <c r="U47" i="36"/>
  <c r="Y6" i="36"/>
  <c r="Y7" i="36"/>
  <c r="Y8" i="36"/>
  <c r="Y9" i="36"/>
  <c r="Y10" i="36"/>
  <c r="Y11" i="36"/>
  <c r="Y12" i="36"/>
  <c r="Y13" i="36"/>
  <c r="Y14" i="36"/>
  <c r="Y15" i="36"/>
  <c r="Y16" i="36"/>
  <c r="Y17" i="36"/>
  <c r="Y18" i="36"/>
  <c r="Y19" i="36"/>
  <c r="Y20" i="36"/>
  <c r="Y21" i="36"/>
  <c r="Y22" i="36"/>
  <c r="Y23" i="36"/>
  <c r="Y24" i="36"/>
  <c r="Y25" i="36"/>
  <c r="Y26" i="36"/>
  <c r="Y27" i="36"/>
  <c r="Y28" i="36"/>
  <c r="Y29" i="36"/>
  <c r="Y30" i="36"/>
  <c r="Y31" i="36"/>
  <c r="Y32" i="36"/>
  <c r="Y33" i="36"/>
  <c r="Y34" i="36"/>
  <c r="Y35" i="36"/>
  <c r="Y36" i="36"/>
  <c r="Y37" i="36"/>
  <c r="Y38" i="36"/>
  <c r="Y39" i="36"/>
  <c r="Y40" i="36"/>
  <c r="Y42" i="36"/>
  <c r="Y43" i="36"/>
  <c r="Y44" i="36"/>
  <c r="Y45" i="36"/>
  <c r="Y46" i="36"/>
  <c r="Y47" i="36"/>
  <c r="AC6" i="36"/>
  <c r="AC7" i="36"/>
  <c r="AC8" i="36"/>
  <c r="AC9" i="36"/>
  <c r="AC10" i="36"/>
  <c r="AC11" i="36"/>
  <c r="AC12" i="36"/>
  <c r="AC13" i="36"/>
  <c r="AC14" i="36"/>
  <c r="AC15" i="36"/>
  <c r="AC16" i="36"/>
  <c r="AC17" i="36"/>
  <c r="AC18" i="36"/>
  <c r="AC19" i="36"/>
  <c r="AC20" i="36"/>
  <c r="AC21" i="36"/>
  <c r="AC22" i="36"/>
  <c r="AC23" i="36"/>
  <c r="AC24" i="36"/>
  <c r="AC25" i="36"/>
  <c r="AC26" i="36"/>
  <c r="AC27" i="36"/>
  <c r="AC28" i="36"/>
  <c r="AC29" i="36"/>
  <c r="AC30" i="36"/>
  <c r="AC31" i="36"/>
  <c r="AC32" i="36"/>
  <c r="AC33" i="36"/>
  <c r="AC34" i="36"/>
  <c r="AC35" i="36"/>
  <c r="AC36" i="36"/>
  <c r="AC37" i="36"/>
  <c r="AC38" i="36"/>
  <c r="AC39" i="36"/>
  <c r="AC40" i="36"/>
  <c r="AC42" i="36"/>
  <c r="AC43" i="36"/>
  <c r="AC44" i="36"/>
  <c r="AC45" i="36"/>
  <c r="AC46" i="36"/>
  <c r="AC47" i="36"/>
  <c r="AG6" i="36"/>
  <c r="AG7" i="36"/>
  <c r="AG8" i="36"/>
  <c r="AG9" i="36"/>
  <c r="AG10" i="36"/>
  <c r="AG11" i="36"/>
  <c r="AG12" i="36"/>
  <c r="AG13" i="36"/>
  <c r="AG14" i="36"/>
  <c r="AG15" i="36"/>
  <c r="AG16" i="36"/>
  <c r="AG17" i="36"/>
  <c r="AG18" i="36"/>
  <c r="AG19" i="36"/>
  <c r="AG20" i="36"/>
  <c r="AG21" i="36"/>
  <c r="AG22" i="36"/>
  <c r="AG23" i="36"/>
  <c r="AG24" i="36"/>
  <c r="AG25" i="36"/>
  <c r="AG26" i="36"/>
  <c r="AG27" i="36"/>
  <c r="AG28" i="36"/>
  <c r="AG29" i="36"/>
  <c r="AG30" i="36"/>
  <c r="AG31" i="36"/>
  <c r="AG32" i="36"/>
  <c r="AG33" i="36"/>
  <c r="AG34" i="36"/>
  <c r="AG35" i="36"/>
  <c r="AG36" i="36"/>
  <c r="AG37" i="36"/>
  <c r="AG38" i="36"/>
  <c r="AG39" i="36"/>
  <c r="AG40" i="36"/>
  <c r="AG42" i="36"/>
  <c r="AG43" i="36"/>
  <c r="AG44" i="36"/>
  <c r="AG45" i="36"/>
  <c r="AG46" i="36"/>
  <c r="AG47" i="36"/>
  <c r="AK6" i="36"/>
  <c r="AK7" i="36"/>
  <c r="AK8" i="36"/>
  <c r="AK9" i="36"/>
  <c r="AK10" i="36"/>
  <c r="AK11" i="36"/>
  <c r="AK12" i="36"/>
  <c r="AK13" i="36"/>
  <c r="AK14" i="36"/>
  <c r="AK15" i="36"/>
  <c r="AK16" i="36"/>
  <c r="AK17" i="36"/>
  <c r="AK18" i="36"/>
  <c r="AK19" i="36"/>
  <c r="AK20" i="36"/>
  <c r="AK21" i="36"/>
  <c r="AK22" i="36"/>
  <c r="AK23" i="36"/>
  <c r="AK24" i="36"/>
  <c r="AK25" i="36"/>
  <c r="AK26" i="36"/>
  <c r="AK27" i="36"/>
  <c r="AK28" i="36"/>
  <c r="AK29" i="36"/>
  <c r="AK30" i="36"/>
  <c r="AK31" i="36"/>
  <c r="AK32" i="36"/>
  <c r="AK33" i="36"/>
  <c r="AK34" i="36"/>
  <c r="AK35" i="36"/>
  <c r="AK36" i="36"/>
  <c r="AK37" i="36"/>
  <c r="AK38" i="36"/>
  <c r="AK39" i="36"/>
  <c r="AK40" i="36"/>
  <c r="AK42" i="36"/>
  <c r="AK43" i="36"/>
  <c r="AK44" i="36"/>
  <c r="AK45" i="36"/>
  <c r="AK46" i="36"/>
  <c r="AK47" i="36"/>
  <c r="V6" i="36"/>
  <c r="V8" i="36"/>
  <c r="V10" i="36"/>
  <c r="V12" i="36"/>
  <c r="V14" i="36"/>
  <c r="V16" i="36"/>
  <c r="V18" i="36"/>
  <c r="V20" i="36"/>
  <c r="V22" i="36"/>
  <c r="V24" i="36"/>
  <c r="V25" i="36"/>
  <c r="V26" i="36"/>
  <c r="V27" i="36"/>
  <c r="V28" i="36"/>
  <c r="V29" i="36"/>
  <c r="V30" i="36"/>
  <c r="V31" i="36"/>
  <c r="V32" i="36"/>
  <c r="V33" i="36"/>
  <c r="V34" i="36"/>
  <c r="V35" i="36"/>
  <c r="V36" i="36"/>
  <c r="V37" i="36"/>
  <c r="V38" i="36"/>
  <c r="V39" i="36"/>
  <c r="V40" i="36"/>
  <c r="V42" i="36"/>
  <c r="V43" i="36"/>
  <c r="V44" i="36"/>
  <c r="V45" i="36"/>
  <c r="V46" i="36"/>
  <c r="V47" i="36"/>
  <c r="V7" i="36"/>
  <c r="V9" i="36"/>
  <c r="V11" i="36"/>
  <c r="V13" i="36"/>
  <c r="V15" i="36"/>
  <c r="V17" i="36"/>
  <c r="V19" i="36"/>
  <c r="V21" i="36"/>
  <c r="V23" i="36"/>
  <c r="Z6" i="36"/>
  <c r="Z8" i="36"/>
  <c r="Z10" i="36"/>
  <c r="Z12" i="36"/>
  <c r="Z14" i="36"/>
  <c r="Z16" i="36"/>
  <c r="Z18" i="36"/>
  <c r="Z20" i="36"/>
  <c r="Z22" i="36"/>
  <c r="Z24" i="36"/>
  <c r="Z25" i="36"/>
  <c r="Z26" i="36"/>
  <c r="Z27" i="36"/>
  <c r="Z28" i="36"/>
  <c r="Z29" i="36"/>
  <c r="Z30" i="36"/>
  <c r="Z31" i="36"/>
  <c r="Z32" i="36"/>
  <c r="Z33" i="36"/>
  <c r="Z34" i="36"/>
  <c r="Z35" i="36"/>
  <c r="Z36" i="36"/>
  <c r="Z37" i="36"/>
  <c r="Z38" i="36"/>
  <c r="Z39" i="36"/>
  <c r="Z40" i="36"/>
  <c r="Z42" i="36"/>
  <c r="Z43" i="36"/>
  <c r="Z44" i="36"/>
  <c r="Z45" i="36"/>
  <c r="Z46" i="36"/>
  <c r="Z47" i="36"/>
  <c r="Z7" i="36"/>
  <c r="Z9" i="36"/>
  <c r="Z11" i="36"/>
  <c r="Z13" i="36"/>
  <c r="Z15" i="36"/>
  <c r="Z17" i="36"/>
  <c r="Z19" i="36"/>
  <c r="Z21" i="36"/>
  <c r="Z23" i="36"/>
  <c r="AD6" i="36"/>
  <c r="AD8" i="36"/>
  <c r="AD10" i="36"/>
  <c r="AD12" i="36"/>
  <c r="AD14" i="36"/>
  <c r="AD16" i="36"/>
  <c r="AD18" i="36"/>
  <c r="AD20" i="36"/>
  <c r="AD22" i="36"/>
  <c r="AD24" i="36"/>
  <c r="AD25" i="36"/>
  <c r="AD26" i="36"/>
  <c r="AD27" i="36"/>
  <c r="AD28" i="36"/>
  <c r="AD29" i="36"/>
  <c r="AD30" i="36"/>
  <c r="AD31" i="36"/>
  <c r="AD32" i="36"/>
  <c r="AD33" i="36"/>
  <c r="AD34" i="36"/>
  <c r="AD35" i="36"/>
  <c r="AD36" i="36"/>
  <c r="AD37" i="36"/>
  <c r="AD38" i="36"/>
  <c r="AD39" i="36"/>
  <c r="AD40" i="36"/>
  <c r="AD42" i="36"/>
  <c r="AD43" i="36"/>
  <c r="AD44" i="36"/>
  <c r="AD45" i="36"/>
  <c r="AD46" i="36"/>
  <c r="AD47" i="36"/>
  <c r="AD7" i="36"/>
  <c r="AD9" i="36"/>
  <c r="AD11" i="36"/>
  <c r="AD13" i="36"/>
  <c r="AD15" i="36"/>
  <c r="AD17" i="36"/>
  <c r="AD19" i="36"/>
  <c r="AD21" i="36"/>
  <c r="AD23" i="36"/>
  <c r="AH6" i="36"/>
  <c r="AH8" i="36"/>
  <c r="AH10" i="36"/>
  <c r="AH12" i="36"/>
  <c r="AH14" i="36"/>
  <c r="AH16" i="36"/>
  <c r="AH18" i="36"/>
  <c r="AH20" i="36"/>
  <c r="AH22" i="36"/>
  <c r="AH24" i="36"/>
  <c r="AH25" i="36"/>
  <c r="AH26" i="36"/>
  <c r="AH27" i="36"/>
  <c r="AH28" i="36"/>
  <c r="AH29" i="36"/>
  <c r="AH30" i="36"/>
  <c r="AH31" i="36"/>
  <c r="AH32" i="36"/>
  <c r="AH33" i="36"/>
  <c r="AH34" i="36"/>
  <c r="AH35" i="36"/>
  <c r="AH36" i="36"/>
  <c r="AH37" i="36"/>
  <c r="AH38" i="36"/>
  <c r="AH39" i="36"/>
  <c r="AH40" i="36"/>
  <c r="AH42" i="36"/>
  <c r="AH43" i="36"/>
  <c r="AH44" i="36"/>
  <c r="AH45" i="36"/>
  <c r="AH46" i="36"/>
  <c r="AH47" i="36"/>
  <c r="AH7" i="36"/>
  <c r="AH9" i="36"/>
  <c r="AH11" i="36"/>
  <c r="AH13" i="36"/>
  <c r="AH15" i="36"/>
  <c r="AH17" i="36"/>
  <c r="AH19" i="36"/>
  <c r="AH21" i="36"/>
  <c r="AH23" i="36"/>
  <c r="AH6" i="37"/>
  <c r="AH7" i="37"/>
  <c r="AH8" i="37"/>
  <c r="AH9" i="37"/>
  <c r="AH10" i="37"/>
  <c r="AH11" i="37"/>
  <c r="AH12" i="37"/>
  <c r="AH13" i="37"/>
  <c r="AH14" i="37"/>
  <c r="AH15" i="37"/>
  <c r="AH16" i="37"/>
  <c r="AH17" i="37"/>
  <c r="AH18" i="37"/>
  <c r="AH19" i="37"/>
  <c r="AH20" i="37"/>
  <c r="AH21" i="37"/>
  <c r="AH22" i="37"/>
  <c r="AH23" i="37"/>
  <c r="AH24" i="37"/>
  <c r="AH25" i="37"/>
  <c r="AH26" i="37"/>
  <c r="AH27" i="37"/>
  <c r="AH28" i="37"/>
  <c r="AH29" i="37"/>
  <c r="AH31" i="37"/>
  <c r="AH33" i="37"/>
  <c r="AH35" i="37"/>
  <c r="AH37" i="37"/>
  <c r="AH39" i="37"/>
  <c r="AH41" i="37"/>
  <c r="AH44" i="37"/>
  <c r="AH46" i="37"/>
  <c r="AH48" i="37"/>
  <c r="AH50" i="37"/>
  <c r="AH30" i="37"/>
  <c r="AH34" i="37"/>
  <c r="AH38" i="37"/>
  <c r="AH42" i="37"/>
  <c r="AH47" i="37"/>
  <c r="AH51" i="37"/>
  <c r="AH32" i="37"/>
  <c r="AH36" i="37"/>
  <c r="AH40" i="37"/>
  <c r="AH45" i="37"/>
  <c r="AH49" i="37"/>
  <c r="AD6" i="37"/>
  <c r="AD7" i="37"/>
  <c r="AD8" i="37"/>
  <c r="AD9" i="37"/>
  <c r="AD10" i="37"/>
  <c r="AD11" i="37"/>
  <c r="AD12" i="37"/>
  <c r="AD13" i="37"/>
  <c r="AD14" i="37"/>
  <c r="AD15" i="37"/>
  <c r="AD16" i="37"/>
  <c r="AD17" i="37"/>
  <c r="AD18" i="37"/>
  <c r="AD19" i="37"/>
  <c r="AD20" i="37"/>
  <c r="AD21" i="37"/>
  <c r="AD22" i="37"/>
  <c r="AD23" i="37"/>
  <c r="AD24" i="37"/>
  <c r="AD25" i="37"/>
  <c r="AD26" i="37"/>
  <c r="AD27" i="37"/>
  <c r="AD28" i="37"/>
  <c r="AD29" i="37"/>
  <c r="AD31" i="37"/>
  <c r="AD33" i="37"/>
  <c r="AD35" i="37"/>
  <c r="AD37" i="37"/>
  <c r="AD39" i="37"/>
  <c r="AD41" i="37"/>
  <c r="AD44" i="37"/>
  <c r="AD46" i="37"/>
  <c r="AD48" i="37"/>
  <c r="AD50" i="37"/>
  <c r="AD32" i="37"/>
  <c r="AD36" i="37"/>
  <c r="AD40" i="37"/>
  <c r="AD45" i="37"/>
  <c r="AD49" i="37"/>
  <c r="AD30" i="37"/>
  <c r="AD34" i="37"/>
  <c r="AD38" i="37"/>
  <c r="AD42" i="37"/>
  <c r="AD47" i="37"/>
  <c r="AD51" i="37"/>
  <c r="Z6" i="37"/>
  <c r="Z7" i="37"/>
  <c r="Z8" i="37"/>
  <c r="Z9" i="37"/>
  <c r="Z10" i="37"/>
  <c r="Z11" i="37"/>
  <c r="Z12" i="37"/>
  <c r="Z13" i="37"/>
  <c r="Z14" i="37"/>
  <c r="Z15" i="37"/>
  <c r="Z16" i="37"/>
  <c r="Z17" i="37"/>
  <c r="Z18" i="37"/>
  <c r="Z19" i="37"/>
  <c r="Z20" i="37"/>
  <c r="Z21" i="37"/>
  <c r="Z22" i="37"/>
  <c r="Z23" i="37"/>
  <c r="Z24" i="37"/>
  <c r="Z25" i="37"/>
  <c r="Z26" i="37"/>
  <c r="Z27" i="37"/>
  <c r="Z28" i="37"/>
  <c r="Z29" i="37"/>
  <c r="Z31" i="37"/>
  <c r="Z33" i="37"/>
  <c r="Z35" i="37"/>
  <c r="Z37" i="37"/>
  <c r="Z39" i="37"/>
  <c r="Z41" i="37"/>
  <c r="Z44" i="37"/>
  <c r="Z46" i="37"/>
  <c r="Z48" i="37"/>
  <c r="Z50" i="37"/>
  <c r="Z30" i="37"/>
  <c r="Z34" i="37"/>
  <c r="Z38" i="37"/>
  <c r="Z42" i="37"/>
  <c r="Z47" i="37"/>
  <c r="Z51" i="37"/>
  <c r="Z32" i="37"/>
  <c r="Z36" i="37"/>
  <c r="Z40" i="37"/>
  <c r="Z45" i="37"/>
  <c r="Z49" i="37"/>
  <c r="V6" i="37"/>
  <c r="V7" i="37"/>
  <c r="V8" i="37"/>
  <c r="V9" i="37"/>
  <c r="V10" i="37"/>
  <c r="V11" i="37"/>
  <c r="V12" i="37"/>
  <c r="V13" i="37"/>
  <c r="V14" i="37"/>
  <c r="V15" i="37"/>
  <c r="V16" i="37"/>
  <c r="V17" i="37"/>
  <c r="V18" i="37"/>
  <c r="V19" i="37"/>
  <c r="V20" i="37"/>
  <c r="V21" i="37"/>
  <c r="V22" i="37"/>
  <c r="V23" i="37"/>
  <c r="V24" i="37"/>
  <c r="V25" i="37"/>
  <c r="V26" i="37"/>
  <c r="V27" i="37"/>
  <c r="V28" i="37"/>
  <c r="V29" i="37"/>
  <c r="V31" i="37"/>
  <c r="V33" i="37"/>
  <c r="V35" i="37"/>
  <c r="V37" i="37"/>
  <c r="V39" i="37"/>
  <c r="V41" i="37"/>
  <c r="V44" i="37"/>
  <c r="V46" i="37"/>
  <c r="V48" i="37"/>
  <c r="V50" i="37"/>
  <c r="V32" i="37"/>
  <c r="V36" i="37"/>
  <c r="V40" i="37"/>
  <c r="V45" i="37"/>
  <c r="V49" i="37"/>
  <c r="V30" i="37"/>
  <c r="V34" i="37"/>
  <c r="V38" i="37"/>
  <c r="V42" i="37"/>
  <c r="V47" i="37"/>
  <c r="V51" i="37"/>
  <c r="AK6" i="37"/>
  <c r="AK7" i="37"/>
  <c r="AK8" i="37"/>
  <c r="AK9" i="37"/>
  <c r="AK10" i="37"/>
  <c r="AK11" i="37"/>
  <c r="AK12" i="37"/>
  <c r="AK13" i="37"/>
  <c r="AK14" i="37"/>
  <c r="AK15" i="37"/>
  <c r="AK16" i="37"/>
  <c r="AK17" i="37"/>
  <c r="AK18" i="37"/>
  <c r="AK19" i="37"/>
  <c r="AK20" i="37"/>
  <c r="AK21" i="37"/>
  <c r="AK22" i="37"/>
  <c r="AK23" i="37"/>
  <c r="AK24" i="37"/>
  <c r="AK25" i="37"/>
  <c r="AK26" i="37"/>
  <c r="AK27" i="37"/>
  <c r="AK28" i="37"/>
  <c r="AK29" i="37"/>
  <c r="AK30" i="37"/>
  <c r="AK31" i="37"/>
  <c r="AK32" i="37"/>
  <c r="AK33" i="37"/>
  <c r="AK34" i="37"/>
  <c r="AK35" i="37"/>
  <c r="AK36" i="37"/>
  <c r="AK37" i="37"/>
  <c r="AK38" i="37"/>
  <c r="AK39" i="37"/>
  <c r="AK40" i="37"/>
  <c r="AK41" i="37"/>
  <c r="AK42" i="37"/>
  <c r="AK44" i="37"/>
  <c r="AK45" i="37"/>
  <c r="AK46" i="37"/>
  <c r="AK47" i="37"/>
  <c r="AK48" i="37"/>
  <c r="AK49" i="37"/>
  <c r="AK50" i="37"/>
  <c r="AK51" i="37"/>
  <c r="AG6" i="37"/>
  <c r="AG7" i="37"/>
  <c r="AG8" i="37"/>
  <c r="AG9" i="37"/>
  <c r="AG10" i="37"/>
  <c r="AG11" i="37"/>
  <c r="AG12" i="37"/>
  <c r="AG13" i="37"/>
  <c r="AG14" i="37"/>
  <c r="AG15" i="37"/>
  <c r="AG16" i="37"/>
  <c r="AG17" i="37"/>
  <c r="AG18" i="37"/>
  <c r="AG19" i="37"/>
  <c r="AG20" i="37"/>
  <c r="AG21" i="37"/>
  <c r="AG22" i="37"/>
  <c r="AG23" i="37"/>
  <c r="AG24" i="37"/>
  <c r="AG25" i="37"/>
  <c r="AG26" i="37"/>
  <c r="AG27" i="37"/>
  <c r="AG28" i="37"/>
  <c r="AG29" i="37"/>
  <c r="AG30" i="37"/>
  <c r="AG31" i="37"/>
  <c r="AG32" i="37"/>
  <c r="AG33" i="37"/>
  <c r="AG34" i="37"/>
  <c r="AG35" i="37"/>
  <c r="AG36" i="37"/>
  <c r="AG37" i="37"/>
  <c r="AG38" i="37"/>
  <c r="AG39" i="37"/>
  <c r="AG40" i="37"/>
  <c r="AG41" i="37"/>
  <c r="AG42" i="37"/>
  <c r="AG44" i="37"/>
  <c r="AG45" i="37"/>
  <c r="AG46" i="37"/>
  <c r="AG47" i="37"/>
  <c r="AG48" i="37"/>
  <c r="AG49" i="37"/>
  <c r="AG50" i="37"/>
  <c r="AG51" i="37"/>
  <c r="AC6" i="37"/>
  <c r="AC7" i="37"/>
  <c r="AC8" i="37"/>
  <c r="AC9" i="37"/>
  <c r="AC10" i="37"/>
  <c r="AC11" i="37"/>
  <c r="AC12" i="37"/>
  <c r="AC13" i="37"/>
  <c r="AC14" i="37"/>
  <c r="AC15" i="37"/>
  <c r="AC16" i="37"/>
  <c r="AC17" i="37"/>
  <c r="AC18" i="37"/>
  <c r="AC19" i="37"/>
  <c r="AC20" i="37"/>
  <c r="AC21" i="37"/>
  <c r="AC22" i="37"/>
  <c r="AC23" i="37"/>
  <c r="AC24" i="37"/>
  <c r="AC25" i="37"/>
  <c r="AC26" i="37"/>
  <c r="AC27" i="37"/>
  <c r="AC28" i="37"/>
  <c r="AC29" i="37"/>
  <c r="AC30" i="37"/>
  <c r="AC31" i="37"/>
  <c r="AC32" i="37"/>
  <c r="AC33" i="37"/>
  <c r="AC34" i="37"/>
  <c r="AC35" i="37"/>
  <c r="AC36" i="37"/>
  <c r="AC37" i="37"/>
  <c r="AC38" i="37"/>
  <c r="AC39" i="37"/>
  <c r="AC40" i="37"/>
  <c r="AC41" i="37"/>
  <c r="AC42" i="37"/>
  <c r="AC44" i="37"/>
  <c r="AC45" i="37"/>
  <c r="AC46" i="37"/>
  <c r="AC47" i="37"/>
  <c r="AC48" i="37"/>
  <c r="AC49" i="37"/>
  <c r="AC50" i="37"/>
  <c r="AC51" i="37"/>
  <c r="Y6" i="37"/>
  <c r="Y7" i="37"/>
  <c r="Y8" i="37"/>
  <c r="Y9" i="37"/>
  <c r="Y10" i="37"/>
  <c r="Y11" i="37"/>
  <c r="Y12" i="37"/>
  <c r="Y13" i="37"/>
  <c r="Y14" i="37"/>
  <c r="Y15" i="37"/>
  <c r="Y16" i="37"/>
  <c r="Y17" i="37"/>
  <c r="Y18" i="37"/>
  <c r="Y19" i="37"/>
  <c r="Y20" i="37"/>
  <c r="Y21" i="37"/>
  <c r="Y22" i="37"/>
  <c r="Y23" i="37"/>
  <c r="Y24" i="37"/>
  <c r="Y25" i="37"/>
  <c r="Y26" i="37"/>
  <c r="Y27" i="37"/>
  <c r="Y28" i="37"/>
  <c r="Y29" i="37"/>
  <c r="Y30" i="37"/>
  <c r="Y31" i="37"/>
  <c r="Y32" i="37"/>
  <c r="Y33" i="37"/>
  <c r="Y34" i="37"/>
  <c r="Y35" i="37"/>
  <c r="Y36" i="37"/>
  <c r="Y37" i="37"/>
  <c r="Y38" i="37"/>
  <c r="Y39" i="37"/>
  <c r="Y40" i="37"/>
  <c r="Y41" i="37"/>
  <c r="Y42" i="37"/>
  <c r="Y44" i="37"/>
  <c r="Y45" i="37"/>
  <c r="Y46" i="37"/>
  <c r="Y47" i="37"/>
  <c r="Y48" i="37"/>
  <c r="Y49" i="37"/>
  <c r="Y50" i="37"/>
  <c r="Y51" i="37"/>
  <c r="U6" i="37"/>
  <c r="U7" i="37"/>
  <c r="U8" i="37"/>
  <c r="U9" i="37"/>
  <c r="U10" i="37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25" i="37"/>
  <c r="U26" i="37"/>
  <c r="U27" i="37"/>
  <c r="U28" i="37"/>
  <c r="U29" i="37"/>
  <c r="U30" i="37"/>
  <c r="U31" i="37"/>
  <c r="U32" i="37"/>
  <c r="U33" i="37"/>
  <c r="U34" i="37"/>
  <c r="U35" i="37"/>
  <c r="U36" i="37"/>
  <c r="U37" i="37"/>
  <c r="U38" i="37"/>
  <c r="U39" i="37"/>
  <c r="U40" i="37"/>
  <c r="U41" i="37"/>
  <c r="U42" i="37"/>
  <c r="U44" i="37"/>
  <c r="U45" i="37"/>
  <c r="U46" i="37"/>
  <c r="U47" i="37"/>
  <c r="U48" i="37"/>
  <c r="U49" i="37"/>
  <c r="U50" i="37"/>
  <c r="U51" i="37"/>
  <c r="AP6" i="37"/>
  <c r="AP8" i="37"/>
  <c r="AP10" i="37"/>
  <c r="AP12" i="37"/>
  <c r="AP14" i="37"/>
  <c r="AP16" i="37"/>
  <c r="AP17" i="37"/>
  <c r="AP18" i="37"/>
  <c r="AP19" i="37"/>
  <c r="AP20" i="37"/>
  <c r="AP21" i="37"/>
  <c r="AP22" i="37"/>
  <c r="AP23" i="37"/>
  <c r="AP24" i="37"/>
  <c r="AP25" i="37"/>
  <c r="AP26" i="37"/>
  <c r="AP27" i="37"/>
  <c r="AP28" i="37"/>
  <c r="AP9" i="37"/>
  <c r="AP13" i="37"/>
  <c r="AP7" i="37"/>
  <c r="AP11" i="37"/>
  <c r="AP15" i="37"/>
  <c r="AP29" i="37"/>
  <c r="AP30" i="37"/>
  <c r="AP31" i="37"/>
  <c r="AP32" i="37"/>
  <c r="AP33" i="37"/>
  <c r="AP34" i="37"/>
  <c r="AP35" i="37"/>
  <c r="AP36" i="37"/>
  <c r="AP37" i="37"/>
  <c r="AP38" i="37"/>
  <c r="AP39" i="37"/>
  <c r="AP40" i="37"/>
  <c r="AP41" i="37"/>
  <c r="AP42" i="37"/>
  <c r="AP44" i="37"/>
  <c r="AP45" i="37"/>
  <c r="AP46" i="37"/>
  <c r="AP47" i="37"/>
  <c r="AP48" i="37"/>
  <c r="AP49" i="37"/>
  <c r="AP50" i="37"/>
  <c r="AP51" i="37"/>
  <c r="AT6" i="37"/>
  <c r="AT8" i="37"/>
  <c r="AT10" i="37"/>
  <c r="AT12" i="37"/>
  <c r="AT14" i="37"/>
  <c r="AT16" i="37"/>
  <c r="AT17" i="37"/>
  <c r="AT18" i="37"/>
  <c r="AT19" i="37"/>
  <c r="AT20" i="37"/>
  <c r="AT21" i="37"/>
  <c r="AT22" i="37"/>
  <c r="AT23" i="37"/>
  <c r="AT24" i="37"/>
  <c r="AT25" i="37"/>
  <c r="AT26" i="37"/>
  <c r="AT27" i="37"/>
  <c r="AT28" i="37"/>
  <c r="AT7" i="37"/>
  <c r="AT11" i="37"/>
  <c r="AT15" i="37"/>
  <c r="AT9" i="37"/>
  <c r="AT13" i="37"/>
  <c r="AT29" i="37"/>
  <c r="AT30" i="37"/>
  <c r="AT31" i="37"/>
  <c r="AT32" i="37"/>
  <c r="AT33" i="37"/>
  <c r="AT34" i="37"/>
  <c r="AT35" i="37"/>
  <c r="AT36" i="37"/>
  <c r="AT37" i="37"/>
  <c r="AT38" i="37"/>
  <c r="AT39" i="37"/>
  <c r="AT40" i="37"/>
  <c r="AT41" i="37"/>
  <c r="AT42" i="37"/>
  <c r="AT44" i="37"/>
  <c r="AT45" i="37"/>
  <c r="AT46" i="37"/>
  <c r="AT47" i="37"/>
  <c r="AT48" i="37"/>
  <c r="AT49" i="37"/>
  <c r="AT50" i="37"/>
  <c r="AT51" i="37"/>
  <c r="AN7" i="37"/>
  <c r="AN9" i="37"/>
  <c r="AN11" i="37"/>
  <c r="AN13" i="37"/>
  <c r="AN15" i="37"/>
  <c r="AN16" i="37"/>
  <c r="AN17" i="37"/>
  <c r="AN18" i="37"/>
  <c r="AN19" i="37"/>
  <c r="AN20" i="37"/>
  <c r="AN21" i="37"/>
  <c r="AN22" i="37"/>
  <c r="AN23" i="37"/>
  <c r="AN24" i="37"/>
  <c r="AN25" i="37"/>
  <c r="AN26" i="37"/>
  <c r="AN27" i="37"/>
  <c r="AN28" i="37"/>
  <c r="AN6" i="37"/>
  <c r="AN10" i="37"/>
  <c r="AN14" i="37"/>
  <c r="AN8" i="37"/>
  <c r="AN12" i="37"/>
  <c r="AN29" i="37"/>
  <c r="AN30" i="37"/>
  <c r="AN31" i="37"/>
  <c r="AN32" i="37"/>
  <c r="AN33" i="37"/>
  <c r="AN34" i="37"/>
  <c r="AN35" i="37"/>
  <c r="AN36" i="37"/>
  <c r="AN37" i="37"/>
  <c r="AN38" i="37"/>
  <c r="AN39" i="37"/>
  <c r="AN40" i="37"/>
  <c r="AN41" i="37"/>
  <c r="AN42" i="37"/>
  <c r="AN44" i="37"/>
  <c r="AN45" i="37"/>
  <c r="AN46" i="37"/>
  <c r="AN47" i="37"/>
  <c r="AN48" i="37"/>
  <c r="AN49" i="37"/>
  <c r="AN50" i="37"/>
  <c r="AN51" i="37"/>
  <c r="AM4" i="37"/>
  <c r="AV7" i="37"/>
  <c r="AV9" i="37"/>
  <c r="AV11" i="37"/>
  <c r="AV13" i="37"/>
  <c r="AV15" i="37"/>
  <c r="AV16" i="37"/>
  <c r="AV17" i="37"/>
  <c r="AV18" i="37"/>
  <c r="AV19" i="37"/>
  <c r="AV20" i="37"/>
  <c r="AV21" i="37"/>
  <c r="AV22" i="37"/>
  <c r="AV23" i="37"/>
  <c r="AV24" i="37"/>
  <c r="AV25" i="37"/>
  <c r="AV26" i="37"/>
  <c r="AV27" i="37"/>
  <c r="AV28" i="37"/>
  <c r="AV6" i="37"/>
  <c r="AV10" i="37"/>
  <c r="AV14" i="37"/>
  <c r="AV8" i="37"/>
  <c r="AV12" i="37"/>
  <c r="AV29" i="37"/>
  <c r="AV30" i="37"/>
  <c r="AV31" i="37"/>
  <c r="AV32" i="37"/>
  <c r="AV33" i="37"/>
  <c r="AV34" i="37"/>
  <c r="AV35" i="37"/>
  <c r="AV36" i="37"/>
  <c r="AV37" i="37"/>
  <c r="AV38" i="37"/>
  <c r="AV39" i="37"/>
  <c r="AV40" i="37"/>
  <c r="AV41" i="37"/>
  <c r="AV42" i="37"/>
  <c r="AV44" i="37"/>
  <c r="AV45" i="37"/>
  <c r="AV46" i="37"/>
  <c r="AV47" i="37"/>
  <c r="AV48" i="37"/>
  <c r="AV49" i="37"/>
  <c r="AV50" i="37"/>
  <c r="AV51" i="37"/>
  <c r="BD7" i="37"/>
  <c r="BD9" i="37"/>
  <c r="BD11" i="37"/>
  <c r="BD13" i="37"/>
  <c r="BD15" i="37"/>
  <c r="BD16" i="37"/>
  <c r="BD17" i="37"/>
  <c r="BD18" i="37"/>
  <c r="BD19" i="37"/>
  <c r="BD20" i="37"/>
  <c r="BD21" i="37"/>
  <c r="BD22" i="37"/>
  <c r="BD23" i="37"/>
  <c r="BD24" i="37"/>
  <c r="BD25" i="37"/>
  <c r="BD26" i="37"/>
  <c r="BD27" i="37"/>
  <c r="BD28" i="37"/>
  <c r="BD6" i="37"/>
  <c r="BD10" i="37"/>
  <c r="BD14" i="37"/>
  <c r="BD8" i="37"/>
  <c r="BD12" i="37"/>
  <c r="BD29" i="37"/>
  <c r="BD30" i="37"/>
  <c r="BD31" i="37"/>
  <c r="BD32" i="37"/>
  <c r="BD33" i="37"/>
  <c r="BD34" i="37"/>
  <c r="BD35" i="37"/>
  <c r="BD36" i="37"/>
  <c r="BD37" i="37"/>
  <c r="BD38" i="37"/>
  <c r="BD39" i="37"/>
  <c r="BD40" i="37"/>
  <c r="BD41" i="37"/>
  <c r="BD42" i="37"/>
  <c r="BD44" i="37"/>
  <c r="BD45" i="37"/>
  <c r="BD46" i="37"/>
  <c r="BD47" i="37"/>
  <c r="BD48" i="37"/>
  <c r="BD49" i="37"/>
  <c r="BD50" i="37"/>
  <c r="BD51" i="37"/>
  <c r="AQ6" i="37"/>
  <c r="AQ7" i="37"/>
  <c r="AQ8" i="37"/>
  <c r="AQ9" i="37"/>
  <c r="AQ10" i="37"/>
  <c r="AQ11" i="37"/>
  <c r="AQ12" i="37"/>
  <c r="AQ13" i="37"/>
  <c r="AQ14" i="37"/>
  <c r="AQ15" i="37"/>
  <c r="AQ17" i="37"/>
  <c r="AQ19" i="37"/>
  <c r="AQ21" i="37"/>
  <c r="AQ23" i="37"/>
  <c r="AQ25" i="37"/>
  <c r="AQ27" i="37"/>
  <c r="AQ16" i="37"/>
  <c r="AQ18" i="37"/>
  <c r="AQ20" i="37"/>
  <c r="AQ22" i="37"/>
  <c r="AQ24" i="37"/>
  <c r="AQ26" i="37"/>
  <c r="AQ28" i="37"/>
  <c r="AQ30" i="37"/>
  <c r="AQ32" i="37"/>
  <c r="AQ34" i="37"/>
  <c r="AQ36" i="37"/>
  <c r="AQ38" i="37"/>
  <c r="AQ40" i="37"/>
  <c r="AQ42" i="37"/>
  <c r="AQ45" i="37"/>
  <c r="AQ47" i="37"/>
  <c r="AQ29" i="37"/>
  <c r="AQ31" i="37"/>
  <c r="AQ33" i="37"/>
  <c r="AQ35" i="37"/>
  <c r="AQ37" i="37"/>
  <c r="AQ39" i="37"/>
  <c r="AQ41" i="37"/>
  <c r="AQ44" i="37"/>
  <c r="AQ46" i="37"/>
  <c r="AQ48" i="37"/>
  <c r="AQ49" i="37"/>
  <c r="AQ50" i="37"/>
  <c r="AQ51" i="37"/>
  <c r="AU6" i="37"/>
  <c r="AU7" i="37"/>
  <c r="AU8" i="37"/>
  <c r="AU9" i="37"/>
  <c r="AU10" i="37"/>
  <c r="AU11" i="37"/>
  <c r="AU12" i="37"/>
  <c r="AU13" i="37"/>
  <c r="AU14" i="37"/>
  <c r="AU15" i="37"/>
  <c r="AU17" i="37"/>
  <c r="AU19" i="37"/>
  <c r="AU21" i="37"/>
  <c r="AU23" i="37"/>
  <c r="AU25" i="37"/>
  <c r="AU27" i="37"/>
  <c r="AU16" i="37"/>
  <c r="AU18" i="37"/>
  <c r="AU20" i="37"/>
  <c r="AU22" i="37"/>
  <c r="AU24" i="37"/>
  <c r="AU26" i="37"/>
  <c r="AU28" i="37"/>
  <c r="AU30" i="37"/>
  <c r="AU32" i="37"/>
  <c r="AU34" i="37"/>
  <c r="AU36" i="37"/>
  <c r="AU38" i="37"/>
  <c r="AU40" i="37"/>
  <c r="AU42" i="37"/>
  <c r="AU45" i="37"/>
  <c r="AU47" i="37"/>
  <c r="AU29" i="37"/>
  <c r="AU31" i="37"/>
  <c r="AU33" i="37"/>
  <c r="AU35" i="37"/>
  <c r="AU37" i="37"/>
  <c r="AU39" i="37"/>
  <c r="AU41" i="37"/>
  <c r="AU44" i="37"/>
  <c r="AU46" i="37"/>
  <c r="AU48" i="37"/>
  <c r="AU49" i="37"/>
  <c r="AU50" i="37"/>
  <c r="AU51" i="37"/>
  <c r="AY6" i="37"/>
  <c r="AY7" i="37"/>
  <c r="AY8" i="37"/>
  <c r="AY9" i="37"/>
  <c r="AY10" i="37"/>
  <c r="AY11" i="37"/>
  <c r="AY12" i="37"/>
  <c r="AY13" i="37"/>
  <c r="AY14" i="37"/>
  <c r="AY15" i="37"/>
  <c r="AY17" i="37"/>
  <c r="AY19" i="37"/>
  <c r="AY21" i="37"/>
  <c r="AY23" i="37"/>
  <c r="AY25" i="37"/>
  <c r="AY27" i="37"/>
  <c r="AY16" i="37"/>
  <c r="AY18" i="37"/>
  <c r="AY20" i="37"/>
  <c r="AY22" i="37"/>
  <c r="AY24" i="37"/>
  <c r="AY26" i="37"/>
  <c r="AY28" i="37"/>
  <c r="AY30" i="37"/>
  <c r="AY32" i="37"/>
  <c r="AY34" i="37"/>
  <c r="AY36" i="37"/>
  <c r="AY38" i="37"/>
  <c r="AY40" i="37"/>
  <c r="AY42" i="37"/>
  <c r="AY45" i="37"/>
  <c r="AY47" i="37"/>
  <c r="AY29" i="37"/>
  <c r="AY31" i="37"/>
  <c r="AY33" i="37"/>
  <c r="AY35" i="37"/>
  <c r="AY37" i="37"/>
  <c r="AY39" i="37"/>
  <c r="AY41" i="37"/>
  <c r="AY44" i="37"/>
  <c r="AY46" i="37"/>
  <c r="AY48" i="37"/>
  <c r="AY49" i="37"/>
  <c r="AY50" i="37"/>
  <c r="AY51" i="37"/>
  <c r="BC6" i="37"/>
  <c r="BC7" i="37"/>
  <c r="BC8" i="37"/>
  <c r="BC9" i="37"/>
  <c r="BC10" i="37"/>
  <c r="BC11" i="37"/>
  <c r="BC12" i="37"/>
  <c r="BC13" i="37"/>
  <c r="BC14" i="37"/>
  <c r="BC15" i="37"/>
  <c r="BC17" i="37"/>
  <c r="BC19" i="37"/>
  <c r="BC21" i="37"/>
  <c r="BC23" i="37"/>
  <c r="BC25" i="37"/>
  <c r="BC27" i="37"/>
  <c r="BC16" i="37"/>
  <c r="BC18" i="37"/>
  <c r="BC20" i="37"/>
  <c r="BC22" i="37"/>
  <c r="BC24" i="37"/>
  <c r="BC26" i="37"/>
  <c r="BC28" i="37"/>
  <c r="BC30" i="37"/>
  <c r="BC32" i="37"/>
  <c r="BC34" i="37"/>
  <c r="BC36" i="37"/>
  <c r="BC38" i="37"/>
  <c r="BC40" i="37"/>
  <c r="BC42" i="37"/>
  <c r="BC45" i="37"/>
  <c r="BC47" i="37"/>
  <c r="BC29" i="37"/>
  <c r="BC31" i="37"/>
  <c r="BC33" i="37"/>
  <c r="BC35" i="37"/>
  <c r="BC37" i="37"/>
  <c r="BC39" i="37"/>
  <c r="BC41" i="37"/>
  <c r="BC44" i="37"/>
  <c r="BC46" i="37"/>
  <c r="BC48" i="37"/>
  <c r="BC49" i="37"/>
  <c r="BC50" i="37"/>
  <c r="BC51" i="37"/>
  <c r="AJ6" i="37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J27" i="37"/>
  <c r="AJ28" i="37"/>
  <c r="AJ30" i="37"/>
  <c r="AJ32" i="37"/>
  <c r="AJ34" i="37"/>
  <c r="AJ36" i="37"/>
  <c r="AJ38" i="37"/>
  <c r="AJ40" i="37"/>
  <c r="AJ42" i="37"/>
  <c r="AJ45" i="37"/>
  <c r="AJ47" i="37"/>
  <c r="AJ49" i="37"/>
  <c r="AJ51" i="37"/>
  <c r="AJ29" i="37"/>
  <c r="AJ33" i="37"/>
  <c r="AJ37" i="37"/>
  <c r="AJ41" i="37"/>
  <c r="AJ46" i="37"/>
  <c r="AJ50" i="37"/>
  <c r="AJ31" i="37"/>
  <c r="AJ35" i="37"/>
  <c r="AJ39" i="37"/>
  <c r="AJ44" i="37"/>
  <c r="AJ48" i="37"/>
  <c r="AT7" i="36"/>
  <c r="AT9" i="36"/>
  <c r="AT11" i="36"/>
  <c r="AT13" i="36"/>
  <c r="AT15" i="36"/>
  <c r="AT17" i="36"/>
  <c r="AT18" i="36"/>
  <c r="AT19" i="36"/>
  <c r="AT20" i="36"/>
  <c r="AT21" i="36"/>
  <c r="AT22" i="36"/>
  <c r="AT23" i="36"/>
  <c r="AT24" i="36"/>
  <c r="AT25" i="36"/>
  <c r="AT26" i="36"/>
  <c r="AT27" i="36"/>
  <c r="AT28" i="36"/>
  <c r="AT29" i="36"/>
  <c r="AT30" i="36"/>
  <c r="AT31" i="36"/>
  <c r="AT32" i="36"/>
  <c r="AT33" i="36"/>
  <c r="AT34" i="36"/>
  <c r="AT35" i="36"/>
  <c r="AT36" i="36"/>
  <c r="AT37" i="36"/>
  <c r="AT38" i="36"/>
  <c r="AT39" i="36"/>
  <c r="AT40" i="36"/>
  <c r="AT42" i="36"/>
  <c r="AT43" i="36"/>
  <c r="AT44" i="36"/>
  <c r="AT45" i="36"/>
  <c r="AT46" i="36"/>
  <c r="AT47" i="36"/>
  <c r="AT6" i="36"/>
  <c r="AT10" i="36"/>
  <c r="AT14" i="36"/>
  <c r="AT8" i="36"/>
  <c r="AT12" i="36"/>
  <c r="AT16" i="36"/>
  <c r="BB7" i="36"/>
  <c r="BB9" i="36"/>
  <c r="BB11" i="36"/>
  <c r="BB13" i="36"/>
  <c r="BB15" i="36"/>
  <c r="BB17" i="36"/>
  <c r="BB18" i="36"/>
  <c r="BB19" i="36"/>
  <c r="BB20" i="36"/>
  <c r="BB21" i="36"/>
  <c r="BB22" i="36"/>
  <c r="BB23" i="36"/>
  <c r="BB24" i="36"/>
  <c r="BB25" i="36"/>
  <c r="BB26" i="36"/>
  <c r="BB27" i="36"/>
  <c r="BB28" i="36"/>
  <c r="BB29" i="36"/>
  <c r="BB30" i="36"/>
  <c r="BB31" i="36"/>
  <c r="BB32" i="36"/>
  <c r="BB33" i="36"/>
  <c r="BB34" i="36"/>
  <c r="BB35" i="36"/>
  <c r="BB36" i="36"/>
  <c r="BB37" i="36"/>
  <c r="BB38" i="36"/>
  <c r="BB39" i="36"/>
  <c r="BB40" i="36"/>
  <c r="BB42" i="36"/>
  <c r="BB43" i="36"/>
  <c r="BB44" i="36"/>
  <c r="BB45" i="36"/>
  <c r="BB46" i="36"/>
  <c r="BB47" i="36"/>
  <c r="BB6" i="36"/>
  <c r="BB10" i="36"/>
  <c r="BB14" i="36"/>
  <c r="BB8" i="36"/>
  <c r="BB12" i="36"/>
  <c r="BB16" i="36"/>
  <c r="AR6" i="36"/>
  <c r="AR8" i="36"/>
  <c r="AR10" i="36"/>
  <c r="AR12" i="36"/>
  <c r="AR14" i="36"/>
  <c r="AR16" i="36"/>
  <c r="AR17" i="36"/>
  <c r="AR18" i="36"/>
  <c r="AR19" i="36"/>
  <c r="AR20" i="36"/>
  <c r="AR21" i="36"/>
  <c r="AR22" i="36"/>
  <c r="AR23" i="36"/>
  <c r="AR24" i="36"/>
  <c r="AR25" i="36"/>
  <c r="AR26" i="36"/>
  <c r="AR27" i="36"/>
  <c r="AR28" i="36"/>
  <c r="AR29" i="36"/>
  <c r="AR30" i="36"/>
  <c r="AR31" i="36"/>
  <c r="AR32" i="36"/>
  <c r="AR33" i="36"/>
  <c r="AR34" i="36"/>
  <c r="AR35" i="36"/>
  <c r="AR36" i="36"/>
  <c r="AR37" i="36"/>
  <c r="AR38" i="36"/>
  <c r="AR39" i="36"/>
  <c r="AR40" i="36"/>
  <c r="AR42" i="36"/>
  <c r="AR43" i="36"/>
  <c r="AR44" i="36"/>
  <c r="AR45" i="36"/>
  <c r="AR46" i="36"/>
  <c r="AR47" i="36"/>
  <c r="AR7" i="36"/>
  <c r="AR11" i="36"/>
  <c r="AR15" i="36"/>
  <c r="AR9" i="36"/>
  <c r="AR13" i="36"/>
  <c r="AZ6" i="36"/>
  <c r="AZ8" i="36"/>
  <c r="AZ10" i="36"/>
  <c r="AZ12" i="36"/>
  <c r="AZ14" i="36"/>
  <c r="AZ16" i="36"/>
  <c r="AZ17" i="36"/>
  <c r="AZ18" i="36"/>
  <c r="AZ19" i="36"/>
  <c r="AZ20" i="36"/>
  <c r="AZ21" i="36"/>
  <c r="AZ22" i="36"/>
  <c r="AZ23" i="36"/>
  <c r="AZ24" i="36"/>
  <c r="AZ25" i="36"/>
  <c r="AZ26" i="36"/>
  <c r="AZ27" i="36"/>
  <c r="AZ28" i="36"/>
  <c r="AZ29" i="36"/>
  <c r="AZ30" i="36"/>
  <c r="AZ31" i="36"/>
  <c r="AZ32" i="36"/>
  <c r="AZ33" i="36"/>
  <c r="AZ34" i="36"/>
  <c r="AZ35" i="36"/>
  <c r="AZ36" i="36"/>
  <c r="AZ37" i="36"/>
  <c r="AZ38" i="36"/>
  <c r="AZ39" i="36"/>
  <c r="AZ40" i="36"/>
  <c r="AZ42" i="36"/>
  <c r="AZ43" i="36"/>
  <c r="AZ44" i="36"/>
  <c r="AZ45" i="36"/>
  <c r="AZ46" i="36"/>
  <c r="AZ47" i="36"/>
  <c r="AZ7" i="36"/>
  <c r="AZ11" i="36"/>
  <c r="AZ15" i="36"/>
  <c r="AZ9" i="36"/>
  <c r="AZ13" i="36"/>
  <c r="AO6" i="36"/>
  <c r="AO7" i="36"/>
  <c r="AO8" i="36"/>
  <c r="AO9" i="36"/>
  <c r="AO10" i="36"/>
  <c r="AO11" i="36"/>
  <c r="AO12" i="36"/>
  <c r="AO13" i="36"/>
  <c r="AO14" i="36"/>
  <c r="AO15" i="36"/>
  <c r="AO16" i="36"/>
  <c r="AO18" i="36"/>
  <c r="AO20" i="36"/>
  <c r="AO22" i="36"/>
  <c r="AO24" i="36"/>
  <c r="AO26" i="36"/>
  <c r="AO28" i="36"/>
  <c r="AO30" i="36"/>
  <c r="AO32" i="36"/>
  <c r="AO34" i="36"/>
  <c r="AO36" i="36"/>
  <c r="AO38" i="36"/>
  <c r="AO40" i="36"/>
  <c r="AO43" i="36"/>
  <c r="AO44" i="36"/>
  <c r="AO47" i="36"/>
  <c r="AO17" i="36"/>
  <c r="AO19" i="36"/>
  <c r="AO21" i="36"/>
  <c r="AO23" i="36"/>
  <c r="AO25" i="36"/>
  <c r="AO27" i="36"/>
  <c r="AO29" i="36"/>
  <c r="AO31" i="36"/>
  <c r="AO33" i="36"/>
  <c r="AO35" i="36"/>
  <c r="AO37" i="36"/>
  <c r="AO39" i="36"/>
  <c r="AO42" i="36"/>
  <c r="AO45" i="36"/>
  <c r="AO46" i="36"/>
  <c r="AS6" i="36"/>
  <c r="AS7" i="36"/>
  <c r="AS8" i="36"/>
  <c r="AS9" i="36"/>
  <c r="AS10" i="36"/>
  <c r="AS11" i="36"/>
  <c r="AS12" i="36"/>
  <c r="AS13" i="36"/>
  <c r="AS14" i="36"/>
  <c r="AS15" i="36"/>
  <c r="AS16" i="36"/>
  <c r="AS18" i="36"/>
  <c r="AS20" i="36"/>
  <c r="AS22" i="36"/>
  <c r="AS24" i="36"/>
  <c r="AS26" i="36"/>
  <c r="AS28" i="36"/>
  <c r="AS30" i="36"/>
  <c r="AS32" i="36"/>
  <c r="AS34" i="36"/>
  <c r="AS36" i="36"/>
  <c r="AS38" i="36"/>
  <c r="AS40" i="36"/>
  <c r="AS43" i="36"/>
  <c r="AS44" i="36"/>
  <c r="AS47" i="36"/>
  <c r="AS17" i="36"/>
  <c r="AS19" i="36"/>
  <c r="AS21" i="36"/>
  <c r="AS23" i="36"/>
  <c r="AS25" i="36"/>
  <c r="AS27" i="36"/>
  <c r="AS29" i="36"/>
  <c r="AS31" i="36"/>
  <c r="AS33" i="36"/>
  <c r="AS35" i="36"/>
  <c r="AS37" i="36"/>
  <c r="AS39" i="36"/>
  <c r="AS42" i="36"/>
  <c r="AS45" i="36"/>
  <c r="AS46" i="36"/>
  <c r="AW6" i="36"/>
  <c r="AW7" i="36"/>
  <c r="AW8" i="36"/>
  <c r="AW9" i="36"/>
  <c r="AW10" i="36"/>
  <c r="AW11" i="36"/>
  <c r="AW12" i="36"/>
  <c r="AW13" i="36"/>
  <c r="AW14" i="36"/>
  <c r="AW15" i="36"/>
  <c r="AW16" i="36"/>
  <c r="AW18" i="36"/>
  <c r="AW20" i="36"/>
  <c r="AW22" i="36"/>
  <c r="AW24" i="36"/>
  <c r="AW26" i="36"/>
  <c r="AW28" i="36"/>
  <c r="AW30" i="36"/>
  <c r="AW32" i="36"/>
  <c r="AW34" i="36"/>
  <c r="AW36" i="36"/>
  <c r="AW38" i="36"/>
  <c r="AW40" i="36"/>
  <c r="AW43" i="36"/>
  <c r="AW44" i="36"/>
  <c r="AW47" i="36"/>
  <c r="AW17" i="36"/>
  <c r="AW19" i="36"/>
  <c r="AW21" i="36"/>
  <c r="AW23" i="36"/>
  <c r="AW25" i="36"/>
  <c r="AW27" i="36"/>
  <c r="AW29" i="36"/>
  <c r="AW31" i="36"/>
  <c r="AW33" i="36"/>
  <c r="AW35" i="36"/>
  <c r="AW37" i="36"/>
  <c r="AW39" i="36"/>
  <c r="AW42" i="36"/>
  <c r="AW45" i="36"/>
  <c r="AW46" i="36"/>
  <c r="BA6" i="36"/>
  <c r="BA7" i="36"/>
  <c r="BA8" i="36"/>
  <c r="BA9" i="36"/>
  <c r="BA10" i="36"/>
  <c r="BA11" i="36"/>
  <c r="BA12" i="36"/>
  <c r="BA13" i="36"/>
  <c r="BA14" i="36"/>
  <c r="BA15" i="36"/>
  <c r="BA16" i="36"/>
  <c r="BA18" i="36"/>
  <c r="BA20" i="36"/>
  <c r="BA22" i="36"/>
  <c r="BA24" i="36"/>
  <c r="BA26" i="36"/>
  <c r="BA28" i="36"/>
  <c r="BA30" i="36"/>
  <c r="BA32" i="36"/>
  <c r="BA34" i="36"/>
  <c r="BA36" i="36"/>
  <c r="BA38" i="36"/>
  <c r="BA40" i="36"/>
  <c r="BA43" i="36"/>
  <c r="BA44" i="36"/>
  <c r="BA47" i="36"/>
  <c r="BA17" i="36"/>
  <c r="BA19" i="36"/>
  <c r="BA21" i="36"/>
  <c r="BA23" i="36"/>
  <c r="BA25" i="36"/>
  <c r="BA27" i="36"/>
  <c r="BA29" i="36"/>
  <c r="BA31" i="36"/>
  <c r="BA33" i="36"/>
  <c r="BA35" i="36"/>
  <c r="BA37" i="36"/>
  <c r="BA39" i="36"/>
  <c r="BA42" i="36"/>
  <c r="BA45" i="36"/>
  <c r="BA46" i="36"/>
  <c r="BE6" i="36"/>
  <c r="BE7" i="36"/>
  <c r="BE8" i="36"/>
  <c r="BE9" i="36"/>
  <c r="BE10" i="36"/>
  <c r="BE11" i="36"/>
  <c r="BE12" i="36"/>
  <c r="BE13" i="36"/>
  <c r="BE14" i="36"/>
  <c r="BE15" i="36"/>
  <c r="BE16" i="36"/>
  <c r="BE18" i="36"/>
  <c r="BE20" i="36"/>
  <c r="BE22" i="36"/>
  <c r="BE24" i="36"/>
  <c r="BE26" i="36"/>
  <c r="BE28" i="36"/>
  <c r="BE30" i="36"/>
  <c r="BE32" i="36"/>
  <c r="BE34" i="36"/>
  <c r="BE36" i="36"/>
  <c r="BE38" i="36"/>
  <c r="BE40" i="36"/>
  <c r="BE43" i="36"/>
  <c r="BE44" i="36"/>
  <c r="BE47" i="36"/>
  <c r="BE17" i="36"/>
  <c r="BE19" i="36"/>
  <c r="BE21" i="36"/>
  <c r="BE23" i="36"/>
  <c r="BE25" i="36"/>
  <c r="BE27" i="36"/>
  <c r="BE29" i="36"/>
  <c r="BE31" i="36"/>
  <c r="BE33" i="36"/>
  <c r="BE35" i="36"/>
  <c r="BE37" i="36"/>
  <c r="BE39" i="36"/>
  <c r="BE42" i="36"/>
  <c r="BE45" i="36"/>
  <c r="BE46" i="36"/>
  <c r="S4" i="37"/>
  <c r="S4" i="36"/>
  <c r="E25" i="37" l="1"/>
  <c r="E27" i="48" s="1"/>
  <c r="AM51" i="37"/>
  <c r="G51" i="37" s="1"/>
  <c r="AM49" i="37"/>
  <c r="G49" i="37" s="1"/>
  <c r="G53" i="48" s="1"/>
  <c r="AM47" i="37"/>
  <c r="G47" i="37" s="1"/>
  <c r="AM45" i="37"/>
  <c r="G45" i="37" s="1"/>
  <c r="AM42" i="37"/>
  <c r="G42" i="37" s="1"/>
  <c r="AM40" i="37"/>
  <c r="G40" i="37" s="1"/>
  <c r="AM38" i="37"/>
  <c r="G38" i="37" s="1"/>
  <c r="AM36" i="37"/>
  <c r="G36" i="37" s="1"/>
  <c r="AM34" i="37"/>
  <c r="G34" i="37" s="1"/>
  <c r="AM32" i="37"/>
  <c r="G32" i="37" s="1"/>
  <c r="AM30" i="37"/>
  <c r="G30" i="37" s="1"/>
  <c r="AM8" i="37"/>
  <c r="G8" i="37" s="1"/>
  <c r="AM10" i="37"/>
  <c r="G10" i="37" s="1"/>
  <c r="AM27" i="37"/>
  <c r="G27" i="37" s="1"/>
  <c r="G29" i="48" s="1"/>
  <c r="AM25" i="37"/>
  <c r="G25" i="37" s="1"/>
  <c r="G27" i="48" s="1"/>
  <c r="AM23" i="37"/>
  <c r="G23" i="37" s="1"/>
  <c r="AM21" i="37"/>
  <c r="G21" i="37" s="1"/>
  <c r="AM19" i="37"/>
  <c r="G19" i="37" s="1"/>
  <c r="AM17" i="37"/>
  <c r="G17" i="37" s="1"/>
  <c r="AM15" i="37"/>
  <c r="G15" i="37" s="1"/>
  <c r="AM11" i="37"/>
  <c r="G11" i="37" s="1"/>
  <c r="AM7" i="37"/>
  <c r="G7" i="37" s="1"/>
  <c r="AM11" i="36"/>
  <c r="G11" i="36" s="1"/>
  <c r="AM13" i="36"/>
  <c r="G13" i="36" s="1"/>
  <c r="AM46" i="36"/>
  <c r="G46" i="36" s="1"/>
  <c r="AM45" i="36"/>
  <c r="G45" i="36" s="1"/>
  <c r="AM42" i="36"/>
  <c r="G42" i="36" s="1"/>
  <c r="AM39" i="36"/>
  <c r="G39" i="36" s="1"/>
  <c r="AM37" i="36"/>
  <c r="G37" i="36" s="1"/>
  <c r="AM35" i="36"/>
  <c r="G35" i="36" s="1"/>
  <c r="AM33" i="36"/>
  <c r="G33" i="36" s="1"/>
  <c r="AM31" i="36"/>
  <c r="G31" i="36" s="1"/>
  <c r="AM29" i="36"/>
  <c r="G29" i="36" s="1"/>
  <c r="AM27" i="36"/>
  <c r="G27" i="36" s="1"/>
  <c r="AM25" i="36"/>
  <c r="G25" i="36" s="1"/>
  <c r="G31" i="48" s="1"/>
  <c r="AM23" i="36"/>
  <c r="G23" i="36" s="1"/>
  <c r="AM21" i="36"/>
  <c r="G21" i="36" s="1"/>
  <c r="AM19" i="36"/>
  <c r="G19" i="36" s="1"/>
  <c r="AM17" i="36"/>
  <c r="G17" i="36" s="1"/>
  <c r="AM14" i="36"/>
  <c r="G14" i="36" s="1"/>
  <c r="AM10" i="36"/>
  <c r="G10" i="36" s="1"/>
  <c r="AM6" i="36"/>
  <c r="G6" i="36" s="1"/>
  <c r="AM50" i="37"/>
  <c r="G50" i="37" s="1"/>
  <c r="AM48" i="37"/>
  <c r="G48" i="37" s="1"/>
  <c r="AM46" i="37"/>
  <c r="G46" i="37" s="1"/>
  <c r="G50" i="48" s="1"/>
  <c r="AM44" i="37"/>
  <c r="G44" i="37" s="1"/>
  <c r="AM41" i="37"/>
  <c r="G41" i="37" s="1"/>
  <c r="AM39" i="37"/>
  <c r="G39" i="37" s="1"/>
  <c r="AM37" i="37"/>
  <c r="G37" i="37" s="1"/>
  <c r="AM35" i="37"/>
  <c r="G35" i="37" s="1"/>
  <c r="AM33" i="37"/>
  <c r="G33" i="37" s="1"/>
  <c r="AM31" i="37"/>
  <c r="G31" i="37" s="1"/>
  <c r="AM29" i="37"/>
  <c r="G29" i="37" s="1"/>
  <c r="AM12" i="37"/>
  <c r="G12" i="37" s="1"/>
  <c r="AM14" i="37"/>
  <c r="G14" i="37" s="1"/>
  <c r="AM6" i="37"/>
  <c r="G6" i="37" s="1"/>
  <c r="AM28" i="37"/>
  <c r="G28" i="37" s="1"/>
  <c r="G30" i="48" s="1"/>
  <c r="AM26" i="37"/>
  <c r="G26" i="37" s="1"/>
  <c r="G28" i="48" s="1"/>
  <c r="AM24" i="37"/>
  <c r="G24" i="37" s="1"/>
  <c r="AM22" i="37"/>
  <c r="G22" i="37" s="1"/>
  <c r="AM20" i="37"/>
  <c r="G20" i="37" s="1"/>
  <c r="AM18" i="37"/>
  <c r="G18" i="37" s="1"/>
  <c r="AM16" i="37"/>
  <c r="G16" i="37" s="1"/>
  <c r="AM13" i="37"/>
  <c r="G13" i="37" s="1"/>
  <c r="AM9" i="37"/>
  <c r="G9" i="37" s="1"/>
  <c r="AM15" i="36"/>
  <c r="G15" i="36" s="1"/>
  <c r="AM7" i="36"/>
  <c r="G7" i="36" s="1"/>
  <c r="AM9" i="36"/>
  <c r="G9" i="36" s="1"/>
  <c r="AM47" i="36"/>
  <c r="G47" i="36" s="1"/>
  <c r="AM44" i="36"/>
  <c r="G44" i="36" s="1"/>
  <c r="AM43" i="36"/>
  <c r="G43" i="36" s="1"/>
  <c r="AM40" i="36"/>
  <c r="G40" i="36" s="1"/>
  <c r="AM38" i="36"/>
  <c r="G38" i="36" s="1"/>
  <c r="AM36" i="36"/>
  <c r="G36" i="36" s="1"/>
  <c r="AM34" i="36"/>
  <c r="G34" i="36" s="1"/>
  <c r="AM32" i="36"/>
  <c r="G32" i="36" s="1"/>
  <c r="AM30" i="36"/>
  <c r="G30" i="36" s="1"/>
  <c r="AM28" i="36"/>
  <c r="G28" i="36" s="1"/>
  <c r="AM26" i="36"/>
  <c r="G26" i="36" s="1"/>
  <c r="G32" i="48" s="1"/>
  <c r="AM24" i="36"/>
  <c r="G24" i="36" s="1"/>
  <c r="AM22" i="36"/>
  <c r="G22" i="36" s="1"/>
  <c r="AM20" i="36"/>
  <c r="G20" i="36" s="1"/>
  <c r="AM18" i="36"/>
  <c r="G18" i="36" s="1"/>
  <c r="AM16" i="36"/>
  <c r="G16" i="36" s="1"/>
  <c r="AM12" i="36"/>
  <c r="G12" i="36" s="1"/>
  <c r="AM8" i="36"/>
  <c r="G8" i="36" s="1"/>
  <c r="S8" i="37"/>
  <c r="F8" i="37" s="1"/>
  <c r="S12" i="37"/>
  <c r="F12" i="37" s="1"/>
  <c r="S16" i="37"/>
  <c r="F16" i="37" s="1"/>
  <c r="S20" i="37"/>
  <c r="F20" i="37" s="1"/>
  <c r="S7" i="37"/>
  <c r="F7" i="37" s="1"/>
  <c r="S11" i="37"/>
  <c r="F11" i="37" s="1"/>
  <c r="S15" i="37"/>
  <c r="F15" i="37" s="1"/>
  <c r="S19" i="37"/>
  <c r="F19" i="37" s="1"/>
  <c r="S24" i="37"/>
  <c r="F24" i="37" s="1"/>
  <c r="S28" i="37"/>
  <c r="F28" i="37" s="1"/>
  <c r="F30" i="48" s="1"/>
  <c r="S30" i="37"/>
  <c r="F30" i="37" s="1"/>
  <c r="S34" i="37"/>
  <c r="F34" i="37" s="1"/>
  <c r="S25" i="37"/>
  <c r="F25" i="37" s="1"/>
  <c r="F27" i="48" s="1"/>
  <c r="S31" i="37"/>
  <c r="F31" i="37" s="1"/>
  <c r="S35" i="37"/>
  <c r="F35" i="37" s="1"/>
  <c r="S39" i="37"/>
  <c r="F39" i="37" s="1"/>
  <c r="S36" i="37"/>
  <c r="F36" i="37" s="1"/>
  <c r="S40" i="37"/>
  <c r="F40" i="37" s="1"/>
  <c r="S45" i="37"/>
  <c r="F45" i="37" s="1"/>
  <c r="S49" i="37"/>
  <c r="F49" i="37" s="1"/>
  <c r="F53" i="48" s="1"/>
  <c r="S44" i="37"/>
  <c r="F44" i="37" s="1"/>
  <c r="S48" i="37"/>
  <c r="F48" i="37" s="1"/>
  <c r="S6" i="37"/>
  <c r="F6" i="37" s="1"/>
  <c r="S10" i="37"/>
  <c r="F10" i="37" s="1"/>
  <c r="S14" i="37"/>
  <c r="F14" i="37" s="1"/>
  <c r="S18" i="37"/>
  <c r="F18" i="37" s="1"/>
  <c r="S21" i="37"/>
  <c r="F21" i="37" s="1"/>
  <c r="S9" i="37"/>
  <c r="F9" i="37" s="1"/>
  <c r="S13" i="37"/>
  <c r="F13" i="37" s="1"/>
  <c r="S17" i="37"/>
  <c r="F17" i="37" s="1"/>
  <c r="S22" i="37"/>
  <c r="F22" i="37" s="1"/>
  <c r="S26" i="37"/>
  <c r="F26" i="37" s="1"/>
  <c r="F28" i="48" s="1"/>
  <c r="S32" i="37"/>
  <c r="F32" i="37" s="1"/>
  <c r="S23" i="37"/>
  <c r="F23" i="37" s="1"/>
  <c r="S27" i="37"/>
  <c r="F27" i="37" s="1"/>
  <c r="F29" i="48" s="1"/>
  <c r="S29" i="37"/>
  <c r="F29" i="37" s="1"/>
  <c r="S33" i="37"/>
  <c r="F33" i="37" s="1"/>
  <c r="S37" i="37"/>
  <c r="F37" i="37" s="1"/>
  <c r="S41" i="37"/>
  <c r="F41" i="37" s="1"/>
  <c r="S38" i="37"/>
  <c r="F38" i="37" s="1"/>
  <c r="S42" i="37"/>
  <c r="F42" i="37" s="1"/>
  <c r="S47" i="37"/>
  <c r="F47" i="37" s="1"/>
  <c r="S51" i="37"/>
  <c r="F51" i="37" s="1"/>
  <c r="S46" i="37"/>
  <c r="F46" i="37" s="1"/>
  <c r="F50" i="48" s="1"/>
  <c r="S50" i="37"/>
  <c r="F50" i="37" s="1"/>
  <c r="S7" i="36"/>
  <c r="F7" i="36" s="1"/>
  <c r="S11" i="36"/>
  <c r="F11" i="36" s="1"/>
  <c r="S15" i="36"/>
  <c r="F15" i="36" s="1"/>
  <c r="S19" i="36"/>
  <c r="F19" i="36" s="1"/>
  <c r="S22" i="36"/>
  <c r="F22" i="36" s="1"/>
  <c r="S10" i="36"/>
  <c r="F10" i="36" s="1"/>
  <c r="S14" i="36"/>
  <c r="F14" i="36" s="1"/>
  <c r="S18" i="36"/>
  <c r="F18" i="36" s="1"/>
  <c r="S23" i="36"/>
  <c r="F23" i="36" s="1"/>
  <c r="S27" i="36"/>
  <c r="F27" i="36" s="1"/>
  <c r="S31" i="36"/>
  <c r="F31" i="36" s="1"/>
  <c r="S24" i="36"/>
  <c r="F24" i="36" s="1"/>
  <c r="S28" i="36"/>
  <c r="F28" i="36" s="1"/>
  <c r="S32" i="36"/>
  <c r="F32" i="36" s="1"/>
  <c r="S37" i="36"/>
  <c r="F37" i="36" s="1"/>
  <c r="S34" i="36"/>
  <c r="F34" i="36" s="1"/>
  <c r="S38" i="36"/>
  <c r="F38" i="36" s="1"/>
  <c r="S42" i="36"/>
  <c r="F42" i="36" s="1"/>
  <c r="S44" i="36"/>
  <c r="F44" i="36" s="1"/>
  <c r="S47" i="36"/>
  <c r="F47" i="36" s="1"/>
  <c r="S45" i="36"/>
  <c r="F45" i="36" s="1"/>
  <c r="S6" i="36"/>
  <c r="F6" i="36" s="1"/>
  <c r="S9" i="36"/>
  <c r="F9" i="36" s="1"/>
  <c r="S13" i="36"/>
  <c r="F13" i="36" s="1"/>
  <c r="S17" i="36"/>
  <c r="F17" i="36" s="1"/>
  <c r="S21" i="36"/>
  <c r="F21" i="36" s="1"/>
  <c r="S8" i="36"/>
  <c r="F8" i="36" s="1"/>
  <c r="S12" i="36"/>
  <c r="F12" i="36" s="1"/>
  <c r="S16" i="36"/>
  <c r="F16" i="36" s="1"/>
  <c r="S20" i="36"/>
  <c r="F20" i="36" s="1"/>
  <c r="S25" i="36"/>
  <c r="F25" i="36" s="1"/>
  <c r="F31" i="48" s="1"/>
  <c r="S29" i="36"/>
  <c r="F29" i="36" s="1"/>
  <c r="S33" i="36"/>
  <c r="F33" i="36" s="1"/>
  <c r="S26" i="36"/>
  <c r="F26" i="36" s="1"/>
  <c r="F32" i="48" s="1"/>
  <c r="S30" i="36"/>
  <c r="F30" i="36" s="1"/>
  <c r="S35" i="36"/>
  <c r="F35" i="36" s="1"/>
  <c r="S39" i="36"/>
  <c r="F39" i="36" s="1"/>
  <c r="S36" i="36"/>
  <c r="F36" i="36" s="1"/>
  <c r="S40" i="36"/>
  <c r="F40" i="36" s="1"/>
  <c r="S43" i="36"/>
  <c r="F43" i="36" s="1"/>
  <c r="S46" i="36"/>
  <c r="F46" i="36" s="1"/>
  <c r="D6" i="35"/>
  <c r="E6" i="35"/>
  <c r="F6" i="35"/>
  <c r="G6" i="35"/>
  <c r="E5" i="35"/>
  <c r="F5" i="35"/>
  <c r="G5" i="35"/>
  <c r="D5" i="35"/>
  <c r="C6" i="35"/>
  <c r="B6" i="35"/>
  <c r="C5" i="35"/>
  <c r="B5" i="35"/>
  <c r="D6" i="34"/>
  <c r="E6" i="34"/>
  <c r="F6" i="34"/>
  <c r="G6" i="34"/>
  <c r="E5" i="34"/>
  <c r="F5" i="34"/>
  <c r="G5" i="34"/>
  <c r="D5" i="34"/>
  <c r="C6" i="34"/>
  <c r="B6" i="34"/>
  <c r="C5" i="34"/>
  <c r="B5" i="34"/>
  <c r="B6" i="12"/>
  <c r="B7" i="12"/>
  <c r="B6" i="11"/>
  <c r="B7" i="11"/>
  <c r="B6" i="23"/>
  <c r="B6" i="8"/>
  <c r="B6" i="9"/>
  <c r="L6" i="23"/>
  <c r="J6" i="23"/>
  <c r="H6" i="23"/>
  <c r="D6" i="23"/>
  <c r="C6" i="23"/>
  <c r="X2" i="20" l="1"/>
  <c r="B6" i="20"/>
  <c r="X2" i="19"/>
  <c r="AE22" i="51" l="1"/>
  <c r="AC22" i="51" s="1"/>
  <c r="AE21" i="51"/>
  <c r="AC21" i="51" s="1"/>
  <c r="AE20" i="51"/>
  <c r="AC20" i="51" s="1"/>
  <c r="AE19" i="51"/>
  <c r="AC19" i="51" s="1"/>
  <c r="AE18" i="51"/>
  <c r="AC18" i="51" s="1"/>
  <c r="AE17" i="51"/>
  <c r="AC17" i="51" s="1"/>
  <c r="AE16" i="51"/>
  <c r="AC16" i="51" s="1"/>
  <c r="AE15" i="51"/>
  <c r="AC15" i="51" s="1"/>
  <c r="AE14" i="51"/>
  <c r="AC14" i="51" s="1"/>
  <c r="AE13" i="51"/>
  <c r="AC13" i="51" s="1"/>
  <c r="AE12" i="51"/>
  <c r="AC12" i="51" s="1"/>
  <c r="AE11" i="51"/>
  <c r="AC11" i="51" s="1"/>
  <c r="AE10" i="51"/>
  <c r="AC10" i="51" s="1"/>
  <c r="AE9" i="51"/>
  <c r="AC9" i="51" s="1"/>
  <c r="AE8" i="51"/>
  <c r="AC8" i="51" s="1"/>
  <c r="AE7" i="51"/>
  <c r="AC7" i="51" s="1"/>
  <c r="AE6" i="51"/>
  <c r="AC6" i="51" s="1"/>
  <c r="AE5" i="51"/>
  <c r="AC5" i="51" s="1"/>
  <c r="AR2" i="19"/>
  <c r="BC5" i="19"/>
  <c r="BA5" i="19"/>
  <c r="AY5" i="19"/>
  <c r="AW5" i="19"/>
  <c r="AU5" i="19"/>
  <c r="AS5" i="19"/>
  <c r="AQ5" i="19"/>
  <c r="AO5" i="19"/>
  <c r="AM5" i="19"/>
  <c r="AJ5" i="19"/>
  <c r="AH5" i="19"/>
  <c r="AF5" i="19"/>
  <c r="AD5" i="19"/>
  <c r="AB5" i="19"/>
  <c r="Z5" i="19"/>
  <c r="X5" i="19"/>
  <c r="V5" i="19"/>
  <c r="T5" i="19"/>
  <c r="BD4" i="19"/>
  <c r="BB4" i="19"/>
  <c r="AZ4" i="19"/>
  <c r="AX4" i="19"/>
  <c r="AV4" i="19"/>
  <c r="AT4" i="19"/>
  <c r="AR4" i="19"/>
  <c r="AP4" i="19"/>
  <c r="AN4" i="19"/>
  <c r="AI4" i="19"/>
  <c r="AG4" i="19"/>
  <c r="AE4" i="19"/>
  <c r="AC4" i="19"/>
  <c r="AA4" i="19"/>
  <c r="Y4" i="19"/>
  <c r="W4" i="19"/>
  <c r="U4" i="19"/>
  <c r="S4" i="19"/>
  <c r="BD5" i="19"/>
  <c r="BB5" i="19"/>
  <c r="AZ5" i="19"/>
  <c r="AX5" i="19"/>
  <c r="AV5" i="19"/>
  <c r="AT5" i="19"/>
  <c r="AR5" i="19"/>
  <c r="AP5" i="19"/>
  <c r="AN5" i="19"/>
  <c r="AI5" i="19"/>
  <c r="AG5" i="19"/>
  <c r="AE5" i="19"/>
  <c r="AC5" i="19"/>
  <c r="AA5" i="19"/>
  <c r="Y5" i="19"/>
  <c r="W5" i="19"/>
  <c r="U5" i="19"/>
  <c r="S5" i="19"/>
  <c r="BC4" i="19"/>
  <c r="BA4" i="19"/>
  <c r="BA6" i="19" s="1"/>
  <c r="AY4" i="19"/>
  <c r="AW4" i="19"/>
  <c r="AU4" i="19"/>
  <c r="AS4" i="19"/>
  <c r="AQ4" i="19"/>
  <c r="AO4" i="19"/>
  <c r="AM4" i="19"/>
  <c r="AJ4" i="19"/>
  <c r="AH4" i="19"/>
  <c r="AF4" i="19"/>
  <c r="AD4" i="19"/>
  <c r="AB4" i="19"/>
  <c r="Z4" i="19"/>
  <c r="X4" i="19"/>
  <c r="V4" i="19"/>
  <c r="T4" i="19"/>
  <c r="BD4" i="20"/>
  <c r="BB4" i="20"/>
  <c r="AZ4" i="20"/>
  <c r="AX4" i="20"/>
  <c r="AV4" i="20"/>
  <c r="AT4" i="20"/>
  <c r="AR4" i="20"/>
  <c r="AP4" i="20"/>
  <c r="AN4" i="20"/>
  <c r="BC4" i="20"/>
  <c r="BA4" i="20"/>
  <c r="AY4" i="20"/>
  <c r="AW4" i="20"/>
  <c r="AU4" i="20"/>
  <c r="AS4" i="20"/>
  <c r="AQ4" i="20"/>
  <c r="AO4" i="20"/>
  <c r="AM4" i="20"/>
  <c r="AI4" i="20"/>
  <c r="T4" i="20"/>
  <c r="V4" i="20"/>
  <c r="X4" i="20"/>
  <c r="Z4" i="20"/>
  <c r="AB4" i="20"/>
  <c r="AD4" i="20"/>
  <c r="AF4" i="20"/>
  <c r="AH4" i="20"/>
  <c r="AJ4" i="20"/>
  <c r="S4" i="20"/>
  <c r="U4" i="20"/>
  <c r="W4" i="20"/>
  <c r="Y4" i="20"/>
  <c r="AA4" i="20"/>
  <c r="AC4" i="20"/>
  <c r="AE4" i="20"/>
  <c r="AG4" i="20"/>
  <c r="T6" i="19" l="1"/>
  <c r="AB6" i="19"/>
  <c r="AS6" i="19"/>
  <c r="Z6" i="19"/>
  <c r="Z54" i="19" s="1"/>
  <c r="AH6" i="19"/>
  <c r="AH49" i="19" s="1"/>
  <c r="AQ6" i="19"/>
  <c r="AQ51" i="19" s="1"/>
  <c r="AY6" i="19"/>
  <c r="AY48" i="19" s="1"/>
  <c r="V6" i="19"/>
  <c r="V55" i="19" s="1"/>
  <c r="AD6" i="19"/>
  <c r="AD51" i="19" s="1"/>
  <c r="AU6" i="19"/>
  <c r="AU52" i="19" s="1"/>
  <c r="BC6" i="19"/>
  <c r="BC49" i="19" s="1"/>
  <c r="X6" i="19"/>
  <c r="X51" i="19" s="1"/>
  <c r="AF6" i="19"/>
  <c r="AF55" i="19" s="1"/>
  <c r="AO6" i="19"/>
  <c r="AO52" i="19" s="1"/>
  <c r="AW6" i="19"/>
  <c r="AW49" i="19" s="1"/>
  <c r="AJ6" i="19"/>
  <c r="AJ54" i="19" s="1"/>
  <c r="U2" i="43"/>
  <c r="V48" i="19"/>
  <c r="V18" i="19"/>
  <c r="V22" i="19"/>
  <c r="V26" i="19"/>
  <c r="V36" i="19"/>
  <c r="V40" i="19"/>
  <c r="V44" i="19"/>
  <c r="Z49" i="19"/>
  <c r="Z52" i="19"/>
  <c r="Z11" i="19"/>
  <c r="Z15" i="19"/>
  <c r="Z19" i="19"/>
  <c r="Z23" i="19"/>
  <c r="Z33" i="19"/>
  <c r="Z37" i="19"/>
  <c r="Z41" i="19"/>
  <c r="Z45" i="19"/>
  <c r="T51" i="19"/>
  <c r="T49" i="19"/>
  <c r="T54" i="19"/>
  <c r="T55" i="19"/>
  <c r="T8" i="19"/>
  <c r="T52" i="19"/>
  <c r="T4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33" i="19"/>
  <c r="T34" i="19"/>
  <c r="T35" i="19"/>
  <c r="T36" i="19"/>
  <c r="T37" i="19"/>
  <c r="T38" i="19"/>
  <c r="T39" i="19"/>
  <c r="T40" i="19"/>
  <c r="T41" i="19"/>
  <c r="T42" i="19"/>
  <c r="T43" i="19"/>
  <c r="T44" i="19"/>
  <c r="T45" i="19"/>
  <c r="T46" i="19"/>
  <c r="X55" i="19"/>
  <c r="X9" i="19"/>
  <c r="X13" i="19"/>
  <c r="X17" i="19"/>
  <c r="X21" i="19"/>
  <c r="X25" i="19"/>
  <c r="X35" i="19"/>
  <c r="X39" i="19"/>
  <c r="X43" i="19"/>
  <c r="AB51" i="19"/>
  <c r="AB49" i="19"/>
  <c r="AB54" i="19"/>
  <c r="AB55" i="19"/>
  <c r="AB8" i="19"/>
  <c r="AB52" i="19"/>
  <c r="AB48" i="19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33" i="19"/>
  <c r="AB34" i="19"/>
  <c r="AB35" i="19"/>
  <c r="AB36" i="19"/>
  <c r="AB37" i="19"/>
  <c r="AB38" i="19"/>
  <c r="AB39" i="19"/>
  <c r="AB40" i="19"/>
  <c r="AB41" i="19"/>
  <c r="AB42" i="19"/>
  <c r="AB43" i="19"/>
  <c r="AB44" i="19"/>
  <c r="AB45" i="19"/>
  <c r="AB46" i="19"/>
  <c r="AJ49" i="19"/>
  <c r="AJ52" i="19"/>
  <c r="AJ11" i="19"/>
  <c r="AJ15" i="19"/>
  <c r="AJ19" i="19"/>
  <c r="AJ23" i="19"/>
  <c r="AJ33" i="19"/>
  <c r="AJ37" i="19"/>
  <c r="AJ41" i="19"/>
  <c r="AJ45" i="19"/>
  <c r="AS48" i="19"/>
  <c r="AS49" i="19"/>
  <c r="AS51" i="19"/>
  <c r="AS52" i="19"/>
  <c r="AS54" i="19"/>
  <c r="AS55" i="19"/>
  <c r="AS9" i="19"/>
  <c r="AS10" i="19"/>
  <c r="AS11" i="19"/>
  <c r="AS12" i="19"/>
  <c r="AS13" i="19"/>
  <c r="AS14" i="19"/>
  <c r="AS15" i="19"/>
  <c r="AS16" i="19"/>
  <c r="AS17" i="19"/>
  <c r="AS18" i="19"/>
  <c r="AS19" i="19"/>
  <c r="AS20" i="19"/>
  <c r="AS21" i="19"/>
  <c r="AS22" i="19"/>
  <c r="AS23" i="19"/>
  <c r="AS24" i="19"/>
  <c r="AS25" i="19"/>
  <c r="AS26" i="19"/>
  <c r="AS33" i="19"/>
  <c r="AS34" i="19"/>
  <c r="AS35" i="19"/>
  <c r="AS36" i="19"/>
  <c r="AS37" i="19"/>
  <c r="AS38" i="19"/>
  <c r="AS39" i="19"/>
  <c r="AS40" i="19"/>
  <c r="AS41" i="19"/>
  <c r="AS42" i="19"/>
  <c r="AS43" i="19"/>
  <c r="AS44" i="19"/>
  <c r="AS45" i="19"/>
  <c r="AS46" i="19"/>
  <c r="AS8" i="19"/>
  <c r="BA48" i="19"/>
  <c r="BA49" i="19"/>
  <c r="BA51" i="19"/>
  <c r="BA52" i="19"/>
  <c r="BA54" i="19"/>
  <c r="BA55" i="19"/>
  <c r="BA9" i="19"/>
  <c r="BA10" i="19"/>
  <c r="BA11" i="19"/>
  <c r="BA12" i="19"/>
  <c r="BA13" i="19"/>
  <c r="BA14" i="19"/>
  <c r="BA15" i="19"/>
  <c r="BA16" i="19"/>
  <c r="BA17" i="19"/>
  <c r="BA18" i="19"/>
  <c r="BA19" i="19"/>
  <c r="BA20" i="19"/>
  <c r="BA21" i="19"/>
  <c r="BA22" i="19"/>
  <c r="BA23" i="19"/>
  <c r="BA24" i="19"/>
  <c r="BA25" i="19"/>
  <c r="BA26" i="19"/>
  <c r="BA33" i="19"/>
  <c r="BA34" i="19"/>
  <c r="BA35" i="19"/>
  <c r="BA36" i="19"/>
  <c r="BA37" i="19"/>
  <c r="BA38" i="19"/>
  <c r="BA39" i="19"/>
  <c r="BA40" i="19"/>
  <c r="BA41" i="19"/>
  <c r="BA42" i="19"/>
  <c r="BA43" i="19"/>
  <c r="BA44" i="19"/>
  <c r="BA45" i="19"/>
  <c r="BA46" i="19"/>
  <c r="BA8" i="19"/>
  <c r="R5" i="19"/>
  <c r="AM6" i="19"/>
  <c r="AL4" i="19"/>
  <c r="U6" i="19"/>
  <c r="Y6" i="19"/>
  <c r="AC6" i="19"/>
  <c r="AG6" i="19"/>
  <c r="AN6" i="19"/>
  <c r="AR6" i="19"/>
  <c r="AV6" i="19"/>
  <c r="AZ6" i="19"/>
  <c r="BD6" i="19"/>
  <c r="AL5" i="19"/>
  <c r="S6" i="19"/>
  <c r="R4" i="19"/>
  <c r="W6" i="19"/>
  <c r="AA6" i="19"/>
  <c r="AE6" i="19"/>
  <c r="AI6" i="19"/>
  <c r="AP6" i="19"/>
  <c r="AT6" i="19"/>
  <c r="AX6" i="19"/>
  <c r="BB6" i="19"/>
  <c r="P2" i="44"/>
  <c r="P2" i="46"/>
  <c r="L2" i="44"/>
  <c r="L2" i="46"/>
  <c r="H2" i="44"/>
  <c r="H2" i="46"/>
  <c r="D2" i="44"/>
  <c r="D2" i="46"/>
  <c r="S2" i="44"/>
  <c r="S2" i="46"/>
  <c r="O2" i="44"/>
  <c r="O2" i="46"/>
  <c r="K2" i="44"/>
  <c r="K2" i="46"/>
  <c r="G2" i="44"/>
  <c r="G2" i="46"/>
  <c r="T2" i="44"/>
  <c r="T2" i="46"/>
  <c r="R2" i="44"/>
  <c r="R2" i="46"/>
  <c r="N2" i="44"/>
  <c r="N2" i="46"/>
  <c r="J2" i="44"/>
  <c r="J2" i="46"/>
  <c r="F2" i="44"/>
  <c r="F2" i="46"/>
  <c r="U2" i="44"/>
  <c r="U2" i="46"/>
  <c r="Q2" i="44"/>
  <c r="Q2" i="46"/>
  <c r="M2" i="44"/>
  <c r="M2" i="46"/>
  <c r="I2" i="44"/>
  <c r="I2" i="46"/>
  <c r="E2" i="44"/>
  <c r="E2" i="46"/>
  <c r="AM6" i="20"/>
  <c r="AM7" i="20"/>
  <c r="AM8" i="20"/>
  <c r="AM9" i="20"/>
  <c r="AM10" i="20"/>
  <c r="AM11" i="20"/>
  <c r="AM12" i="20"/>
  <c r="AM13" i="20"/>
  <c r="AM14" i="20"/>
  <c r="AM15" i="20"/>
  <c r="AM16" i="20"/>
  <c r="AM17" i="20"/>
  <c r="AM18" i="20"/>
  <c r="AM19" i="20"/>
  <c r="AM20" i="20"/>
  <c r="AM21" i="20"/>
  <c r="AM22" i="20"/>
  <c r="AM23" i="20"/>
  <c r="AM24" i="20"/>
  <c r="AM25" i="20"/>
  <c r="AM26" i="20"/>
  <c r="AM27" i="20"/>
  <c r="AM28" i="20"/>
  <c r="AM29" i="20"/>
  <c r="AM30" i="20"/>
  <c r="AM31" i="20"/>
  <c r="AM32" i="20"/>
  <c r="AM33" i="20"/>
  <c r="AM34" i="20"/>
  <c r="AM35" i="20"/>
  <c r="AM36" i="20"/>
  <c r="AM37" i="20"/>
  <c r="AM38" i="20"/>
  <c r="AM39" i="20"/>
  <c r="AM40" i="20"/>
  <c r="AM41" i="20"/>
  <c r="AM42" i="20"/>
  <c r="AM44" i="20"/>
  <c r="AM45" i="20"/>
  <c r="AM46" i="20"/>
  <c r="AM47" i="20"/>
  <c r="AM48" i="20"/>
  <c r="AM49" i="20"/>
  <c r="AM50" i="20"/>
  <c r="AM51" i="20"/>
  <c r="AL4" i="20"/>
  <c r="AQ6" i="20"/>
  <c r="AQ7" i="20"/>
  <c r="AQ8" i="20"/>
  <c r="AQ9" i="20"/>
  <c r="AQ10" i="20"/>
  <c r="AQ11" i="20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4" i="20"/>
  <c r="AQ45" i="20"/>
  <c r="AQ46" i="20"/>
  <c r="AQ47" i="20"/>
  <c r="AQ48" i="20"/>
  <c r="AQ49" i="20"/>
  <c r="AQ50" i="20"/>
  <c r="AQ51" i="20"/>
  <c r="AU6" i="20"/>
  <c r="AU7" i="20"/>
  <c r="AU8" i="20"/>
  <c r="AU9" i="20"/>
  <c r="AU10" i="20"/>
  <c r="AU11" i="20"/>
  <c r="AU12" i="20"/>
  <c r="AU13" i="20"/>
  <c r="AU14" i="20"/>
  <c r="AU15" i="20"/>
  <c r="AU16" i="20"/>
  <c r="AU17" i="20"/>
  <c r="AU18" i="20"/>
  <c r="AU19" i="20"/>
  <c r="AU20" i="20"/>
  <c r="AU21" i="20"/>
  <c r="AU22" i="20"/>
  <c r="AU23" i="20"/>
  <c r="AU24" i="20"/>
  <c r="AU25" i="20"/>
  <c r="AU26" i="20"/>
  <c r="AU27" i="20"/>
  <c r="AU28" i="20"/>
  <c r="AU29" i="20"/>
  <c r="AU30" i="20"/>
  <c r="AU31" i="20"/>
  <c r="AU32" i="20"/>
  <c r="AU33" i="20"/>
  <c r="AU34" i="20"/>
  <c r="AU35" i="20"/>
  <c r="AU36" i="20"/>
  <c r="AU37" i="20"/>
  <c r="AU38" i="20"/>
  <c r="AU39" i="20"/>
  <c r="AU40" i="20"/>
  <c r="AU41" i="20"/>
  <c r="AU42" i="20"/>
  <c r="AU44" i="20"/>
  <c r="AU45" i="20"/>
  <c r="AU46" i="20"/>
  <c r="AU47" i="20"/>
  <c r="AU48" i="20"/>
  <c r="AU49" i="20"/>
  <c r="AU50" i="20"/>
  <c r="AU51" i="20"/>
  <c r="AY6" i="20"/>
  <c r="AY7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4" i="20"/>
  <c r="AY45" i="20"/>
  <c r="AY46" i="20"/>
  <c r="AY47" i="20"/>
  <c r="AY48" i="20"/>
  <c r="AY49" i="20"/>
  <c r="AY50" i="20"/>
  <c r="AY51" i="20"/>
  <c r="BC6" i="20"/>
  <c r="BC7" i="20"/>
  <c r="BC8" i="20"/>
  <c r="BC9" i="20"/>
  <c r="BC10" i="20"/>
  <c r="BC11" i="20"/>
  <c r="BC12" i="20"/>
  <c r="BC13" i="20"/>
  <c r="BC14" i="20"/>
  <c r="BC15" i="20"/>
  <c r="BC16" i="20"/>
  <c r="BC17" i="20"/>
  <c r="BC18" i="20"/>
  <c r="BC19" i="20"/>
  <c r="BC20" i="20"/>
  <c r="BC21" i="20"/>
  <c r="BC22" i="20"/>
  <c r="BC23" i="20"/>
  <c r="BC24" i="20"/>
  <c r="BC25" i="20"/>
  <c r="BC26" i="20"/>
  <c r="BC27" i="20"/>
  <c r="BC28" i="20"/>
  <c r="BC29" i="20"/>
  <c r="BC30" i="20"/>
  <c r="BC31" i="20"/>
  <c r="BC32" i="20"/>
  <c r="BC33" i="20"/>
  <c r="BC34" i="20"/>
  <c r="BC35" i="20"/>
  <c r="BC36" i="20"/>
  <c r="BC37" i="20"/>
  <c r="BC38" i="20"/>
  <c r="BC39" i="20"/>
  <c r="BC40" i="20"/>
  <c r="BC41" i="20"/>
  <c r="BC42" i="20"/>
  <c r="BC44" i="20"/>
  <c r="BC45" i="20"/>
  <c r="BC46" i="20"/>
  <c r="BC47" i="20"/>
  <c r="BC48" i="20"/>
  <c r="BC49" i="20"/>
  <c r="BC50" i="20"/>
  <c r="BC51" i="20"/>
  <c r="AP6" i="20"/>
  <c r="AP7" i="20"/>
  <c r="AP8" i="20"/>
  <c r="AP9" i="20"/>
  <c r="AP10" i="20"/>
  <c r="AP11" i="20"/>
  <c r="AP12" i="20"/>
  <c r="AP13" i="20"/>
  <c r="AP14" i="20"/>
  <c r="AP15" i="20"/>
  <c r="AP16" i="20"/>
  <c r="AP17" i="20"/>
  <c r="AP18" i="20"/>
  <c r="AP19" i="20"/>
  <c r="AP20" i="20"/>
  <c r="AP21" i="20"/>
  <c r="AP22" i="20"/>
  <c r="AP23" i="20"/>
  <c r="AP24" i="20"/>
  <c r="AP25" i="20"/>
  <c r="AP26" i="20"/>
  <c r="AP27" i="20"/>
  <c r="AP28" i="20"/>
  <c r="AP29" i="20"/>
  <c r="AP30" i="20"/>
  <c r="AP31" i="20"/>
  <c r="AP32" i="20"/>
  <c r="AP33" i="20"/>
  <c r="AP34" i="20"/>
  <c r="AP35" i="20"/>
  <c r="AP36" i="20"/>
  <c r="AP37" i="20"/>
  <c r="AP38" i="20"/>
  <c r="AP39" i="20"/>
  <c r="AP40" i="20"/>
  <c r="AP41" i="20"/>
  <c r="AP42" i="20"/>
  <c r="AP44" i="20"/>
  <c r="AP45" i="20"/>
  <c r="AP46" i="20"/>
  <c r="AP47" i="20"/>
  <c r="AP48" i="20"/>
  <c r="AP49" i="20"/>
  <c r="AP50" i="20"/>
  <c r="AP51" i="20"/>
  <c r="AT6" i="20"/>
  <c r="AT7" i="20"/>
  <c r="AT8" i="20"/>
  <c r="AT9" i="20"/>
  <c r="AT10" i="20"/>
  <c r="AT11" i="20"/>
  <c r="AT12" i="20"/>
  <c r="AT13" i="20"/>
  <c r="AT14" i="20"/>
  <c r="AT15" i="20"/>
  <c r="AT16" i="20"/>
  <c r="AT17" i="20"/>
  <c r="AT18" i="20"/>
  <c r="AT19" i="20"/>
  <c r="AT20" i="20"/>
  <c r="AT21" i="20"/>
  <c r="AT22" i="20"/>
  <c r="AT23" i="20"/>
  <c r="AT24" i="20"/>
  <c r="AT25" i="20"/>
  <c r="AT26" i="20"/>
  <c r="AT27" i="20"/>
  <c r="AT28" i="20"/>
  <c r="AT29" i="20"/>
  <c r="AT30" i="20"/>
  <c r="AT31" i="20"/>
  <c r="AT32" i="20"/>
  <c r="AT33" i="20"/>
  <c r="AT34" i="20"/>
  <c r="AT35" i="20"/>
  <c r="AT36" i="20"/>
  <c r="AT37" i="20"/>
  <c r="AT38" i="20"/>
  <c r="AT39" i="20"/>
  <c r="AT40" i="20"/>
  <c r="AT41" i="20"/>
  <c r="AT42" i="20"/>
  <c r="AT44" i="20"/>
  <c r="AT45" i="20"/>
  <c r="AT46" i="20"/>
  <c r="AT47" i="20"/>
  <c r="AT48" i="20"/>
  <c r="AT49" i="20"/>
  <c r="AT50" i="20"/>
  <c r="AT51" i="20"/>
  <c r="AX6" i="20"/>
  <c r="AX7" i="20"/>
  <c r="AX8" i="20"/>
  <c r="AX9" i="20"/>
  <c r="AX10" i="20"/>
  <c r="AX11" i="20"/>
  <c r="AX12" i="20"/>
  <c r="AX13" i="20"/>
  <c r="AX14" i="20"/>
  <c r="AX15" i="20"/>
  <c r="AX16" i="20"/>
  <c r="AX17" i="20"/>
  <c r="AX18" i="20"/>
  <c r="AX19" i="20"/>
  <c r="AX20" i="20"/>
  <c r="AX21" i="20"/>
  <c r="AX22" i="20"/>
  <c r="AX23" i="20"/>
  <c r="AX24" i="20"/>
  <c r="AX25" i="20"/>
  <c r="AX26" i="20"/>
  <c r="AX27" i="20"/>
  <c r="AX28" i="20"/>
  <c r="AX29" i="20"/>
  <c r="AX30" i="20"/>
  <c r="AX31" i="20"/>
  <c r="AX32" i="20"/>
  <c r="AX33" i="20"/>
  <c r="AX34" i="20"/>
  <c r="AX35" i="20"/>
  <c r="AX36" i="20"/>
  <c r="AX37" i="20"/>
  <c r="AX38" i="20"/>
  <c r="AX39" i="20"/>
  <c r="AX40" i="20"/>
  <c r="AX41" i="20"/>
  <c r="AX42" i="20"/>
  <c r="AX44" i="20"/>
  <c r="AX45" i="20"/>
  <c r="AX46" i="20"/>
  <c r="AX47" i="20"/>
  <c r="AX48" i="20"/>
  <c r="AX49" i="20"/>
  <c r="AX50" i="20"/>
  <c r="AX51" i="20"/>
  <c r="BB6" i="20"/>
  <c r="BB7" i="20"/>
  <c r="BB8" i="20"/>
  <c r="BB9" i="20"/>
  <c r="BB10" i="20"/>
  <c r="BB11" i="20"/>
  <c r="BB12" i="20"/>
  <c r="BB13" i="20"/>
  <c r="BB14" i="20"/>
  <c r="BB15" i="20"/>
  <c r="BB16" i="20"/>
  <c r="BB17" i="20"/>
  <c r="BB18" i="20"/>
  <c r="BB19" i="20"/>
  <c r="BB20" i="20"/>
  <c r="BB21" i="20"/>
  <c r="BB22" i="20"/>
  <c r="BB23" i="20"/>
  <c r="BB24" i="20"/>
  <c r="BB25" i="20"/>
  <c r="BB26" i="20"/>
  <c r="BB27" i="20"/>
  <c r="BB28" i="20"/>
  <c r="BB29" i="20"/>
  <c r="BB30" i="20"/>
  <c r="BB31" i="20"/>
  <c r="BB32" i="20"/>
  <c r="BB33" i="20"/>
  <c r="BB34" i="20"/>
  <c r="BB35" i="20"/>
  <c r="BB36" i="20"/>
  <c r="BB37" i="20"/>
  <c r="BB38" i="20"/>
  <c r="BB39" i="20"/>
  <c r="BB40" i="20"/>
  <c r="BB41" i="20"/>
  <c r="BB42" i="20"/>
  <c r="BB44" i="20"/>
  <c r="BB45" i="20"/>
  <c r="BB46" i="20"/>
  <c r="BB47" i="20"/>
  <c r="BB48" i="20"/>
  <c r="BB49" i="20"/>
  <c r="BB50" i="20"/>
  <c r="BB51" i="20"/>
  <c r="AO6" i="20"/>
  <c r="AO7" i="20"/>
  <c r="AO8" i="20"/>
  <c r="AO9" i="20"/>
  <c r="AO10" i="20"/>
  <c r="AO11" i="20"/>
  <c r="AO12" i="20"/>
  <c r="AO13" i="20"/>
  <c r="AO14" i="20"/>
  <c r="AO15" i="20"/>
  <c r="AO16" i="20"/>
  <c r="AO17" i="20"/>
  <c r="AO18" i="20"/>
  <c r="AO19" i="20"/>
  <c r="AO20" i="20"/>
  <c r="AO21" i="20"/>
  <c r="AO22" i="20"/>
  <c r="AO23" i="20"/>
  <c r="AO24" i="20"/>
  <c r="AO25" i="20"/>
  <c r="AO26" i="20"/>
  <c r="AO27" i="20"/>
  <c r="AO28" i="20"/>
  <c r="AO29" i="20"/>
  <c r="AO30" i="20"/>
  <c r="AO31" i="20"/>
  <c r="AO32" i="20"/>
  <c r="AO33" i="20"/>
  <c r="AO34" i="20"/>
  <c r="AO35" i="20"/>
  <c r="AO36" i="20"/>
  <c r="AO37" i="20"/>
  <c r="AO38" i="20"/>
  <c r="AO39" i="20"/>
  <c r="AO40" i="20"/>
  <c r="AO41" i="20"/>
  <c r="AO42" i="20"/>
  <c r="AO44" i="20"/>
  <c r="AO45" i="20"/>
  <c r="AO46" i="20"/>
  <c r="AO47" i="20"/>
  <c r="AO48" i="20"/>
  <c r="AO49" i="20"/>
  <c r="AO50" i="20"/>
  <c r="AO51" i="20"/>
  <c r="AS6" i="20"/>
  <c r="AS7" i="20"/>
  <c r="AS8" i="20"/>
  <c r="AS9" i="20"/>
  <c r="AS10" i="20"/>
  <c r="AS11" i="20"/>
  <c r="AS12" i="20"/>
  <c r="AS13" i="20"/>
  <c r="AS14" i="20"/>
  <c r="AS15" i="20"/>
  <c r="AS16" i="20"/>
  <c r="AS17" i="20"/>
  <c r="AS18" i="20"/>
  <c r="AS19" i="20"/>
  <c r="AS20" i="20"/>
  <c r="AS21" i="20"/>
  <c r="AS22" i="20"/>
  <c r="AS23" i="20"/>
  <c r="AS24" i="20"/>
  <c r="AS25" i="20"/>
  <c r="AS26" i="20"/>
  <c r="AS27" i="20"/>
  <c r="AS28" i="20"/>
  <c r="AS29" i="20"/>
  <c r="AS30" i="20"/>
  <c r="AS31" i="20"/>
  <c r="AS32" i="20"/>
  <c r="AS33" i="20"/>
  <c r="AS34" i="20"/>
  <c r="AS35" i="20"/>
  <c r="AS36" i="20"/>
  <c r="AS37" i="20"/>
  <c r="AS38" i="20"/>
  <c r="AS39" i="20"/>
  <c r="AS40" i="20"/>
  <c r="AS41" i="20"/>
  <c r="AS42" i="20"/>
  <c r="AS44" i="20"/>
  <c r="AS45" i="20"/>
  <c r="AS46" i="20"/>
  <c r="AS47" i="20"/>
  <c r="AS48" i="20"/>
  <c r="AS49" i="20"/>
  <c r="AS50" i="20"/>
  <c r="AS51" i="20"/>
  <c r="AW6" i="20"/>
  <c r="AW7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4" i="20"/>
  <c r="AW45" i="20"/>
  <c r="AW46" i="20"/>
  <c r="AW47" i="20"/>
  <c r="AW48" i="20"/>
  <c r="AW49" i="20"/>
  <c r="AW50" i="20"/>
  <c r="AW51" i="20"/>
  <c r="BA6" i="20"/>
  <c r="BA7" i="20"/>
  <c r="BA8" i="20"/>
  <c r="BA9" i="20"/>
  <c r="BA10" i="20"/>
  <c r="BA11" i="20"/>
  <c r="BA12" i="20"/>
  <c r="BA13" i="20"/>
  <c r="BA14" i="20"/>
  <c r="BA15" i="20"/>
  <c r="BA16" i="20"/>
  <c r="BA17" i="20"/>
  <c r="BA18" i="20"/>
  <c r="BA19" i="20"/>
  <c r="BA20" i="20"/>
  <c r="BA21" i="20"/>
  <c r="BA22" i="20"/>
  <c r="BA23" i="20"/>
  <c r="BA24" i="20"/>
  <c r="BA25" i="20"/>
  <c r="BA26" i="20"/>
  <c r="BA27" i="20"/>
  <c r="BA28" i="20"/>
  <c r="BA29" i="20"/>
  <c r="BA30" i="20"/>
  <c r="BA31" i="20"/>
  <c r="BA32" i="20"/>
  <c r="BA33" i="20"/>
  <c r="BA34" i="20"/>
  <c r="BA35" i="20"/>
  <c r="BA36" i="20"/>
  <c r="BA37" i="20"/>
  <c r="BA38" i="20"/>
  <c r="BA39" i="20"/>
  <c r="BA40" i="20"/>
  <c r="BA41" i="20"/>
  <c r="BA42" i="20"/>
  <c r="BA44" i="20"/>
  <c r="BA45" i="20"/>
  <c r="BA46" i="20"/>
  <c r="BA47" i="20"/>
  <c r="BA48" i="20"/>
  <c r="BA49" i="20"/>
  <c r="BA50" i="20"/>
  <c r="BA51" i="20"/>
  <c r="AN6" i="20"/>
  <c r="AN7" i="20"/>
  <c r="AN8" i="20"/>
  <c r="AN9" i="20"/>
  <c r="AN10" i="20"/>
  <c r="AN11" i="20"/>
  <c r="AN12" i="20"/>
  <c r="AN13" i="20"/>
  <c r="AN14" i="20"/>
  <c r="AN15" i="20"/>
  <c r="AN16" i="20"/>
  <c r="AN17" i="20"/>
  <c r="AN18" i="20"/>
  <c r="AN19" i="20"/>
  <c r="AN20" i="20"/>
  <c r="AN21" i="20"/>
  <c r="AN22" i="20"/>
  <c r="AN23" i="20"/>
  <c r="AN24" i="20"/>
  <c r="AN25" i="20"/>
  <c r="AN26" i="20"/>
  <c r="AN27" i="20"/>
  <c r="AN28" i="20"/>
  <c r="AN29" i="20"/>
  <c r="AN30" i="20"/>
  <c r="AN31" i="20"/>
  <c r="AN32" i="20"/>
  <c r="AN33" i="20"/>
  <c r="AN34" i="20"/>
  <c r="AN35" i="20"/>
  <c r="AN36" i="20"/>
  <c r="AN37" i="20"/>
  <c r="AN38" i="20"/>
  <c r="AN39" i="20"/>
  <c r="AN40" i="20"/>
  <c r="AN41" i="20"/>
  <c r="AN42" i="20"/>
  <c r="AN44" i="20"/>
  <c r="AN45" i="20"/>
  <c r="AN46" i="20"/>
  <c r="AN47" i="20"/>
  <c r="AN48" i="20"/>
  <c r="AN49" i="20"/>
  <c r="AN50" i="20"/>
  <c r="AN51" i="20"/>
  <c r="AR6" i="20"/>
  <c r="AR7" i="20"/>
  <c r="AR8" i="20"/>
  <c r="AR9" i="20"/>
  <c r="AR10" i="20"/>
  <c r="AR11" i="20"/>
  <c r="AR12" i="20"/>
  <c r="AR13" i="20"/>
  <c r="AR14" i="20"/>
  <c r="AR15" i="20"/>
  <c r="AR16" i="20"/>
  <c r="AR17" i="20"/>
  <c r="AR18" i="20"/>
  <c r="AR19" i="20"/>
  <c r="AR20" i="20"/>
  <c r="AR21" i="20"/>
  <c r="AR22" i="20"/>
  <c r="AR23" i="20"/>
  <c r="AR24" i="20"/>
  <c r="AR25" i="20"/>
  <c r="AR26" i="20"/>
  <c r="AR27" i="20"/>
  <c r="AR28" i="20"/>
  <c r="AR29" i="20"/>
  <c r="AR30" i="20"/>
  <c r="AR31" i="20"/>
  <c r="AR32" i="20"/>
  <c r="AR33" i="20"/>
  <c r="AR34" i="20"/>
  <c r="AR35" i="20"/>
  <c r="AR36" i="20"/>
  <c r="AR37" i="20"/>
  <c r="AR38" i="20"/>
  <c r="AR39" i="20"/>
  <c r="AR40" i="20"/>
  <c r="AR41" i="20"/>
  <c r="AR42" i="20"/>
  <c r="AR44" i="20"/>
  <c r="AR45" i="20"/>
  <c r="AR46" i="20"/>
  <c r="AR47" i="20"/>
  <c r="AR48" i="20"/>
  <c r="AR49" i="20"/>
  <c r="AR50" i="20"/>
  <c r="AR51" i="20"/>
  <c r="AV6" i="20"/>
  <c r="AV7" i="20"/>
  <c r="AV8" i="20"/>
  <c r="AV9" i="20"/>
  <c r="AV10" i="20"/>
  <c r="AV11" i="20"/>
  <c r="AV12" i="20"/>
  <c r="AV13" i="20"/>
  <c r="AV14" i="20"/>
  <c r="AV15" i="20"/>
  <c r="AV16" i="20"/>
  <c r="AV17" i="20"/>
  <c r="AV18" i="20"/>
  <c r="AV19" i="20"/>
  <c r="AV20" i="20"/>
  <c r="AV21" i="20"/>
  <c r="AV22" i="20"/>
  <c r="AV23" i="20"/>
  <c r="AV24" i="20"/>
  <c r="AV25" i="20"/>
  <c r="AV26" i="20"/>
  <c r="AV27" i="20"/>
  <c r="AV28" i="20"/>
  <c r="AV29" i="20"/>
  <c r="AV30" i="20"/>
  <c r="AV31" i="20"/>
  <c r="AV32" i="20"/>
  <c r="AV33" i="20"/>
  <c r="AV34" i="20"/>
  <c r="AV35" i="20"/>
  <c r="AV36" i="20"/>
  <c r="AV37" i="20"/>
  <c r="AV38" i="20"/>
  <c r="AV39" i="20"/>
  <c r="AV40" i="20"/>
  <c r="AV41" i="20"/>
  <c r="AV42" i="20"/>
  <c r="AV44" i="20"/>
  <c r="AV45" i="20"/>
  <c r="AV46" i="20"/>
  <c r="AV47" i="20"/>
  <c r="AV48" i="20"/>
  <c r="AV49" i="20"/>
  <c r="AV50" i="20"/>
  <c r="AV51" i="20"/>
  <c r="AZ6" i="20"/>
  <c r="AZ7" i="20"/>
  <c r="AZ8" i="20"/>
  <c r="AZ9" i="20"/>
  <c r="AZ10" i="20"/>
  <c r="AZ11" i="20"/>
  <c r="AZ12" i="20"/>
  <c r="AZ13" i="20"/>
  <c r="AZ14" i="20"/>
  <c r="AZ15" i="20"/>
  <c r="AZ16" i="20"/>
  <c r="AZ17" i="20"/>
  <c r="AZ18" i="20"/>
  <c r="AZ19" i="20"/>
  <c r="AZ20" i="20"/>
  <c r="AZ21" i="20"/>
  <c r="AZ22" i="20"/>
  <c r="AZ23" i="20"/>
  <c r="AZ24" i="20"/>
  <c r="AZ25" i="20"/>
  <c r="AZ26" i="20"/>
  <c r="AZ27" i="20"/>
  <c r="AZ28" i="20"/>
  <c r="AZ29" i="20"/>
  <c r="AZ30" i="20"/>
  <c r="AZ31" i="20"/>
  <c r="AZ32" i="20"/>
  <c r="AZ33" i="20"/>
  <c r="AZ34" i="20"/>
  <c r="AZ35" i="20"/>
  <c r="AZ36" i="20"/>
  <c r="AZ37" i="20"/>
  <c r="AZ38" i="20"/>
  <c r="AZ39" i="20"/>
  <c r="AZ40" i="20"/>
  <c r="AZ41" i="20"/>
  <c r="AZ42" i="20"/>
  <c r="AZ44" i="20"/>
  <c r="AZ45" i="20"/>
  <c r="AZ46" i="20"/>
  <c r="AZ47" i="20"/>
  <c r="AZ48" i="20"/>
  <c r="AZ49" i="20"/>
  <c r="AZ50" i="20"/>
  <c r="AZ51" i="20"/>
  <c r="BD6" i="20"/>
  <c r="BD7" i="20"/>
  <c r="BD8" i="20"/>
  <c r="BD9" i="20"/>
  <c r="BD10" i="20"/>
  <c r="BD11" i="20"/>
  <c r="BD12" i="20"/>
  <c r="BD13" i="20"/>
  <c r="BD14" i="20"/>
  <c r="BD15" i="20"/>
  <c r="BD16" i="20"/>
  <c r="BD17" i="20"/>
  <c r="BD18" i="20"/>
  <c r="BD19" i="20"/>
  <c r="BD20" i="20"/>
  <c r="BD21" i="20"/>
  <c r="BD22" i="20"/>
  <c r="BD23" i="20"/>
  <c r="BD24" i="20"/>
  <c r="BD25" i="20"/>
  <c r="BD26" i="20"/>
  <c r="BD27" i="20"/>
  <c r="BD28" i="20"/>
  <c r="BD29" i="20"/>
  <c r="BD30" i="20"/>
  <c r="BD31" i="20"/>
  <c r="BD32" i="20"/>
  <c r="BD33" i="20"/>
  <c r="BD34" i="20"/>
  <c r="BD35" i="20"/>
  <c r="BD36" i="20"/>
  <c r="BD37" i="20"/>
  <c r="BD38" i="20"/>
  <c r="BD39" i="20"/>
  <c r="BD40" i="20"/>
  <c r="BD41" i="20"/>
  <c r="BD42" i="20"/>
  <c r="BD44" i="20"/>
  <c r="BD45" i="20"/>
  <c r="BD46" i="20"/>
  <c r="BD47" i="20"/>
  <c r="BD48" i="20"/>
  <c r="BD49" i="20"/>
  <c r="BD50" i="20"/>
  <c r="BD51" i="20"/>
  <c r="AG6" i="20"/>
  <c r="AG7" i="20"/>
  <c r="AG8" i="20"/>
  <c r="AG9" i="20"/>
  <c r="AG10" i="20"/>
  <c r="AG11" i="20"/>
  <c r="AG12" i="20"/>
  <c r="AG13" i="20"/>
  <c r="AG14" i="20"/>
  <c r="AG15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29" i="20"/>
  <c r="AG30" i="20"/>
  <c r="AG31" i="20"/>
  <c r="AG32" i="20"/>
  <c r="AG33" i="20"/>
  <c r="AG34" i="20"/>
  <c r="AG35" i="20"/>
  <c r="AG36" i="20"/>
  <c r="AG37" i="20"/>
  <c r="AG38" i="20"/>
  <c r="AG39" i="20"/>
  <c r="AG40" i="20"/>
  <c r="AG41" i="20"/>
  <c r="AG42" i="20"/>
  <c r="AG44" i="20"/>
  <c r="AG45" i="20"/>
  <c r="AG46" i="20"/>
  <c r="AG47" i="20"/>
  <c r="AG48" i="20"/>
  <c r="AG49" i="20"/>
  <c r="AG50" i="20"/>
  <c r="AG51" i="20"/>
  <c r="AE6" i="20"/>
  <c r="AE7" i="20"/>
  <c r="AE8" i="20"/>
  <c r="AE9" i="20"/>
  <c r="AE10" i="20"/>
  <c r="AE11" i="20"/>
  <c r="AE12" i="20"/>
  <c r="AE13" i="20"/>
  <c r="AE14" i="20"/>
  <c r="AE15" i="20"/>
  <c r="AE16" i="20"/>
  <c r="AE17" i="20"/>
  <c r="AE18" i="20"/>
  <c r="AE19" i="20"/>
  <c r="AE20" i="20"/>
  <c r="AE21" i="20"/>
  <c r="AE22" i="20"/>
  <c r="AE23" i="20"/>
  <c r="AE24" i="20"/>
  <c r="AE25" i="20"/>
  <c r="AE26" i="20"/>
  <c r="AE27" i="20"/>
  <c r="AE28" i="20"/>
  <c r="AE29" i="20"/>
  <c r="AE30" i="20"/>
  <c r="AE31" i="20"/>
  <c r="AE32" i="20"/>
  <c r="AE33" i="20"/>
  <c r="AE34" i="20"/>
  <c r="AE35" i="20"/>
  <c r="AE36" i="20"/>
  <c r="AE37" i="20"/>
  <c r="AE38" i="20"/>
  <c r="AE39" i="20"/>
  <c r="AE40" i="20"/>
  <c r="AE41" i="20"/>
  <c r="AE42" i="20"/>
  <c r="AE44" i="20"/>
  <c r="AE45" i="20"/>
  <c r="AE46" i="20"/>
  <c r="AE47" i="20"/>
  <c r="AE48" i="20"/>
  <c r="AE49" i="20"/>
  <c r="AE50" i="20"/>
  <c r="AE51" i="20"/>
  <c r="AA6" i="20"/>
  <c r="AA7" i="20"/>
  <c r="AA8" i="20"/>
  <c r="AA9" i="20"/>
  <c r="AA10" i="20"/>
  <c r="AA11" i="20"/>
  <c r="AA12" i="20"/>
  <c r="AA13" i="20"/>
  <c r="AA14" i="20"/>
  <c r="AA15" i="20"/>
  <c r="AA16" i="20"/>
  <c r="AA17" i="20"/>
  <c r="AA18" i="20"/>
  <c r="AA19" i="20"/>
  <c r="AA20" i="20"/>
  <c r="AA21" i="20"/>
  <c r="AA22" i="20"/>
  <c r="AA23" i="20"/>
  <c r="AA24" i="20"/>
  <c r="AA25" i="20"/>
  <c r="AA26" i="20"/>
  <c r="AA27" i="20"/>
  <c r="AA28" i="20"/>
  <c r="AA29" i="20"/>
  <c r="AA30" i="20"/>
  <c r="AA31" i="20"/>
  <c r="AA32" i="20"/>
  <c r="AA33" i="20"/>
  <c r="AA34" i="20"/>
  <c r="AA35" i="20"/>
  <c r="AA36" i="20"/>
  <c r="AA37" i="20"/>
  <c r="AA38" i="20"/>
  <c r="AA39" i="20"/>
  <c r="AA40" i="20"/>
  <c r="AA41" i="20"/>
  <c r="AA42" i="20"/>
  <c r="AA44" i="20"/>
  <c r="AA45" i="20"/>
  <c r="AA46" i="20"/>
  <c r="AA47" i="20"/>
  <c r="AA48" i="20"/>
  <c r="AA49" i="20"/>
  <c r="AA50" i="20"/>
  <c r="AA51" i="20"/>
  <c r="W6" i="20"/>
  <c r="W7" i="20"/>
  <c r="W8" i="20"/>
  <c r="W9" i="20"/>
  <c r="W10" i="20"/>
  <c r="W11" i="20"/>
  <c r="W12" i="20"/>
  <c r="W13" i="20"/>
  <c r="W14" i="20"/>
  <c r="W15" i="20"/>
  <c r="W16" i="20"/>
  <c r="W17" i="20"/>
  <c r="W18" i="20"/>
  <c r="W19" i="20"/>
  <c r="W20" i="20"/>
  <c r="W21" i="20"/>
  <c r="W22" i="20"/>
  <c r="W23" i="20"/>
  <c r="W24" i="20"/>
  <c r="W25" i="20"/>
  <c r="W26" i="20"/>
  <c r="W27" i="20"/>
  <c r="W28" i="20"/>
  <c r="W29" i="20"/>
  <c r="W30" i="20"/>
  <c r="W31" i="20"/>
  <c r="W32" i="20"/>
  <c r="W33" i="20"/>
  <c r="W34" i="20"/>
  <c r="W35" i="20"/>
  <c r="W36" i="20"/>
  <c r="W37" i="20"/>
  <c r="W38" i="20"/>
  <c r="W39" i="20"/>
  <c r="W40" i="20"/>
  <c r="W41" i="20"/>
  <c r="W42" i="20"/>
  <c r="W44" i="20"/>
  <c r="W45" i="20"/>
  <c r="W46" i="20"/>
  <c r="W47" i="20"/>
  <c r="W48" i="20"/>
  <c r="W49" i="20"/>
  <c r="W50" i="20"/>
  <c r="W51" i="20"/>
  <c r="S6" i="20"/>
  <c r="S7" i="20"/>
  <c r="S8" i="20"/>
  <c r="S9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4" i="20"/>
  <c r="S45" i="20"/>
  <c r="S46" i="20"/>
  <c r="S47" i="20"/>
  <c r="S48" i="20"/>
  <c r="S49" i="20"/>
  <c r="S50" i="20"/>
  <c r="S51" i="20"/>
  <c r="AH6" i="20"/>
  <c r="AH7" i="20"/>
  <c r="AH8" i="20"/>
  <c r="AH9" i="20"/>
  <c r="AH10" i="20"/>
  <c r="AH11" i="20"/>
  <c r="AH12" i="20"/>
  <c r="AH13" i="20"/>
  <c r="AH14" i="20"/>
  <c r="AH15" i="20"/>
  <c r="AH16" i="20"/>
  <c r="AH17" i="20"/>
  <c r="AH18" i="20"/>
  <c r="AH19" i="20"/>
  <c r="AH20" i="20"/>
  <c r="AH21" i="20"/>
  <c r="AH22" i="20"/>
  <c r="AH23" i="20"/>
  <c r="AH24" i="20"/>
  <c r="AH25" i="20"/>
  <c r="AH26" i="20"/>
  <c r="AH27" i="20"/>
  <c r="AH28" i="20"/>
  <c r="AH29" i="20"/>
  <c r="AH30" i="20"/>
  <c r="AH31" i="20"/>
  <c r="AH32" i="20"/>
  <c r="AH33" i="20"/>
  <c r="AH34" i="20"/>
  <c r="AH35" i="20"/>
  <c r="AH36" i="20"/>
  <c r="AH37" i="20"/>
  <c r="AH38" i="20"/>
  <c r="AH39" i="20"/>
  <c r="AH40" i="20"/>
  <c r="AH41" i="20"/>
  <c r="AH42" i="20"/>
  <c r="AH44" i="20"/>
  <c r="AH45" i="20"/>
  <c r="AH46" i="20"/>
  <c r="AH47" i="20"/>
  <c r="AH48" i="20"/>
  <c r="AH49" i="20"/>
  <c r="AH50" i="20"/>
  <c r="AH51" i="20"/>
  <c r="AD6" i="20"/>
  <c r="AD7" i="20"/>
  <c r="AD8" i="20"/>
  <c r="AD9" i="20"/>
  <c r="AD10" i="20"/>
  <c r="AD11" i="20"/>
  <c r="AD12" i="20"/>
  <c r="AD13" i="20"/>
  <c r="AD14" i="20"/>
  <c r="AD15" i="20"/>
  <c r="AD16" i="20"/>
  <c r="AD17" i="20"/>
  <c r="AD18" i="20"/>
  <c r="AD19" i="20"/>
  <c r="AD20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4" i="20"/>
  <c r="AD45" i="20"/>
  <c r="AD46" i="20"/>
  <c r="AD47" i="20"/>
  <c r="AD48" i="20"/>
  <c r="AD49" i="20"/>
  <c r="AD50" i="20"/>
  <c r="AD51" i="20"/>
  <c r="Z6" i="20"/>
  <c r="Z7" i="20"/>
  <c r="Z8" i="20"/>
  <c r="Z9" i="20"/>
  <c r="Z10" i="20"/>
  <c r="Z11" i="20"/>
  <c r="Z12" i="20"/>
  <c r="Z13" i="20"/>
  <c r="Z14" i="20"/>
  <c r="Z15" i="20"/>
  <c r="Z16" i="20"/>
  <c r="Z17" i="20"/>
  <c r="Z18" i="20"/>
  <c r="Z19" i="20"/>
  <c r="Z20" i="20"/>
  <c r="Z21" i="20"/>
  <c r="Z22" i="20"/>
  <c r="Z23" i="20"/>
  <c r="Z24" i="20"/>
  <c r="Z25" i="20"/>
  <c r="Z26" i="20"/>
  <c r="Z27" i="20"/>
  <c r="Z28" i="20"/>
  <c r="Z29" i="20"/>
  <c r="Z30" i="20"/>
  <c r="Z31" i="20"/>
  <c r="Z32" i="20"/>
  <c r="Z33" i="20"/>
  <c r="Z34" i="20"/>
  <c r="Z35" i="20"/>
  <c r="Z36" i="20"/>
  <c r="Z37" i="20"/>
  <c r="Z38" i="20"/>
  <c r="Z39" i="20"/>
  <c r="Z40" i="20"/>
  <c r="Z41" i="20"/>
  <c r="Z42" i="20"/>
  <c r="Z44" i="20"/>
  <c r="Z45" i="20"/>
  <c r="Z46" i="20"/>
  <c r="Z47" i="20"/>
  <c r="Z48" i="20"/>
  <c r="Z49" i="20"/>
  <c r="Z50" i="20"/>
  <c r="Z51" i="20"/>
  <c r="V6" i="20"/>
  <c r="V7" i="20"/>
  <c r="V8" i="20"/>
  <c r="V9" i="20"/>
  <c r="V10" i="20"/>
  <c r="V11" i="20"/>
  <c r="V12" i="20"/>
  <c r="V13" i="20"/>
  <c r="V14" i="20"/>
  <c r="V15" i="20"/>
  <c r="V16" i="20"/>
  <c r="V17" i="20"/>
  <c r="V18" i="20"/>
  <c r="V19" i="20"/>
  <c r="V20" i="20"/>
  <c r="V21" i="20"/>
  <c r="V22" i="20"/>
  <c r="V23" i="20"/>
  <c r="V24" i="20"/>
  <c r="V25" i="20"/>
  <c r="V26" i="20"/>
  <c r="V27" i="20"/>
  <c r="V28" i="20"/>
  <c r="V29" i="20"/>
  <c r="V30" i="20"/>
  <c r="V31" i="20"/>
  <c r="V32" i="20"/>
  <c r="V33" i="20"/>
  <c r="V34" i="20"/>
  <c r="V35" i="20"/>
  <c r="V36" i="20"/>
  <c r="V37" i="20"/>
  <c r="V38" i="20"/>
  <c r="V39" i="20"/>
  <c r="V40" i="20"/>
  <c r="V41" i="20"/>
  <c r="V42" i="20"/>
  <c r="V44" i="20"/>
  <c r="V45" i="20"/>
  <c r="V46" i="20"/>
  <c r="V47" i="20"/>
  <c r="V48" i="20"/>
  <c r="V49" i="20"/>
  <c r="V50" i="20"/>
  <c r="V51" i="20"/>
  <c r="AC6" i="20"/>
  <c r="AC7" i="20"/>
  <c r="AC8" i="20"/>
  <c r="AC9" i="20"/>
  <c r="AC10" i="20"/>
  <c r="AC11" i="20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4" i="20"/>
  <c r="AC45" i="20"/>
  <c r="AC46" i="20"/>
  <c r="AC47" i="20"/>
  <c r="AC48" i="20"/>
  <c r="AC49" i="20"/>
  <c r="AC50" i="20"/>
  <c r="AC51" i="20"/>
  <c r="Y6" i="20"/>
  <c r="Y7" i="20"/>
  <c r="Y8" i="20"/>
  <c r="Y9" i="20"/>
  <c r="Y10" i="20"/>
  <c r="Y11" i="20"/>
  <c r="Y12" i="20"/>
  <c r="Y13" i="20"/>
  <c r="Y14" i="20"/>
  <c r="Y15" i="20"/>
  <c r="Y16" i="20"/>
  <c r="Y17" i="20"/>
  <c r="Y18" i="20"/>
  <c r="Y19" i="20"/>
  <c r="Y20" i="20"/>
  <c r="Y21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Y34" i="20"/>
  <c r="Y35" i="20"/>
  <c r="Y36" i="20"/>
  <c r="Y37" i="20"/>
  <c r="Y38" i="20"/>
  <c r="Y39" i="20"/>
  <c r="Y40" i="20"/>
  <c r="Y41" i="20"/>
  <c r="Y42" i="20"/>
  <c r="Y44" i="20"/>
  <c r="Y45" i="20"/>
  <c r="Y46" i="20"/>
  <c r="Y47" i="20"/>
  <c r="Y48" i="20"/>
  <c r="Y49" i="20"/>
  <c r="Y50" i="20"/>
  <c r="Y51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U35" i="20"/>
  <c r="U36" i="20"/>
  <c r="U37" i="20"/>
  <c r="U38" i="20"/>
  <c r="U39" i="20"/>
  <c r="U40" i="20"/>
  <c r="U41" i="20"/>
  <c r="U42" i="20"/>
  <c r="U44" i="20"/>
  <c r="U45" i="20"/>
  <c r="U46" i="20"/>
  <c r="U47" i="20"/>
  <c r="U48" i="20"/>
  <c r="U49" i="20"/>
  <c r="U50" i="20"/>
  <c r="U51" i="20"/>
  <c r="AJ6" i="20"/>
  <c r="AJ7" i="20"/>
  <c r="AJ8" i="20"/>
  <c r="AJ9" i="20"/>
  <c r="AJ10" i="20"/>
  <c r="AJ11" i="20"/>
  <c r="AJ12" i="20"/>
  <c r="AJ13" i="20"/>
  <c r="AJ14" i="20"/>
  <c r="AJ15" i="20"/>
  <c r="AJ16" i="20"/>
  <c r="AJ17" i="20"/>
  <c r="AJ18" i="20"/>
  <c r="AJ19" i="20"/>
  <c r="AJ20" i="20"/>
  <c r="AJ21" i="20"/>
  <c r="AJ22" i="20"/>
  <c r="AJ23" i="20"/>
  <c r="AJ24" i="20"/>
  <c r="AJ25" i="20"/>
  <c r="AJ26" i="20"/>
  <c r="AJ27" i="20"/>
  <c r="AJ28" i="20"/>
  <c r="AJ29" i="20"/>
  <c r="AJ30" i="20"/>
  <c r="AJ31" i="20"/>
  <c r="AJ32" i="20"/>
  <c r="AJ33" i="20"/>
  <c r="AJ34" i="20"/>
  <c r="AJ35" i="20"/>
  <c r="AJ36" i="20"/>
  <c r="AJ37" i="20"/>
  <c r="AJ38" i="20"/>
  <c r="AJ39" i="20"/>
  <c r="AJ40" i="20"/>
  <c r="AJ41" i="20"/>
  <c r="AJ42" i="20"/>
  <c r="AJ44" i="20"/>
  <c r="AJ45" i="20"/>
  <c r="AJ46" i="20"/>
  <c r="AJ47" i="20"/>
  <c r="AJ48" i="20"/>
  <c r="AJ49" i="20"/>
  <c r="AJ50" i="20"/>
  <c r="AJ51" i="20"/>
  <c r="AF6" i="20"/>
  <c r="AF7" i="20"/>
  <c r="AF8" i="20"/>
  <c r="AF9" i="20"/>
  <c r="AF10" i="20"/>
  <c r="AF11" i="20"/>
  <c r="AF12" i="20"/>
  <c r="AF13" i="20"/>
  <c r="AF14" i="20"/>
  <c r="AF15" i="20"/>
  <c r="AF16" i="20"/>
  <c r="AF17" i="20"/>
  <c r="AF18" i="20"/>
  <c r="AF19" i="20"/>
  <c r="AF20" i="20"/>
  <c r="AF21" i="20"/>
  <c r="AF22" i="20"/>
  <c r="AF23" i="20"/>
  <c r="AF24" i="20"/>
  <c r="AF25" i="20"/>
  <c r="AF26" i="20"/>
  <c r="AF27" i="20"/>
  <c r="AF28" i="20"/>
  <c r="AF29" i="20"/>
  <c r="AF30" i="20"/>
  <c r="AF31" i="20"/>
  <c r="AF32" i="20"/>
  <c r="AF33" i="20"/>
  <c r="AF34" i="20"/>
  <c r="AF35" i="20"/>
  <c r="AF36" i="20"/>
  <c r="AF37" i="20"/>
  <c r="AF38" i="20"/>
  <c r="AF39" i="20"/>
  <c r="AF40" i="20"/>
  <c r="AF41" i="20"/>
  <c r="AF42" i="20"/>
  <c r="AF44" i="20"/>
  <c r="AF45" i="20"/>
  <c r="AF46" i="20"/>
  <c r="AF47" i="20"/>
  <c r="AF48" i="20"/>
  <c r="AF49" i="20"/>
  <c r="AF50" i="20"/>
  <c r="AF51" i="20"/>
  <c r="AB6" i="20"/>
  <c r="AB7" i="20"/>
  <c r="AB8" i="20"/>
  <c r="AB9" i="20"/>
  <c r="AB10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38" i="20"/>
  <c r="AB39" i="20"/>
  <c r="AB40" i="20"/>
  <c r="AB41" i="20"/>
  <c r="AB42" i="20"/>
  <c r="AB44" i="20"/>
  <c r="AB45" i="20"/>
  <c r="AB46" i="20"/>
  <c r="AB47" i="20"/>
  <c r="AB48" i="20"/>
  <c r="AB49" i="20"/>
  <c r="AB50" i="20"/>
  <c r="AB51" i="20"/>
  <c r="X6" i="20"/>
  <c r="X7" i="20"/>
  <c r="X8" i="20"/>
  <c r="X9" i="20"/>
  <c r="X10" i="20"/>
  <c r="X11" i="20"/>
  <c r="X12" i="20"/>
  <c r="X13" i="20"/>
  <c r="X14" i="20"/>
  <c r="X15" i="20"/>
  <c r="X16" i="20"/>
  <c r="X17" i="20"/>
  <c r="X18" i="20"/>
  <c r="X19" i="20"/>
  <c r="X20" i="20"/>
  <c r="X21" i="20"/>
  <c r="X22" i="20"/>
  <c r="X23" i="20"/>
  <c r="X24" i="20"/>
  <c r="X25" i="20"/>
  <c r="X26" i="20"/>
  <c r="X27" i="20"/>
  <c r="X28" i="20"/>
  <c r="X29" i="20"/>
  <c r="X30" i="20"/>
  <c r="X31" i="20"/>
  <c r="X32" i="20"/>
  <c r="X33" i="20"/>
  <c r="X34" i="20"/>
  <c r="X35" i="20"/>
  <c r="X36" i="20"/>
  <c r="X37" i="20"/>
  <c r="X38" i="20"/>
  <c r="X39" i="20"/>
  <c r="X40" i="20"/>
  <c r="X41" i="20"/>
  <c r="X42" i="20"/>
  <c r="X44" i="20"/>
  <c r="X45" i="20"/>
  <c r="X46" i="20"/>
  <c r="X47" i="20"/>
  <c r="X48" i="20"/>
  <c r="X49" i="20"/>
  <c r="X50" i="20"/>
  <c r="X51" i="20"/>
  <c r="T6" i="20"/>
  <c r="T7" i="20"/>
  <c r="T8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2" i="20"/>
  <c r="T33" i="20"/>
  <c r="T34" i="20"/>
  <c r="T35" i="20"/>
  <c r="T36" i="20"/>
  <c r="T37" i="20"/>
  <c r="T38" i="20"/>
  <c r="T39" i="20"/>
  <c r="T40" i="20"/>
  <c r="T41" i="20"/>
  <c r="T42" i="20"/>
  <c r="T44" i="20"/>
  <c r="T45" i="20"/>
  <c r="T46" i="20"/>
  <c r="T47" i="20"/>
  <c r="T48" i="20"/>
  <c r="T49" i="20"/>
  <c r="T50" i="20"/>
  <c r="T51" i="20"/>
  <c r="AI6" i="20"/>
  <c r="AI7" i="20"/>
  <c r="AI8" i="20"/>
  <c r="AI9" i="20"/>
  <c r="AI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44" i="20"/>
  <c r="AI45" i="20"/>
  <c r="AI46" i="20"/>
  <c r="AI47" i="20"/>
  <c r="AI48" i="20"/>
  <c r="AI49" i="20"/>
  <c r="AI50" i="20"/>
  <c r="AI51" i="20"/>
  <c r="R4" i="20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C7" i="12"/>
  <c r="C6" i="12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D5" i="11"/>
  <c r="C7" i="11"/>
  <c r="C6" i="11"/>
  <c r="D6" i="9"/>
  <c r="I6" i="9"/>
  <c r="J6" i="9"/>
  <c r="K6" i="9"/>
  <c r="L6" i="9"/>
  <c r="M6" i="9"/>
  <c r="N6" i="9"/>
  <c r="O6" i="9"/>
  <c r="P6" i="9"/>
  <c r="Q6" i="9"/>
  <c r="R6" i="9"/>
  <c r="S6" i="9"/>
  <c r="T6" i="9"/>
  <c r="U6" i="9"/>
  <c r="R5" i="9"/>
  <c r="S5" i="9"/>
  <c r="T5" i="9"/>
  <c r="U5" i="9"/>
  <c r="O5" i="9"/>
  <c r="P5" i="9"/>
  <c r="Q5" i="9"/>
  <c r="E5" i="9"/>
  <c r="F5" i="9"/>
  <c r="G5" i="9"/>
  <c r="H5" i="9"/>
  <c r="I5" i="9"/>
  <c r="J5" i="9"/>
  <c r="K5" i="9"/>
  <c r="L5" i="9"/>
  <c r="M5" i="9"/>
  <c r="N5" i="9"/>
  <c r="D5" i="9"/>
  <c r="C6" i="9"/>
  <c r="D6" i="8"/>
  <c r="J6" i="8"/>
  <c r="C6" i="8"/>
  <c r="D6" i="36"/>
  <c r="E6" i="36" s="1"/>
  <c r="D6" i="37"/>
  <c r="E6" i="37" s="1"/>
  <c r="D7" i="36"/>
  <c r="E7" i="36" s="1"/>
  <c r="D7" i="37"/>
  <c r="E7" i="37" s="1"/>
  <c r="D8" i="36"/>
  <c r="E8" i="36" s="1"/>
  <c r="D8" i="37"/>
  <c r="E8" i="37" s="1"/>
  <c r="D9" i="36"/>
  <c r="E9" i="36" s="1"/>
  <c r="D9" i="37"/>
  <c r="E9" i="37" s="1"/>
  <c r="D10" i="36"/>
  <c r="E10" i="36" s="1"/>
  <c r="D10" i="37"/>
  <c r="E10" i="37" s="1"/>
  <c r="D11" i="36"/>
  <c r="E11" i="36" s="1"/>
  <c r="D11" i="37"/>
  <c r="E11" i="37" s="1"/>
  <c r="D12" i="36"/>
  <c r="E12" i="36" s="1"/>
  <c r="D12" i="37"/>
  <c r="E12" i="37" s="1"/>
  <c r="D13" i="36"/>
  <c r="E13" i="36" s="1"/>
  <c r="D13" i="37"/>
  <c r="E13" i="37" s="1"/>
  <c r="D14" i="36"/>
  <c r="E14" i="36" s="1"/>
  <c r="D14" i="37"/>
  <c r="E14" i="37" s="1"/>
  <c r="D15" i="36"/>
  <c r="E15" i="36" s="1"/>
  <c r="D15" i="37"/>
  <c r="E15" i="37" s="1"/>
  <c r="D16" i="36"/>
  <c r="E16" i="36" s="1"/>
  <c r="D16" i="37"/>
  <c r="E16" i="37" s="1"/>
  <c r="D17" i="36"/>
  <c r="E17" i="36" s="1"/>
  <c r="D17" i="37"/>
  <c r="E17" i="37" s="1"/>
  <c r="D18" i="36"/>
  <c r="E18" i="36" s="1"/>
  <c r="D18" i="37"/>
  <c r="E18" i="37" s="1"/>
  <c r="D19" i="36"/>
  <c r="E19" i="36" s="1"/>
  <c r="D19" i="37"/>
  <c r="E19" i="37" s="1"/>
  <c r="D20" i="36"/>
  <c r="E20" i="36" s="1"/>
  <c r="D20" i="37"/>
  <c r="E20" i="37" s="1"/>
  <c r="D21" i="36"/>
  <c r="E21" i="36" s="1"/>
  <c r="D21" i="37"/>
  <c r="E21" i="37" s="1"/>
  <c r="D22" i="36"/>
  <c r="E22" i="36" s="1"/>
  <c r="D22" i="37"/>
  <c r="E22" i="37" s="1"/>
  <c r="D23" i="36"/>
  <c r="E23" i="36" s="1"/>
  <c r="D23" i="37"/>
  <c r="E23" i="37" s="1"/>
  <c r="D24" i="36"/>
  <c r="E24" i="36" s="1"/>
  <c r="D24" i="37"/>
  <c r="E24" i="37" s="1"/>
  <c r="D26" i="37"/>
  <c r="D27" i="37"/>
  <c r="D28" i="37"/>
  <c r="D25" i="36"/>
  <c r="D26" i="36"/>
  <c r="D27" i="36"/>
  <c r="E27" i="36" s="1"/>
  <c r="D29" i="37"/>
  <c r="E29" i="37" s="1"/>
  <c r="D28" i="36"/>
  <c r="E28" i="36" s="1"/>
  <c r="D30" i="37"/>
  <c r="E30" i="37" s="1"/>
  <c r="D29" i="36"/>
  <c r="E29" i="36" s="1"/>
  <c r="D31" i="37"/>
  <c r="E31" i="37" s="1"/>
  <c r="D30" i="36"/>
  <c r="E30" i="36" s="1"/>
  <c r="D32" i="37"/>
  <c r="E32" i="37" s="1"/>
  <c r="D31" i="36"/>
  <c r="E31" i="36" s="1"/>
  <c r="D33" i="37"/>
  <c r="E33" i="37" s="1"/>
  <c r="D32" i="36"/>
  <c r="E32" i="36" s="1"/>
  <c r="D34" i="37"/>
  <c r="E34" i="37" s="1"/>
  <c r="D33" i="36"/>
  <c r="E33" i="36" s="1"/>
  <c r="D35" i="37"/>
  <c r="E35" i="37" s="1"/>
  <c r="D34" i="36"/>
  <c r="E34" i="36" s="1"/>
  <c r="D36" i="37"/>
  <c r="E36" i="37" s="1"/>
  <c r="D35" i="36"/>
  <c r="E35" i="36" s="1"/>
  <c r="D37" i="37"/>
  <c r="E37" i="37" s="1"/>
  <c r="D36" i="36"/>
  <c r="E36" i="36" s="1"/>
  <c r="D38" i="37"/>
  <c r="E38" i="37" s="1"/>
  <c r="D37" i="36"/>
  <c r="E37" i="36" s="1"/>
  <c r="D39" i="37"/>
  <c r="E39" i="37" s="1"/>
  <c r="D38" i="36"/>
  <c r="E38" i="36" s="1"/>
  <c r="D40" i="37"/>
  <c r="E40" i="37" s="1"/>
  <c r="D39" i="36"/>
  <c r="E39" i="36" s="1"/>
  <c r="D41" i="37"/>
  <c r="E41" i="37" s="1"/>
  <c r="D40" i="36"/>
  <c r="E40" i="36" s="1"/>
  <c r="D42" i="37"/>
  <c r="E42" i="37" s="1"/>
  <c r="D42" i="36"/>
  <c r="E42" i="36" s="1"/>
  <c r="D44" i="37"/>
  <c r="E44" i="37" s="1"/>
  <c r="D43" i="36"/>
  <c r="E43" i="36" s="1"/>
  <c r="D45" i="37"/>
  <c r="E45" i="37" s="1"/>
  <c r="D46" i="37"/>
  <c r="D44" i="36"/>
  <c r="E44" i="36" s="1"/>
  <c r="D47" i="37"/>
  <c r="E47" i="37" s="1"/>
  <c r="D45" i="36"/>
  <c r="E45" i="36" s="1"/>
  <c r="D48" i="37"/>
  <c r="E48" i="37" s="1"/>
  <c r="D49" i="37"/>
  <c r="D46" i="36"/>
  <c r="E46" i="36" s="1"/>
  <c r="D50" i="37"/>
  <c r="E50" i="37" s="1"/>
  <c r="D47" i="36"/>
  <c r="E47" i="36" s="1"/>
  <c r="D51" i="37"/>
  <c r="E51" i="37" s="1"/>
  <c r="AJ44" i="19" l="1"/>
  <c r="AJ40" i="19"/>
  <c r="AJ36" i="19"/>
  <c r="AJ26" i="19"/>
  <c r="AJ22" i="19"/>
  <c r="AJ18" i="19"/>
  <c r="AJ14" i="19"/>
  <c r="AJ10" i="19"/>
  <c r="AJ8" i="19"/>
  <c r="AJ51" i="19"/>
  <c r="X46" i="19"/>
  <c r="X42" i="19"/>
  <c r="X38" i="19"/>
  <c r="X34" i="19"/>
  <c r="X24" i="19"/>
  <c r="X20" i="19"/>
  <c r="X16" i="19"/>
  <c r="X12" i="19"/>
  <c r="X48" i="19"/>
  <c r="X54" i="19"/>
  <c r="Z44" i="19"/>
  <c r="Z40" i="19"/>
  <c r="Z36" i="19"/>
  <c r="Z26" i="19"/>
  <c r="Z22" i="19"/>
  <c r="Z18" i="19"/>
  <c r="Z14" i="19"/>
  <c r="Z10" i="19"/>
  <c r="Z8" i="19"/>
  <c r="Z51" i="19"/>
  <c r="V43" i="19"/>
  <c r="V39" i="19"/>
  <c r="V35" i="19"/>
  <c r="V25" i="19"/>
  <c r="V21" i="19"/>
  <c r="V17" i="19"/>
  <c r="V54" i="19"/>
  <c r="AJ43" i="19"/>
  <c r="AJ39" i="19"/>
  <c r="AJ35" i="19"/>
  <c r="AJ25" i="19"/>
  <c r="AJ21" i="19"/>
  <c r="AJ17" i="19"/>
  <c r="AJ13" i="19"/>
  <c r="AJ9" i="19"/>
  <c r="AJ55" i="19"/>
  <c r="X45" i="19"/>
  <c r="X41" i="19"/>
  <c r="X37" i="19"/>
  <c r="X33" i="19"/>
  <c r="X23" i="19"/>
  <c r="X19" i="19"/>
  <c r="X15" i="19"/>
  <c r="X11" i="19"/>
  <c r="X52" i="19"/>
  <c r="X49" i="19"/>
  <c r="Z43" i="19"/>
  <c r="Z39" i="19"/>
  <c r="Z35" i="19"/>
  <c r="Z25" i="19"/>
  <c r="Z21" i="19"/>
  <c r="Z17" i="19"/>
  <c r="Z13" i="19"/>
  <c r="Z9" i="19"/>
  <c r="Z55" i="19"/>
  <c r="V46" i="19"/>
  <c r="V42" i="19"/>
  <c r="V38" i="19"/>
  <c r="V34" i="19"/>
  <c r="V24" i="19"/>
  <c r="V20" i="19"/>
  <c r="V15" i="19"/>
  <c r="V49" i="19"/>
  <c r="AJ46" i="19"/>
  <c r="AJ42" i="19"/>
  <c r="AJ38" i="19"/>
  <c r="AJ34" i="19"/>
  <c r="AJ24" i="19"/>
  <c r="AJ20" i="19"/>
  <c r="AJ16" i="19"/>
  <c r="AJ12" i="19"/>
  <c r="AJ48" i="19"/>
  <c r="X44" i="19"/>
  <c r="X40" i="19"/>
  <c r="X36" i="19"/>
  <c r="X26" i="19"/>
  <c r="X22" i="19"/>
  <c r="X18" i="19"/>
  <c r="X14" i="19"/>
  <c r="X10" i="19"/>
  <c r="X8" i="19"/>
  <c r="Z46" i="19"/>
  <c r="Z42" i="19"/>
  <c r="Z38" i="19"/>
  <c r="Z34" i="19"/>
  <c r="Z24" i="19"/>
  <c r="Z20" i="19"/>
  <c r="Z16" i="19"/>
  <c r="Z12" i="19"/>
  <c r="Z48" i="19"/>
  <c r="V45" i="19"/>
  <c r="V41" i="19"/>
  <c r="V37" i="19"/>
  <c r="V33" i="19"/>
  <c r="V23" i="19"/>
  <c r="V19" i="19"/>
  <c r="V12" i="19"/>
  <c r="V10" i="19"/>
  <c r="V51" i="19"/>
  <c r="AH20" i="19"/>
  <c r="AF10" i="19"/>
  <c r="AF18" i="19"/>
  <c r="AD34" i="19"/>
  <c r="AH38" i="19"/>
  <c r="AD15" i="19"/>
  <c r="AF36" i="19"/>
  <c r="AH46" i="19"/>
  <c r="AD42" i="19"/>
  <c r="AF44" i="19"/>
  <c r="AH12" i="19"/>
  <c r="AD52" i="19"/>
  <c r="AF19" i="19"/>
  <c r="AH21" i="19"/>
  <c r="AD45" i="19"/>
  <c r="AD19" i="19"/>
  <c r="AF33" i="19"/>
  <c r="AF8" i="19"/>
  <c r="AH35" i="19"/>
  <c r="AH48" i="19"/>
  <c r="AD33" i="19"/>
  <c r="AD54" i="19"/>
  <c r="E45" i="20"/>
  <c r="E51" i="20"/>
  <c r="E49" i="20"/>
  <c r="E47" i="20"/>
  <c r="E44" i="20"/>
  <c r="E46" i="20"/>
  <c r="E50" i="20"/>
  <c r="E48" i="20"/>
  <c r="AF40" i="19"/>
  <c r="AF22" i="19"/>
  <c r="AF11" i="19"/>
  <c r="AF51" i="19"/>
  <c r="AH42" i="19"/>
  <c r="AH24" i="19"/>
  <c r="AH13" i="19"/>
  <c r="AH54" i="19"/>
  <c r="AD37" i="19"/>
  <c r="AD20" i="19"/>
  <c r="AD11" i="19"/>
  <c r="AF41" i="19"/>
  <c r="AF26" i="19"/>
  <c r="AF14" i="19"/>
  <c r="AF49" i="19"/>
  <c r="AH43" i="19"/>
  <c r="AH34" i="19"/>
  <c r="AH16" i="19"/>
  <c r="AH55" i="19"/>
  <c r="AD41" i="19"/>
  <c r="AD23" i="19"/>
  <c r="AD12" i="19"/>
  <c r="AD49" i="19"/>
  <c r="V14" i="19"/>
  <c r="V52" i="19"/>
  <c r="V16" i="19"/>
  <c r="V11" i="19"/>
  <c r="V8" i="19"/>
  <c r="AF45" i="19"/>
  <c r="AF37" i="19"/>
  <c r="AF23" i="19"/>
  <c r="AF15" i="19"/>
  <c r="AF52" i="19"/>
  <c r="AH39" i="19"/>
  <c r="AH25" i="19"/>
  <c r="AH17" i="19"/>
  <c r="AH9" i="19"/>
  <c r="AD46" i="19"/>
  <c r="AD38" i="19"/>
  <c r="AD24" i="19"/>
  <c r="AD16" i="19"/>
  <c r="AD48" i="19"/>
  <c r="AY10" i="19"/>
  <c r="AQ41" i="19"/>
  <c r="BC15" i="19"/>
  <c r="AQ37" i="19"/>
  <c r="AY26" i="19"/>
  <c r="AQ48" i="19"/>
  <c r="AY44" i="19"/>
  <c r="AY52" i="19"/>
  <c r="AY40" i="19"/>
  <c r="AY18" i="19"/>
  <c r="AU46" i="19"/>
  <c r="AQ19" i="19"/>
  <c r="V13" i="19"/>
  <c r="V9" i="19"/>
  <c r="AY22" i="19"/>
  <c r="AW37" i="19"/>
  <c r="AO38" i="19"/>
  <c r="AY36" i="19"/>
  <c r="AY14" i="19"/>
  <c r="AU24" i="19"/>
  <c r="AQ15" i="19"/>
  <c r="AY8" i="19"/>
  <c r="AY39" i="19"/>
  <c r="AY25" i="19"/>
  <c r="AY21" i="19"/>
  <c r="AY13" i="19"/>
  <c r="AY51" i="19"/>
  <c r="AO16" i="19"/>
  <c r="AY46" i="19"/>
  <c r="AY42" i="19"/>
  <c r="AY38" i="19"/>
  <c r="AY34" i="19"/>
  <c r="AY24" i="19"/>
  <c r="AY20" i="19"/>
  <c r="AY16" i="19"/>
  <c r="AY12" i="19"/>
  <c r="AY55" i="19"/>
  <c r="AY49" i="19"/>
  <c r="AU55" i="19"/>
  <c r="AQ33" i="19"/>
  <c r="AQ11" i="19"/>
  <c r="AW15" i="19"/>
  <c r="AY43" i="19"/>
  <c r="AY35" i="19"/>
  <c r="AY17" i="19"/>
  <c r="AY9" i="19"/>
  <c r="BC37" i="19"/>
  <c r="AY45" i="19"/>
  <c r="AY41" i="19"/>
  <c r="AY37" i="19"/>
  <c r="AY33" i="19"/>
  <c r="AY23" i="19"/>
  <c r="AY19" i="19"/>
  <c r="AY15" i="19"/>
  <c r="AY11" i="19"/>
  <c r="AY54" i="19"/>
  <c r="AQ45" i="19"/>
  <c r="AQ23" i="19"/>
  <c r="AQ54" i="19"/>
  <c r="AO13" i="19"/>
  <c r="AU21" i="19"/>
  <c r="AQ44" i="19"/>
  <c r="AQ36" i="19"/>
  <c r="AQ22" i="19"/>
  <c r="AQ14" i="19"/>
  <c r="AQ52" i="19"/>
  <c r="R6" i="19"/>
  <c r="E34" i="19" s="1"/>
  <c r="AO43" i="19"/>
  <c r="AO21" i="19"/>
  <c r="AO51" i="19"/>
  <c r="AF46" i="19"/>
  <c r="AF42" i="19"/>
  <c r="AF38" i="19"/>
  <c r="AF34" i="19"/>
  <c r="AF24" i="19"/>
  <c r="AF20" i="19"/>
  <c r="AF16" i="19"/>
  <c r="AF12" i="19"/>
  <c r="AF48" i="19"/>
  <c r="AF54" i="19"/>
  <c r="AU35" i="19"/>
  <c r="AU13" i="19"/>
  <c r="AQ46" i="19"/>
  <c r="AQ42" i="19"/>
  <c r="AQ38" i="19"/>
  <c r="AQ34" i="19"/>
  <c r="AQ24" i="19"/>
  <c r="AQ20" i="19"/>
  <c r="AQ16" i="19"/>
  <c r="AQ12" i="19"/>
  <c r="AQ55" i="19"/>
  <c r="AQ49" i="19"/>
  <c r="AH44" i="19"/>
  <c r="AH40" i="19"/>
  <c r="AH36" i="19"/>
  <c r="AH26" i="19"/>
  <c r="AH22" i="19"/>
  <c r="AH18" i="19"/>
  <c r="AH14" i="19"/>
  <c r="AH10" i="19"/>
  <c r="AH8" i="19"/>
  <c r="AH51" i="19"/>
  <c r="AD43" i="19"/>
  <c r="AD39" i="19"/>
  <c r="AD35" i="19"/>
  <c r="AD25" i="19"/>
  <c r="AD21" i="19"/>
  <c r="AD17" i="19"/>
  <c r="AD13" i="19"/>
  <c r="AD9" i="19"/>
  <c r="AD55" i="19"/>
  <c r="AO35" i="19"/>
  <c r="AU43" i="19"/>
  <c r="AU51" i="19"/>
  <c r="AQ40" i="19"/>
  <c r="AQ26" i="19"/>
  <c r="AQ18" i="19"/>
  <c r="AQ10" i="19"/>
  <c r="AO46" i="19"/>
  <c r="AO24" i="19"/>
  <c r="AO55" i="19"/>
  <c r="AF43" i="19"/>
  <c r="AF39" i="19"/>
  <c r="AF35" i="19"/>
  <c r="AF25" i="19"/>
  <c r="AF21" i="19"/>
  <c r="AF17" i="19"/>
  <c r="AF13" i="19"/>
  <c r="AF9" i="19"/>
  <c r="AU38" i="19"/>
  <c r="AU16" i="19"/>
  <c r="AQ8" i="19"/>
  <c r="AQ43" i="19"/>
  <c r="AQ39" i="19"/>
  <c r="AQ35" i="19"/>
  <c r="AQ25" i="19"/>
  <c r="AQ21" i="19"/>
  <c r="AQ17" i="19"/>
  <c r="AQ13" i="19"/>
  <c r="AQ9" i="19"/>
  <c r="AH45" i="19"/>
  <c r="AH41" i="19"/>
  <c r="AH37" i="19"/>
  <c r="AH33" i="19"/>
  <c r="AH23" i="19"/>
  <c r="AH19" i="19"/>
  <c r="AH15" i="19"/>
  <c r="AH11" i="19"/>
  <c r="AH52" i="19"/>
  <c r="AD44" i="19"/>
  <c r="AD40" i="19"/>
  <c r="AD36" i="19"/>
  <c r="AD26" i="19"/>
  <c r="AD22" i="19"/>
  <c r="AD18" i="19"/>
  <c r="AD14" i="19"/>
  <c r="AD10" i="19"/>
  <c r="AD8" i="19"/>
  <c r="AW11" i="19"/>
  <c r="BC11" i="19"/>
  <c r="AW45" i="19"/>
  <c r="AW23" i="19"/>
  <c r="AW54" i="19"/>
  <c r="AO42" i="19"/>
  <c r="AO34" i="19"/>
  <c r="AO20" i="19"/>
  <c r="AO12" i="19"/>
  <c r="AO49" i="19"/>
  <c r="BC45" i="19"/>
  <c r="BC23" i="19"/>
  <c r="BC54" i="19"/>
  <c r="AU42" i="19"/>
  <c r="AU34" i="19"/>
  <c r="AU20" i="19"/>
  <c r="AU12" i="19"/>
  <c r="AU49" i="19"/>
  <c r="AW33" i="19"/>
  <c r="BC33" i="19"/>
  <c r="AW41" i="19"/>
  <c r="AW19" i="19"/>
  <c r="AW48" i="19"/>
  <c r="AO8" i="19"/>
  <c r="AO39" i="19"/>
  <c r="AO25" i="19"/>
  <c r="AO17" i="19"/>
  <c r="AO9" i="19"/>
  <c r="BC41" i="19"/>
  <c r="BC19" i="19"/>
  <c r="BC48" i="19"/>
  <c r="AU8" i="19"/>
  <c r="AU39" i="19"/>
  <c r="AU25" i="19"/>
  <c r="AU17" i="19"/>
  <c r="AU9" i="19"/>
  <c r="AW40" i="19"/>
  <c r="AW26" i="19"/>
  <c r="AW18" i="19"/>
  <c r="AW10" i="19"/>
  <c r="BC40" i="19"/>
  <c r="BC26" i="19"/>
  <c r="BC18" i="19"/>
  <c r="BC10" i="19"/>
  <c r="AW8" i="19"/>
  <c r="AW43" i="19"/>
  <c r="AW39" i="19"/>
  <c r="AW35" i="19"/>
  <c r="AW25" i="19"/>
  <c r="AW21" i="19"/>
  <c r="AW17" i="19"/>
  <c r="AW13" i="19"/>
  <c r="AW9" i="19"/>
  <c r="AW51" i="19"/>
  <c r="AO45" i="19"/>
  <c r="AO41" i="19"/>
  <c r="AO37" i="19"/>
  <c r="AO33" i="19"/>
  <c r="AO23" i="19"/>
  <c r="AO19" i="19"/>
  <c r="AO15" i="19"/>
  <c r="AO11" i="19"/>
  <c r="AO54" i="19"/>
  <c r="AO48" i="19"/>
  <c r="BC8" i="19"/>
  <c r="BC43" i="19"/>
  <c r="BC39" i="19"/>
  <c r="BC35" i="19"/>
  <c r="BC25" i="19"/>
  <c r="BC21" i="19"/>
  <c r="BC17" i="19"/>
  <c r="BC13" i="19"/>
  <c r="BC9" i="19"/>
  <c r="BC51" i="19"/>
  <c r="AU45" i="19"/>
  <c r="AU41" i="19"/>
  <c r="AU37" i="19"/>
  <c r="AU33" i="19"/>
  <c r="AU23" i="19"/>
  <c r="AU19" i="19"/>
  <c r="AU15" i="19"/>
  <c r="AU11" i="19"/>
  <c r="AU54" i="19"/>
  <c r="AU48" i="19"/>
  <c r="AW44" i="19"/>
  <c r="AW36" i="19"/>
  <c r="AW22" i="19"/>
  <c r="AW14" i="19"/>
  <c r="AW52" i="19"/>
  <c r="BC44" i="19"/>
  <c r="BC36" i="19"/>
  <c r="BC22" i="19"/>
  <c r="BC14" i="19"/>
  <c r="BC52" i="19"/>
  <c r="AW46" i="19"/>
  <c r="AW42" i="19"/>
  <c r="AW38" i="19"/>
  <c r="AW34" i="19"/>
  <c r="AW24" i="19"/>
  <c r="AW20" i="19"/>
  <c r="AW16" i="19"/>
  <c r="AW12" i="19"/>
  <c r="AW55" i="19"/>
  <c r="AO44" i="19"/>
  <c r="AO40" i="19"/>
  <c r="AO36" i="19"/>
  <c r="AO26" i="19"/>
  <c r="AO22" i="19"/>
  <c r="AO18" i="19"/>
  <c r="AO14" i="19"/>
  <c r="AO10" i="19"/>
  <c r="BC46" i="19"/>
  <c r="BC42" i="19"/>
  <c r="BC38" i="19"/>
  <c r="BC34" i="19"/>
  <c r="BC24" i="19"/>
  <c r="BC20" i="19"/>
  <c r="BC16" i="19"/>
  <c r="BC12" i="19"/>
  <c r="BC55" i="19"/>
  <c r="AU44" i="19"/>
  <c r="AU40" i="19"/>
  <c r="AU36" i="19"/>
  <c r="AU26" i="19"/>
  <c r="AU22" i="19"/>
  <c r="AU18" i="19"/>
  <c r="AU14" i="19"/>
  <c r="AU10" i="19"/>
  <c r="E49" i="37"/>
  <c r="E53" i="48" s="1"/>
  <c r="D53" i="48"/>
  <c r="E28" i="37"/>
  <c r="E30" i="48" s="1"/>
  <c r="D30" i="48"/>
  <c r="E26" i="37"/>
  <c r="E28" i="48" s="1"/>
  <c r="D28" i="48"/>
  <c r="E46" i="37"/>
  <c r="E50" i="48" s="1"/>
  <c r="D50" i="48"/>
  <c r="E27" i="37"/>
  <c r="E29" i="48" s="1"/>
  <c r="D29" i="48"/>
  <c r="E26" i="36"/>
  <c r="E32" i="48" s="1"/>
  <c r="D32" i="48"/>
  <c r="E25" i="36"/>
  <c r="E31" i="48" s="1"/>
  <c r="D31" i="48"/>
  <c r="BB49" i="19"/>
  <c r="BB51" i="19"/>
  <c r="BB52" i="19"/>
  <c r="BB54" i="19"/>
  <c r="BB55" i="19"/>
  <c r="BB9" i="19"/>
  <c r="BB10" i="19"/>
  <c r="BB11" i="19"/>
  <c r="BB12" i="19"/>
  <c r="BB13" i="19"/>
  <c r="BB14" i="19"/>
  <c r="BB15" i="19"/>
  <c r="BB16" i="19"/>
  <c r="BB17" i="19"/>
  <c r="BB18" i="19"/>
  <c r="BB19" i="19"/>
  <c r="BB20" i="19"/>
  <c r="BB21" i="19"/>
  <c r="BB22" i="19"/>
  <c r="BB23" i="19"/>
  <c r="BB24" i="19"/>
  <c r="BB25" i="19"/>
  <c r="BB26" i="19"/>
  <c r="BB33" i="19"/>
  <c r="BB34" i="19"/>
  <c r="BB35" i="19"/>
  <c r="BB36" i="19"/>
  <c r="BB37" i="19"/>
  <c r="BB38" i="19"/>
  <c r="BB39" i="19"/>
  <c r="BB40" i="19"/>
  <c r="BB48" i="19"/>
  <c r="BB8" i="19"/>
  <c r="BB41" i="19"/>
  <c r="BB42" i="19"/>
  <c r="BB43" i="19"/>
  <c r="BB44" i="19"/>
  <c r="BB45" i="19"/>
  <c r="BB46" i="19"/>
  <c r="AT49" i="19"/>
  <c r="AT51" i="19"/>
  <c r="AT52" i="19"/>
  <c r="AT54" i="19"/>
  <c r="AT55" i="19"/>
  <c r="AT9" i="19"/>
  <c r="AT10" i="19"/>
  <c r="AT11" i="19"/>
  <c r="AT12" i="19"/>
  <c r="AT13" i="19"/>
  <c r="AT14" i="19"/>
  <c r="AT15" i="19"/>
  <c r="AT16" i="19"/>
  <c r="AT17" i="19"/>
  <c r="AT18" i="19"/>
  <c r="AT19" i="19"/>
  <c r="AT20" i="19"/>
  <c r="AT21" i="19"/>
  <c r="AT22" i="19"/>
  <c r="AT23" i="19"/>
  <c r="AT24" i="19"/>
  <c r="AT25" i="19"/>
  <c r="AT26" i="19"/>
  <c r="AT33" i="19"/>
  <c r="AT34" i="19"/>
  <c r="AT35" i="19"/>
  <c r="AT36" i="19"/>
  <c r="AT37" i="19"/>
  <c r="AT38" i="19"/>
  <c r="AT39" i="19"/>
  <c r="AT40" i="19"/>
  <c r="AT48" i="19"/>
  <c r="AT8" i="19"/>
  <c r="AT41" i="19"/>
  <c r="AT42" i="19"/>
  <c r="AT43" i="19"/>
  <c r="AT44" i="19"/>
  <c r="AT45" i="19"/>
  <c r="AT46" i="19"/>
  <c r="AI52" i="19"/>
  <c r="AI48" i="19"/>
  <c r="AI9" i="19"/>
  <c r="AI10" i="19"/>
  <c r="AI11" i="19"/>
  <c r="AI12" i="19"/>
  <c r="AI13" i="19"/>
  <c r="AI14" i="19"/>
  <c r="AI15" i="19"/>
  <c r="AI16" i="19"/>
  <c r="AI17" i="19"/>
  <c r="AI18" i="19"/>
  <c r="AI19" i="19"/>
  <c r="AI20" i="19"/>
  <c r="AI21" i="19"/>
  <c r="AI22" i="19"/>
  <c r="AI23" i="19"/>
  <c r="AI24" i="19"/>
  <c r="AI25" i="19"/>
  <c r="AI26" i="19"/>
  <c r="AI33" i="19"/>
  <c r="AI34" i="19"/>
  <c r="AI35" i="19"/>
  <c r="AI36" i="19"/>
  <c r="AI37" i="19"/>
  <c r="AI38" i="19"/>
  <c r="AI39" i="19"/>
  <c r="AI40" i="19"/>
  <c r="AI41" i="19"/>
  <c r="AI42" i="19"/>
  <c r="AI43" i="19"/>
  <c r="AI44" i="19"/>
  <c r="AI45" i="19"/>
  <c r="AI46" i="19"/>
  <c r="AI51" i="19"/>
  <c r="AI49" i="19"/>
  <c r="AI54" i="19"/>
  <c r="AI55" i="19"/>
  <c r="AI8" i="19"/>
  <c r="AA52" i="19"/>
  <c r="AA48" i="19"/>
  <c r="AA9" i="19"/>
  <c r="AA10" i="19"/>
  <c r="AA11" i="19"/>
  <c r="AA12" i="19"/>
  <c r="AA13" i="19"/>
  <c r="AA14" i="19"/>
  <c r="AA15" i="19"/>
  <c r="AA16" i="19"/>
  <c r="AA17" i="19"/>
  <c r="AA18" i="19"/>
  <c r="AA19" i="19"/>
  <c r="AA20" i="19"/>
  <c r="AA21" i="19"/>
  <c r="AA22" i="19"/>
  <c r="AA23" i="19"/>
  <c r="AA24" i="19"/>
  <c r="AA25" i="19"/>
  <c r="AA26" i="19"/>
  <c r="AA33" i="19"/>
  <c r="AA34" i="19"/>
  <c r="AA35" i="19"/>
  <c r="AA36" i="19"/>
  <c r="AA37" i="19"/>
  <c r="AA38" i="19"/>
  <c r="AA39" i="19"/>
  <c r="AA40" i="19"/>
  <c r="AA41" i="19"/>
  <c r="AA42" i="19"/>
  <c r="AA43" i="19"/>
  <c r="AA44" i="19"/>
  <c r="AA45" i="19"/>
  <c r="AA46" i="19"/>
  <c r="AA51" i="19"/>
  <c r="AA49" i="19"/>
  <c r="AA54" i="19"/>
  <c r="AA55" i="19"/>
  <c r="AA8" i="19"/>
  <c r="E43" i="19"/>
  <c r="E45" i="19"/>
  <c r="AZ49" i="19"/>
  <c r="AZ51" i="19"/>
  <c r="AZ52" i="19"/>
  <c r="AZ54" i="19"/>
  <c r="AZ55" i="19"/>
  <c r="AZ9" i="19"/>
  <c r="AZ10" i="19"/>
  <c r="AZ11" i="19"/>
  <c r="AZ12" i="19"/>
  <c r="AZ13" i="19"/>
  <c r="AZ14" i="19"/>
  <c r="AZ15" i="19"/>
  <c r="AZ16" i="19"/>
  <c r="AZ17" i="19"/>
  <c r="AZ18" i="19"/>
  <c r="AZ19" i="19"/>
  <c r="AZ20" i="19"/>
  <c r="AZ21" i="19"/>
  <c r="AZ22" i="19"/>
  <c r="AZ23" i="19"/>
  <c r="AZ24" i="19"/>
  <c r="AZ25" i="19"/>
  <c r="AZ26" i="19"/>
  <c r="AZ33" i="19"/>
  <c r="AZ34" i="19"/>
  <c r="AZ35" i="19"/>
  <c r="AZ36" i="19"/>
  <c r="AZ37" i="19"/>
  <c r="AZ38" i="19"/>
  <c r="AZ39" i="19"/>
  <c r="AZ40" i="19"/>
  <c r="AZ48" i="19"/>
  <c r="AZ8" i="19"/>
  <c r="AZ41" i="19"/>
  <c r="AZ42" i="19"/>
  <c r="AZ43" i="19"/>
  <c r="AZ44" i="19"/>
  <c r="AZ45" i="19"/>
  <c r="AZ46" i="19"/>
  <c r="AR49" i="19"/>
  <c r="AR51" i="19"/>
  <c r="AR52" i="19"/>
  <c r="AR54" i="19"/>
  <c r="AR55" i="19"/>
  <c r="AR9" i="19"/>
  <c r="AR10" i="19"/>
  <c r="AR11" i="19"/>
  <c r="AR12" i="19"/>
  <c r="AR13" i="19"/>
  <c r="AR14" i="19"/>
  <c r="AR15" i="19"/>
  <c r="AR16" i="19"/>
  <c r="AR17" i="19"/>
  <c r="AR18" i="19"/>
  <c r="AR19" i="19"/>
  <c r="AR20" i="19"/>
  <c r="AR21" i="19"/>
  <c r="AR22" i="19"/>
  <c r="AR23" i="19"/>
  <c r="AR24" i="19"/>
  <c r="AR25" i="19"/>
  <c r="AR26" i="19"/>
  <c r="AR33" i="19"/>
  <c r="AR34" i="19"/>
  <c r="AR35" i="19"/>
  <c r="AR36" i="19"/>
  <c r="AR37" i="19"/>
  <c r="AR38" i="19"/>
  <c r="AR39" i="19"/>
  <c r="AR40" i="19"/>
  <c r="AR41" i="19"/>
  <c r="AR48" i="19"/>
  <c r="AR8" i="19"/>
  <c r="AR42" i="19"/>
  <c r="AR43" i="19"/>
  <c r="AR44" i="19"/>
  <c r="AR45" i="19"/>
  <c r="AR46" i="19"/>
  <c r="AG52" i="19"/>
  <c r="AG48" i="19"/>
  <c r="AG9" i="19"/>
  <c r="AG10" i="19"/>
  <c r="AG11" i="19"/>
  <c r="AG12" i="19"/>
  <c r="AG13" i="19"/>
  <c r="AG14" i="19"/>
  <c r="AG15" i="19"/>
  <c r="AG16" i="19"/>
  <c r="AG17" i="19"/>
  <c r="AG18" i="19"/>
  <c r="AG19" i="19"/>
  <c r="AG20" i="19"/>
  <c r="AG21" i="19"/>
  <c r="AG22" i="19"/>
  <c r="AG23" i="19"/>
  <c r="AG24" i="19"/>
  <c r="AG25" i="19"/>
  <c r="AG26" i="19"/>
  <c r="AG33" i="19"/>
  <c r="AG34" i="19"/>
  <c r="AG35" i="19"/>
  <c r="AG36" i="19"/>
  <c r="AG37" i="19"/>
  <c r="AG38" i="19"/>
  <c r="AG39" i="19"/>
  <c r="AG40" i="19"/>
  <c r="AG41" i="19"/>
  <c r="AG42" i="19"/>
  <c r="AG43" i="19"/>
  <c r="AG44" i="19"/>
  <c r="AG45" i="19"/>
  <c r="AG46" i="19"/>
  <c r="AG51" i="19"/>
  <c r="AG49" i="19"/>
  <c r="AG54" i="19"/>
  <c r="AG55" i="19"/>
  <c r="AG8" i="19"/>
  <c r="Y52" i="19"/>
  <c r="Y48" i="19"/>
  <c r="Y9" i="19"/>
  <c r="Y10" i="19"/>
  <c r="Y11" i="19"/>
  <c r="Y12" i="19"/>
  <c r="Y13" i="19"/>
  <c r="Y14" i="19"/>
  <c r="Y15" i="19"/>
  <c r="Y16" i="19"/>
  <c r="Y17" i="19"/>
  <c r="Y18" i="19"/>
  <c r="Y19" i="19"/>
  <c r="Y20" i="19"/>
  <c r="Y21" i="19"/>
  <c r="Y22" i="19"/>
  <c r="Y23" i="19"/>
  <c r="Y24" i="19"/>
  <c r="Y25" i="19"/>
  <c r="Y26" i="19"/>
  <c r="Y33" i="19"/>
  <c r="Y34" i="19"/>
  <c r="Y35" i="19"/>
  <c r="Y36" i="19"/>
  <c r="Y37" i="19"/>
  <c r="Y38" i="19"/>
  <c r="Y39" i="19"/>
  <c r="Y40" i="19"/>
  <c r="Y41" i="19"/>
  <c r="Y42" i="19"/>
  <c r="Y43" i="19"/>
  <c r="Y44" i="19"/>
  <c r="Y45" i="19"/>
  <c r="Y46" i="19"/>
  <c r="Y51" i="19"/>
  <c r="Y49" i="19"/>
  <c r="Y54" i="19"/>
  <c r="Y55" i="19"/>
  <c r="Y8" i="19"/>
  <c r="AX49" i="19"/>
  <c r="AX51" i="19"/>
  <c r="AX52" i="19"/>
  <c r="AX54" i="19"/>
  <c r="AX55" i="19"/>
  <c r="AX9" i="19"/>
  <c r="AX10" i="19"/>
  <c r="AX11" i="19"/>
  <c r="AX12" i="19"/>
  <c r="AX13" i="19"/>
  <c r="AX14" i="19"/>
  <c r="AX15" i="19"/>
  <c r="AX16" i="19"/>
  <c r="AX17" i="19"/>
  <c r="AX18" i="19"/>
  <c r="AX19" i="19"/>
  <c r="AX20" i="19"/>
  <c r="AX21" i="19"/>
  <c r="AX22" i="19"/>
  <c r="AX23" i="19"/>
  <c r="AX24" i="19"/>
  <c r="AX25" i="19"/>
  <c r="AX26" i="19"/>
  <c r="AX33" i="19"/>
  <c r="AX34" i="19"/>
  <c r="AX35" i="19"/>
  <c r="AX36" i="19"/>
  <c r="AX37" i="19"/>
  <c r="AX38" i="19"/>
  <c r="AX39" i="19"/>
  <c r="AX40" i="19"/>
  <c r="AX48" i="19"/>
  <c r="AX8" i="19"/>
  <c r="AX41" i="19"/>
  <c r="AX42" i="19"/>
  <c r="AX43" i="19"/>
  <c r="AX44" i="19"/>
  <c r="AX45" i="19"/>
  <c r="AX46" i="19"/>
  <c r="AP49" i="19"/>
  <c r="AP51" i="19"/>
  <c r="AP52" i="19"/>
  <c r="AP54" i="19"/>
  <c r="AP55" i="19"/>
  <c r="AP9" i="19"/>
  <c r="AP10" i="19"/>
  <c r="AP11" i="19"/>
  <c r="AP12" i="19"/>
  <c r="AP13" i="19"/>
  <c r="AP14" i="19"/>
  <c r="AP15" i="19"/>
  <c r="AP16" i="19"/>
  <c r="AP17" i="19"/>
  <c r="AP18" i="19"/>
  <c r="AP19" i="19"/>
  <c r="AP20" i="19"/>
  <c r="AP21" i="19"/>
  <c r="AP22" i="19"/>
  <c r="AP23" i="19"/>
  <c r="AP24" i="19"/>
  <c r="AP25" i="19"/>
  <c r="AP26" i="19"/>
  <c r="AP33" i="19"/>
  <c r="AP34" i="19"/>
  <c r="AP35" i="19"/>
  <c r="AP36" i="19"/>
  <c r="AP37" i="19"/>
  <c r="AP38" i="19"/>
  <c r="AP39" i="19"/>
  <c r="AP40" i="19"/>
  <c r="AP41" i="19"/>
  <c r="AP48" i="19"/>
  <c r="AP8" i="19"/>
  <c r="AP42" i="19"/>
  <c r="AP43" i="19"/>
  <c r="AP44" i="19"/>
  <c r="AP45" i="19"/>
  <c r="AP46" i="19"/>
  <c r="AE52" i="19"/>
  <c r="AE48" i="19"/>
  <c r="AE9" i="19"/>
  <c r="AE10" i="19"/>
  <c r="AE11" i="19"/>
  <c r="AE12" i="19"/>
  <c r="AE13" i="19"/>
  <c r="AE14" i="19"/>
  <c r="AE15" i="19"/>
  <c r="AE16" i="19"/>
  <c r="AE17" i="19"/>
  <c r="AE18" i="19"/>
  <c r="AE19" i="19"/>
  <c r="AE20" i="19"/>
  <c r="AE21" i="19"/>
  <c r="AE22" i="19"/>
  <c r="AE23" i="19"/>
  <c r="AE24" i="19"/>
  <c r="AE25" i="19"/>
  <c r="AE26" i="19"/>
  <c r="AE33" i="19"/>
  <c r="AE34" i="19"/>
  <c r="AE35" i="19"/>
  <c r="AE36" i="19"/>
  <c r="AE37" i="19"/>
  <c r="AE38" i="19"/>
  <c r="AE39" i="19"/>
  <c r="AE40" i="19"/>
  <c r="AE41" i="19"/>
  <c r="AE42" i="19"/>
  <c r="AE43" i="19"/>
  <c r="AE44" i="19"/>
  <c r="AE45" i="19"/>
  <c r="AE46" i="19"/>
  <c r="AE51" i="19"/>
  <c r="AE49" i="19"/>
  <c r="AE54" i="19"/>
  <c r="AE55" i="19"/>
  <c r="AE8" i="19"/>
  <c r="W52" i="19"/>
  <c r="W48" i="19"/>
  <c r="W9" i="19"/>
  <c r="W10" i="19"/>
  <c r="W11" i="19"/>
  <c r="W12" i="19"/>
  <c r="W13" i="19"/>
  <c r="W14" i="19"/>
  <c r="W15" i="19"/>
  <c r="W16" i="19"/>
  <c r="W17" i="19"/>
  <c r="W18" i="19"/>
  <c r="W19" i="19"/>
  <c r="W20" i="19"/>
  <c r="W21" i="19"/>
  <c r="W22" i="19"/>
  <c r="W23" i="19"/>
  <c r="W24" i="19"/>
  <c r="W25" i="19"/>
  <c r="W26" i="19"/>
  <c r="W33" i="19"/>
  <c r="W34" i="19"/>
  <c r="W35" i="19"/>
  <c r="W36" i="19"/>
  <c r="W37" i="19"/>
  <c r="W38" i="19"/>
  <c r="W39" i="19"/>
  <c r="W40" i="19"/>
  <c r="W41" i="19"/>
  <c r="W42" i="19"/>
  <c r="W43" i="19"/>
  <c r="W44" i="19"/>
  <c r="W45" i="19"/>
  <c r="W46" i="19"/>
  <c r="W51" i="19"/>
  <c r="W49" i="19"/>
  <c r="W54" i="19"/>
  <c r="W55" i="19"/>
  <c r="W8" i="19"/>
  <c r="S52" i="19"/>
  <c r="S48" i="19"/>
  <c r="S9" i="19"/>
  <c r="S10" i="19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26" i="19"/>
  <c r="S33" i="19"/>
  <c r="S34" i="19"/>
  <c r="S35" i="19"/>
  <c r="S36" i="19"/>
  <c r="S37" i="19"/>
  <c r="S38" i="19"/>
  <c r="S39" i="19"/>
  <c r="S40" i="19"/>
  <c r="S41" i="19"/>
  <c r="S42" i="19"/>
  <c r="S43" i="19"/>
  <c r="S44" i="19"/>
  <c r="S45" i="19"/>
  <c r="S46" i="19"/>
  <c r="S49" i="19"/>
  <c r="S51" i="19"/>
  <c r="S54" i="19"/>
  <c r="S55" i="19"/>
  <c r="S8" i="19"/>
  <c r="BD49" i="19"/>
  <c r="BD51" i="19"/>
  <c r="BD52" i="19"/>
  <c r="BD54" i="19"/>
  <c r="BD55" i="19"/>
  <c r="BD9" i="19"/>
  <c r="BD10" i="19"/>
  <c r="BD11" i="19"/>
  <c r="BD12" i="19"/>
  <c r="BD13" i="19"/>
  <c r="BD14" i="19"/>
  <c r="BD15" i="19"/>
  <c r="BD16" i="19"/>
  <c r="BD17" i="19"/>
  <c r="BD18" i="19"/>
  <c r="BD19" i="19"/>
  <c r="BD20" i="19"/>
  <c r="BD21" i="19"/>
  <c r="BD22" i="19"/>
  <c r="BD23" i="19"/>
  <c r="BD24" i="19"/>
  <c r="BD25" i="19"/>
  <c r="BD26" i="19"/>
  <c r="BD33" i="19"/>
  <c r="BD34" i="19"/>
  <c r="BD35" i="19"/>
  <c r="BD36" i="19"/>
  <c r="BD37" i="19"/>
  <c r="BD38" i="19"/>
  <c r="BD39" i="19"/>
  <c r="BD40" i="19"/>
  <c r="BD48" i="19"/>
  <c r="BD8" i="19"/>
  <c r="BD41" i="19"/>
  <c r="BD42" i="19"/>
  <c r="BD43" i="19"/>
  <c r="BD44" i="19"/>
  <c r="BD45" i="19"/>
  <c r="BD46" i="19"/>
  <c r="AV49" i="19"/>
  <c r="AV51" i="19"/>
  <c r="AV52" i="19"/>
  <c r="AV54" i="19"/>
  <c r="AV55" i="19"/>
  <c r="AV9" i="19"/>
  <c r="AV10" i="19"/>
  <c r="AV11" i="19"/>
  <c r="AV12" i="19"/>
  <c r="AV13" i="19"/>
  <c r="AV14" i="19"/>
  <c r="AV15" i="19"/>
  <c r="AV16" i="19"/>
  <c r="AV17" i="19"/>
  <c r="AV18" i="19"/>
  <c r="AV19" i="19"/>
  <c r="AV20" i="19"/>
  <c r="AV21" i="19"/>
  <c r="AV22" i="19"/>
  <c r="AV23" i="19"/>
  <c r="AV24" i="19"/>
  <c r="AV25" i="19"/>
  <c r="AV26" i="19"/>
  <c r="AV33" i="19"/>
  <c r="AV34" i="19"/>
  <c r="AV35" i="19"/>
  <c r="AV36" i="19"/>
  <c r="AV37" i="19"/>
  <c r="AV38" i="19"/>
  <c r="AV39" i="19"/>
  <c r="AV40" i="19"/>
  <c r="AV48" i="19"/>
  <c r="AV41" i="19"/>
  <c r="AV8" i="19"/>
  <c r="AV42" i="19"/>
  <c r="AV43" i="19"/>
  <c r="AV44" i="19"/>
  <c r="AV45" i="19"/>
  <c r="AV46" i="19"/>
  <c r="AN49" i="19"/>
  <c r="AN51" i="19"/>
  <c r="AN52" i="19"/>
  <c r="AN54" i="19"/>
  <c r="AN55" i="19"/>
  <c r="AN9" i="19"/>
  <c r="AN10" i="19"/>
  <c r="AN11" i="19"/>
  <c r="AN12" i="19"/>
  <c r="AN13" i="19"/>
  <c r="AN14" i="19"/>
  <c r="AN15" i="19"/>
  <c r="AN16" i="19"/>
  <c r="AN17" i="19"/>
  <c r="AN18" i="19"/>
  <c r="AN19" i="19"/>
  <c r="AN20" i="19"/>
  <c r="AN21" i="19"/>
  <c r="AN22" i="19"/>
  <c r="AN23" i="19"/>
  <c r="AN24" i="19"/>
  <c r="AN25" i="19"/>
  <c r="AN26" i="19"/>
  <c r="AN33" i="19"/>
  <c r="AN34" i="19"/>
  <c r="AN35" i="19"/>
  <c r="AN36" i="19"/>
  <c r="AN37" i="19"/>
  <c r="AN38" i="19"/>
  <c r="AN39" i="19"/>
  <c r="AN40" i="19"/>
  <c r="AN41" i="19"/>
  <c r="AN48" i="19"/>
  <c r="AN8" i="19"/>
  <c r="AN42" i="19"/>
  <c r="AN43" i="19"/>
  <c r="AN44" i="19"/>
  <c r="AN45" i="19"/>
  <c r="AN46" i="19"/>
  <c r="AC52" i="19"/>
  <c r="AC48" i="19"/>
  <c r="AC9" i="19"/>
  <c r="AC10" i="19"/>
  <c r="AC11" i="19"/>
  <c r="AC12" i="19"/>
  <c r="AC13" i="19"/>
  <c r="AC14" i="19"/>
  <c r="AC15" i="19"/>
  <c r="AC16" i="19"/>
  <c r="AC17" i="19"/>
  <c r="AC18" i="19"/>
  <c r="AC19" i="19"/>
  <c r="AC20" i="19"/>
  <c r="AC21" i="19"/>
  <c r="AC22" i="19"/>
  <c r="AC23" i="19"/>
  <c r="AC24" i="19"/>
  <c r="AC25" i="19"/>
  <c r="AC26" i="19"/>
  <c r="AC33" i="19"/>
  <c r="AC34" i="19"/>
  <c r="AC35" i="19"/>
  <c r="AC36" i="19"/>
  <c r="AC37" i="19"/>
  <c r="AC38" i="19"/>
  <c r="AC39" i="19"/>
  <c r="AC40" i="19"/>
  <c r="AC41" i="19"/>
  <c r="AC42" i="19"/>
  <c r="AC43" i="19"/>
  <c r="AC44" i="19"/>
  <c r="AC45" i="19"/>
  <c r="AC46" i="19"/>
  <c r="AC51" i="19"/>
  <c r="AC49" i="19"/>
  <c r="AC54" i="19"/>
  <c r="AC55" i="19"/>
  <c r="AC8" i="19"/>
  <c r="U52" i="19"/>
  <c r="U48" i="19"/>
  <c r="U9" i="19"/>
  <c r="U10" i="19"/>
  <c r="U11" i="19"/>
  <c r="U12" i="19"/>
  <c r="U13" i="19"/>
  <c r="U14" i="19"/>
  <c r="U15" i="19"/>
  <c r="U16" i="19"/>
  <c r="U17" i="19"/>
  <c r="U18" i="19"/>
  <c r="U19" i="19"/>
  <c r="U20" i="19"/>
  <c r="U21" i="19"/>
  <c r="U22" i="19"/>
  <c r="U23" i="19"/>
  <c r="U24" i="19"/>
  <c r="U25" i="19"/>
  <c r="U26" i="19"/>
  <c r="U33" i="19"/>
  <c r="U34" i="19"/>
  <c r="U35" i="19"/>
  <c r="U36" i="19"/>
  <c r="U37" i="19"/>
  <c r="U38" i="19"/>
  <c r="U39" i="19"/>
  <c r="U40" i="19"/>
  <c r="U41" i="19"/>
  <c r="U42" i="19"/>
  <c r="U43" i="19"/>
  <c r="U44" i="19"/>
  <c r="U45" i="19"/>
  <c r="U46" i="19"/>
  <c r="U51" i="19"/>
  <c r="U49" i="19"/>
  <c r="U54" i="19"/>
  <c r="U55" i="19"/>
  <c r="U8" i="19"/>
  <c r="AM48" i="19"/>
  <c r="AM49" i="19"/>
  <c r="AM51" i="19"/>
  <c r="AM52" i="19"/>
  <c r="AM54" i="19"/>
  <c r="AM55" i="19"/>
  <c r="AM9" i="19"/>
  <c r="AM10" i="19"/>
  <c r="AM11" i="19"/>
  <c r="AM12" i="19"/>
  <c r="AM13" i="19"/>
  <c r="AM14" i="19"/>
  <c r="AM15" i="19"/>
  <c r="AM16" i="19"/>
  <c r="AM17" i="19"/>
  <c r="AM18" i="19"/>
  <c r="AM19" i="19"/>
  <c r="AM20" i="19"/>
  <c r="AM21" i="19"/>
  <c r="AM22" i="19"/>
  <c r="AM23" i="19"/>
  <c r="AM24" i="19"/>
  <c r="AM25" i="19"/>
  <c r="AM26" i="19"/>
  <c r="AM33" i="19"/>
  <c r="AM34" i="19"/>
  <c r="AM35" i="19"/>
  <c r="AM36" i="19"/>
  <c r="AM37" i="19"/>
  <c r="AM38" i="19"/>
  <c r="AM39" i="19"/>
  <c r="AM40" i="19"/>
  <c r="AM41" i="19"/>
  <c r="AM42" i="19"/>
  <c r="AM43" i="19"/>
  <c r="AM44" i="19"/>
  <c r="AM45" i="19"/>
  <c r="AM46" i="19"/>
  <c r="AM8" i="19"/>
  <c r="AL6" i="19"/>
  <c r="T47" i="43"/>
  <c r="T45" i="43"/>
  <c r="T43" i="43"/>
  <c r="T40" i="43"/>
  <c r="T38" i="43"/>
  <c r="T48" i="43"/>
  <c r="T46" i="43"/>
  <c r="T44" i="43"/>
  <c r="T41" i="43"/>
  <c r="T39" i="43"/>
  <c r="T37" i="43"/>
  <c r="T36" i="43"/>
  <c r="T34" i="43"/>
  <c r="T32" i="43"/>
  <c r="T30" i="43"/>
  <c r="T28" i="43"/>
  <c r="T26" i="43"/>
  <c r="T24" i="43"/>
  <c r="T22" i="43"/>
  <c r="T20" i="43"/>
  <c r="T18" i="43"/>
  <c r="T16" i="43"/>
  <c r="T14" i="43"/>
  <c r="T12" i="43"/>
  <c r="T35" i="43"/>
  <c r="T33" i="43"/>
  <c r="T31" i="43"/>
  <c r="T29" i="43"/>
  <c r="T27" i="43"/>
  <c r="T25" i="43"/>
  <c r="T23" i="43"/>
  <c r="T21" i="43"/>
  <c r="T19" i="43"/>
  <c r="T17" i="43"/>
  <c r="T15" i="43"/>
  <c r="T13" i="43"/>
  <c r="T11" i="43"/>
  <c r="T10" i="43"/>
  <c r="T8" i="43"/>
  <c r="T9" i="43"/>
  <c r="T7" i="43"/>
  <c r="F47" i="43"/>
  <c r="F45" i="43"/>
  <c r="F43" i="43"/>
  <c r="F40" i="43"/>
  <c r="F38" i="43"/>
  <c r="F36" i="43"/>
  <c r="F34" i="43"/>
  <c r="F32" i="43"/>
  <c r="F30" i="43"/>
  <c r="F28" i="43"/>
  <c r="F27" i="43"/>
  <c r="F25" i="43"/>
  <c r="F23" i="43"/>
  <c r="F21" i="43"/>
  <c r="F19" i="43"/>
  <c r="F17" i="43"/>
  <c r="F15" i="43"/>
  <c r="F13" i="43"/>
  <c r="F11" i="43"/>
  <c r="F9" i="43"/>
  <c r="F7" i="43"/>
  <c r="F48" i="43"/>
  <c r="F46" i="43"/>
  <c r="F44" i="43"/>
  <c r="F41" i="43"/>
  <c r="F39" i="43"/>
  <c r="F37" i="43"/>
  <c r="F35" i="43"/>
  <c r="F33" i="43"/>
  <c r="F31" i="43"/>
  <c r="F29" i="43"/>
  <c r="F26" i="43"/>
  <c r="F24" i="43"/>
  <c r="F22" i="43"/>
  <c r="F20" i="43"/>
  <c r="F18" i="43"/>
  <c r="F16" i="43"/>
  <c r="F14" i="43"/>
  <c r="F12" i="43"/>
  <c r="F10" i="43"/>
  <c r="F8" i="43"/>
  <c r="J47" i="43"/>
  <c r="J45" i="43"/>
  <c r="J43" i="43"/>
  <c r="J40" i="43"/>
  <c r="J38" i="43"/>
  <c r="J48" i="43"/>
  <c r="J46" i="43"/>
  <c r="J44" i="43"/>
  <c r="J41" i="43"/>
  <c r="J39" i="43"/>
  <c r="J36" i="43"/>
  <c r="J34" i="43"/>
  <c r="J32" i="43"/>
  <c r="J30" i="43"/>
  <c r="J28" i="43"/>
  <c r="J26" i="43"/>
  <c r="J24" i="43"/>
  <c r="J22" i="43"/>
  <c r="J20" i="43"/>
  <c r="J18" i="43"/>
  <c r="J16" i="43"/>
  <c r="J14" i="43"/>
  <c r="J12" i="43"/>
  <c r="J37" i="43"/>
  <c r="J35" i="43"/>
  <c r="J33" i="43"/>
  <c r="J31" i="43"/>
  <c r="J29" i="43"/>
  <c r="J27" i="43"/>
  <c r="J25" i="43"/>
  <c r="J23" i="43"/>
  <c r="J21" i="43"/>
  <c r="J19" i="43"/>
  <c r="J17" i="43"/>
  <c r="J15" i="43"/>
  <c r="J13" i="43"/>
  <c r="J10" i="43"/>
  <c r="J8" i="43"/>
  <c r="J11" i="43"/>
  <c r="J9" i="43"/>
  <c r="J7" i="43"/>
  <c r="N47" i="43"/>
  <c r="N45" i="43"/>
  <c r="N43" i="43"/>
  <c r="N40" i="43"/>
  <c r="N38" i="43"/>
  <c r="N48" i="43"/>
  <c r="N46" i="43"/>
  <c r="N44" i="43"/>
  <c r="N41" i="43"/>
  <c r="N39" i="43"/>
  <c r="N36" i="43"/>
  <c r="N34" i="43"/>
  <c r="N32" i="43"/>
  <c r="N30" i="43"/>
  <c r="N28" i="43"/>
  <c r="N26" i="43"/>
  <c r="N24" i="43"/>
  <c r="N22" i="43"/>
  <c r="N20" i="43"/>
  <c r="N18" i="43"/>
  <c r="N16" i="43"/>
  <c r="N14" i="43"/>
  <c r="N12" i="43"/>
  <c r="N37" i="43"/>
  <c r="N35" i="43"/>
  <c r="N33" i="43"/>
  <c r="N31" i="43"/>
  <c r="N29" i="43"/>
  <c r="N27" i="43"/>
  <c r="N25" i="43"/>
  <c r="N23" i="43"/>
  <c r="N21" i="43"/>
  <c r="N19" i="43"/>
  <c r="N17" i="43"/>
  <c r="N15" i="43"/>
  <c r="N13" i="43"/>
  <c r="N10" i="43"/>
  <c r="N8" i="43"/>
  <c r="N11" i="43"/>
  <c r="N9" i="43"/>
  <c r="N7" i="43"/>
  <c r="R47" i="43"/>
  <c r="R45" i="43"/>
  <c r="R43" i="43"/>
  <c r="R40" i="43"/>
  <c r="R38" i="43"/>
  <c r="R48" i="43"/>
  <c r="R46" i="43"/>
  <c r="R44" i="43"/>
  <c r="R41" i="43"/>
  <c r="R39" i="43"/>
  <c r="R37" i="43"/>
  <c r="R36" i="43"/>
  <c r="R34" i="43"/>
  <c r="R32" i="43"/>
  <c r="R30" i="43"/>
  <c r="R28" i="43"/>
  <c r="R26" i="43"/>
  <c r="R24" i="43"/>
  <c r="R22" i="43"/>
  <c r="R20" i="43"/>
  <c r="R18" i="43"/>
  <c r="R16" i="43"/>
  <c r="R14" i="43"/>
  <c r="R12" i="43"/>
  <c r="R35" i="43"/>
  <c r="R33" i="43"/>
  <c r="R31" i="43"/>
  <c r="R29" i="43"/>
  <c r="R27" i="43"/>
  <c r="R25" i="43"/>
  <c r="R23" i="43"/>
  <c r="R21" i="43"/>
  <c r="R19" i="43"/>
  <c r="R17" i="43"/>
  <c r="R15" i="43"/>
  <c r="R13" i="43"/>
  <c r="R11" i="43"/>
  <c r="R10" i="43"/>
  <c r="R8" i="43"/>
  <c r="R9" i="43"/>
  <c r="R7" i="43"/>
  <c r="G48" i="43"/>
  <c r="G46" i="43"/>
  <c r="G44" i="43"/>
  <c r="G41" i="43"/>
  <c r="G39" i="43"/>
  <c r="G37" i="43"/>
  <c r="G35" i="43"/>
  <c r="G33" i="43"/>
  <c r="G31" i="43"/>
  <c r="G29" i="43"/>
  <c r="G26" i="43"/>
  <c r="G24" i="43"/>
  <c r="G22" i="43"/>
  <c r="G20" i="43"/>
  <c r="G18" i="43"/>
  <c r="G16" i="43"/>
  <c r="G14" i="43"/>
  <c r="G12" i="43"/>
  <c r="G10" i="43"/>
  <c r="G8" i="43"/>
  <c r="G47" i="43"/>
  <c r="G45" i="43"/>
  <c r="G43" i="43"/>
  <c r="G40" i="43"/>
  <c r="G38" i="43"/>
  <c r="G36" i="43"/>
  <c r="G34" i="43"/>
  <c r="G32" i="43"/>
  <c r="G30" i="43"/>
  <c r="G28" i="43"/>
  <c r="G27" i="43"/>
  <c r="G25" i="43"/>
  <c r="G23" i="43"/>
  <c r="G21" i="43"/>
  <c r="G19" i="43"/>
  <c r="G17" i="43"/>
  <c r="G15" i="43"/>
  <c r="G13" i="43"/>
  <c r="G11" i="43"/>
  <c r="G9" i="43"/>
  <c r="G7" i="43"/>
  <c r="K48" i="43"/>
  <c r="K46" i="43"/>
  <c r="K44" i="43"/>
  <c r="K41" i="43"/>
  <c r="K39" i="43"/>
  <c r="K47" i="43"/>
  <c r="K45" i="43"/>
  <c r="K43" i="43"/>
  <c r="K40" i="43"/>
  <c r="K38" i="43"/>
  <c r="K37" i="43"/>
  <c r="K35" i="43"/>
  <c r="K33" i="43"/>
  <c r="K31" i="43"/>
  <c r="K29" i="43"/>
  <c r="K27" i="43"/>
  <c r="K25" i="43"/>
  <c r="K23" i="43"/>
  <c r="K21" i="43"/>
  <c r="K19" i="43"/>
  <c r="K17" i="43"/>
  <c r="K15" i="43"/>
  <c r="K13" i="43"/>
  <c r="K36" i="43"/>
  <c r="K34" i="43"/>
  <c r="K32" i="43"/>
  <c r="K30" i="43"/>
  <c r="K28" i="43"/>
  <c r="K26" i="43"/>
  <c r="K24" i="43"/>
  <c r="K22" i="43"/>
  <c r="K20" i="43"/>
  <c r="K18" i="43"/>
  <c r="K16" i="43"/>
  <c r="K14" i="43"/>
  <c r="K12" i="43"/>
  <c r="K11" i="43"/>
  <c r="K9" i="43"/>
  <c r="K7" i="43"/>
  <c r="K10" i="43"/>
  <c r="K8" i="43"/>
  <c r="O48" i="43"/>
  <c r="O46" i="43"/>
  <c r="O44" i="43"/>
  <c r="O41" i="43"/>
  <c r="O39" i="43"/>
  <c r="O47" i="43"/>
  <c r="O45" i="43"/>
  <c r="O43" i="43"/>
  <c r="O40" i="43"/>
  <c r="O38" i="43"/>
  <c r="O37" i="43"/>
  <c r="O35" i="43"/>
  <c r="O33" i="43"/>
  <c r="O31" i="43"/>
  <c r="O29" i="43"/>
  <c r="O27" i="43"/>
  <c r="O25" i="43"/>
  <c r="O23" i="43"/>
  <c r="O21" i="43"/>
  <c r="O19" i="43"/>
  <c r="O17" i="43"/>
  <c r="O15" i="43"/>
  <c r="O13" i="43"/>
  <c r="O36" i="43"/>
  <c r="O34" i="43"/>
  <c r="O32" i="43"/>
  <c r="O30" i="43"/>
  <c r="O28" i="43"/>
  <c r="O26" i="43"/>
  <c r="O24" i="43"/>
  <c r="O22" i="43"/>
  <c r="O20" i="43"/>
  <c r="O18" i="43"/>
  <c r="O16" i="43"/>
  <c r="O14" i="43"/>
  <c r="O12" i="43"/>
  <c r="O11" i="43"/>
  <c r="O9" i="43"/>
  <c r="O7" i="43"/>
  <c r="O10" i="43"/>
  <c r="O8" i="43"/>
  <c r="S48" i="43"/>
  <c r="S46" i="43"/>
  <c r="S44" i="43"/>
  <c r="S41" i="43"/>
  <c r="S39" i="43"/>
  <c r="S37" i="43"/>
  <c r="S47" i="43"/>
  <c r="S45" i="43"/>
  <c r="S43" i="43"/>
  <c r="S40" i="43"/>
  <c r="S38" i="43"/>
  <c r="S35" i="43"/>
  <c r="S33" i="43"/>
  <c r="S31" i="43"/>
  <c r="S29" i="43"/>
  <c r="S27" i="43"/>
  <c r="S25" i="43"/>
  <c r="S23" i="43"/>
  <c r="S21" i="43"/>
  <c r="S19" i="43"/>
  <c r="S17" i="43"/>
  <c r="S15" i="43"/>
  <c r="S13" i="43"/>
  <c r="S11" i="43"/>
  <c r="S36" i="43"/>
  <c r="S34" i="43"/>
  <c r="S32" i="43"/>
  <c r="S30" i="43"/>
  <c r="S28" i="43"/>
  <c r="S26" i="43"/>
  <c r="S24" i="43"/>
  <c r="S22" i="43"/>
  <c r="S20" i="43"/>
  <c r="S18" i="43"/>
  <c r="S16" i="43"/>
  <c r="S14" i="43"/>
  <c r="S12" i="43"/>
  <c r="S9" i="43"/>
  <c r="S7" i="43"/>
  <c r="S10" i="43"/>
  <c r="S8" i="43"/>
  <c r="E51" i="44"/>
  <c r="E47" i="44"/>
  <c r="E42" i="44"/>
  <c r="E38" i="44"/>
  <c r="E34" i="44"/>
  <c r="E30" i="44"/>
  <c r="E27" i="44"/>
  <c r="E23" i="44"/>
  <c r="E19" i="44"/>
  <c r="E15" i="44"/>
  <c r="E11" i="44"/>
  <c r="E7" i="44"/>
  <c r="E50" i="44"/>
  <c r="E46" i="44"/>
  <c r="E41" i="44"/>
  <c r="E37" i="44"/>
  <c r="E33" i="44"/>
  <c r="E28" i="44"/>
  <c r="E24" i="44"/>
  <c r="E20" i="44"/>
  <c r="E16" i="44"/>
  <c r="E12" i="44"/>
  <c r="E8" i="44"/>
  <c r="E49" i="44"/>
  <c r="E45" i="44"/>
  <c r="E40" i="44"/>
  <c r="E36" i="44"/>
  <c r="E32" i="44"/>
  <c r="E29" i="44"/>
  <c r="E25" i="44"/>
  <c r="E21" i="44"/>
  <c r="E17" i="44"/>
  <c r="E13" i="44"/>
  <c r="E9" i="44"/>
  <c r="E52" i="44"/>
  <c r="E48" i="44"/>
  <c r="E43" i="44"/>
  <c r="E39" i="44"/>
  <c r="E35" i="44"/>
  <c r="E31" i="44"/>
  <c r="E26" i="44"/>
  <c r="E22" i="44"/>
  <c r="E18" i="44"/>
  <c r="E14" i="44"/>
  <c r="E10" i="44"/>
  <c r="I51" i="44"/>
  <c r="I47" i="44"/>
  <c r="I42" i="44"/>
  <c r="I52" i="44"/>
  <c r="I48" i="44"/>
  <c r="I43" i="44"/>
  <c r="I39" i="44"/>
  <c r="I36" i="44"/>
  <c r="I37" i="44"/>
  <c r="I33" i="44"/>
  <c r="I29" i="44"/>
  <c r="I25" i="44"/>
  <c r="I21" i="44"/>
  <c r="I17" i="44"/>
  <c r="I13" i="44"/>
  <c r="I28" i="44"/>
  <c r="I20" i="44"/>
  <c r="I11" i="44"/>
  <c r="I26" i="44"/>
  <c r="I18" i="44"/>
  <c r="I12" i="44"/>
  <c r="I8" i="44"/>
  <c r="I7" i="44"/>
  <c r="I49" i="44"/>
  <c r="I45" i="44"/>
  <c r="I40" i="44"/>
  <c r="I50" i="44"/>
  <c r="I46" i="44"/>
  <c r="I41" i="44"/>
  <c r="I38" i="44"/>
  <c r="I34" i="44"/>
  <c r="I35" i="44"/>
  <c r="I31" i="44"/>
  <c r="I27" i="44"/>
  <c r="I23" i="44"/>
  <c r="I19" i="44"/>
  <c r="I15" i="44"/>
  <c r="I32" i="44"/>
  <c r="I24" i="44"/>
  <c r="I16" i="44"/>
  <c r="I30" i="44"/>
  <c r="I22" i="44"/>
  <c r="I14" i="44"/>
  <c r="I10" i="44"/>
  <c r="I9" i="44"/>
  <c r="M51" i="44"/>
  <c r="M47" i="44"/>
  <c r="M42" i="44"/>
  <c r="M52" i="44"/>
  <c r="M48" i="44"/>
  <c r="M43" i="44"/>
  <c r="M39" i="44"/>
  <c r="M36" i="44"/>
  <c r="M32" i="44"/>
  <c r="M35" i="44"/>
  <c r="M31" i="44"/>
  <c r="M27" i="44"/>
  <c r="M23" i="44"/>
  <c r="M19" i="44"/>
  <c r="M15" i="44"/>
  <c r="M28" i="44"/>
  <c r="M20" i="44"/>
  <c r="M11" i="44"/>
  <c r="M26" i="44"/>
  <c r="M18" i="44"/>
  <c r="M12" i="44"/>
  <c r="M8" i="44"/>
  <c r="M7" i="44"/>
  <c r="M49" i="44"/>
  <c r="M45" i="44"/>
  <c r="M40" i="44"/>
  <c r="M50" i="44"/>
  <c r="M46" i="44"/>
  <c r="M41" i="44"/>
  <c r="M38" i="44"/>
  <c r="M34" i="44"/>
  <c r="M37" i="44"/>
  <c r="M33" i="44"/>
  <c r="M29" i="44"/>
  <c r="M25" i="44"/>
  <c r="M21" i="44"/>
  <c r="M17" i="44"/>
  <c r="M13" i="44"/>
  <c r="M24" i="44"/>
  <c r="M16" i="44"/>
  <c r="M30" i="44"/>
  <c r="M22" i="44"/>
  <c r="M14" i="44"/>
  <c r="M10" i="44"/>
  <c r="M9" i="44"/>
  <c r="Q51" i="44"/>
  <c r="Q47" i="44"/>
  <c r="Q42" i="44"/>
  <c r="Q52" i="44"/>
  <c r="Q48" i="44"/>
  <c r="Q43" i="44"/>
  <c r="Q39" i="44"/>
  <c r="Q36" i="44"/>
  <c r="Q32" i="44"/>
  <c r="Q35" i="44"/>
  <c r="Q31" i="44"/>
  <c r="Q27" i="44"/>
  <c r="Q23" i="44"/>
  <c r="Q19" i="44"/>
  <c r="Q15" i="44"/>
  <c r="Q28" i="44"/>
  <c r="Q20" i="44"/>
  <c r="Q11" i="44"/>
  <c r="Q30" i="44"/>
  <c r="Q22" i="44"/>
  <c r="Q14" i="44"/>
  <c r="Q10" i="44"/>
  <c r="Q7" i="44"/>
  <c r="Q49" i="44"/>
  <c r="Q45" i="44"/>
  <c r="Q40" i="44"/>
  <c r="Q50" i="44"/>
  <c r="Q46" i="44"/>
  <c r="Q41" i="44"/>
  <c r="Q38" i="44"/>
  <c r="Q34" i="44"/>
  <c r="Q37" i="44"/>
  <c r="Q33" i="44"/>
  <c r="Q29" i="44"/>
  <c r="Q25" i="44"/>
  <c r="Q21" i="44"/>
  <c r="Q17" i="44"/>
  <c r="Q13" i="44"/>
  <c r="Q24" i="44"/>
  <c r="Q16" i="44"/>
  <c r="Q9" i="44"/>
  <c r="Q26" i="44"/>
  <c r="Q18" i="44"/>
  <c r="Q12" i="44"/>
  <c r="Q8" i="44"/>
  <c r="U51" i="44"/>
  <c r="U47" i="44"/>
  <c r="U42" i="44"/>
  <c r="U38" i="44"/>
  <c r="U50" i="44"/>
  <c r="U46" i="44"/>
  <c r="U41" i="44"/>
  <c r="U36" i="44"/>
  <c r="U32" i="44"/>
  <c r="U35" i="44"/>
  <c r="U31" i="44"/>
  <c r="U27" i="44"/>
  <c r="U23" i="44"/>
  <c r="U19" i="44"/>
  <c r="U15" i="44"/>
  <c r="U28" i="44"/>
  <c r="U20" i="44"/>
  <c r="U12" i="44"/>
  <c r="U9" i="44"/>
  <c r="U26" i="44"/>
  <c r="U18" i="44"/>
  <c r="U10" i="44"/>
  <c r="U7" i="44"/>
  <c r="U49" i="44"/>
  <c r="U45" i="44"/>
  <c r="U40" i="44"/>
  <c r="U52" i="44"/>
  <c r="U48" i="44"/>
  <c r="U43" i="44"/>
  <c r="U39" i="44"/>
  <c r="U34" i="44"/>
  <c r="U37" i="44"/>
  <c r="U33" i="44"/>
  <c r="U29" i="44"/>
  <c r="U25" i="44"/>
  <c r="U21" i="44"/>
  <c r="U17" i="44"/>
  <c r="U13" i="44"/>
  <c r="U24" i="44"/>
  <c r="U16" i="44"/>
  <c r="U11" i="44"/>
  <c r="U30" i="44"/>
  <c r="U22" i="44"/>
  <c r="U14" i="44"/>
  <c r="U8" i="44"/>
  <c r="F50" i="44"/>
  <c r="F46" i="44"/>
  <c r="F41" i="44"/>
  <c r="F37" i="44"/>
  <c r="F33" i="44"/>
  <c r="F28" i="44"/>
  <c r="F24" i="44"/>
  <c r="F20" i="44"/>
  <c r="F16" i="44"/>
  <c r="F12" i="44"/>
  <c r="F8" i="44"/>
  <c r="F49" i="44"/>
  <c r="F45" i="44"/>
  <c r="F40" i="44"/>
  <c r="F36" i="44"/>
  <c r="F32" i="44"/>
  <c r="F29" i="44"/>
  <c r="F25" i="44"/>
  <c r="F21" i="44"/>
  <c r="F17" i="44"/>
  <c r="F13" i="44"/>
  <c r="F9" i="44"/>
  <c r="F52" i="44"/>
  <c r="F48" i="44"/>
  <c r="F43" i="44"/>
  <c r="F39" i="44"/>
  <c r="F35" i="44"/>
  <c r="F31" i="44"/>
  <c r="F26" i="44"/>
  <c r="F22" i="44"/>
  <c r="F18" i="44"/>
  <c r="F14" i="44"/>
  <c r="F10" i="44"/>
  <c r="F51" i="44"/>
  <c r="F47" i="44"/>
  <c r="F42" i="44"/>
  <c r="F38" i="44"/>
  <c r="F34" i="44"/>
  <c r="F30" i="44"/>
  <c r="F27" i="44"/>
  <c r="F23" i="44"/>
  <c r="F19" i="44"/>
  <c r="F15" i="44"/>
  <c r="F11" i="44"/>
  <c r="F7" i="44"/>
  <c r="J50" i="44"/>
  <c r="J46" i="44"/>
  <c r="J41" i="44"/>
  <c r="J51" i="44"/>
  <c r="J47" i="44"/>
  <c r="J42" i="44"/>
  <c r="J37" i="44"/>
  <c r="J33" i="44"/>
  <c r="J36" i="44"/>
  <c r="J32" i="44"/>
  <c r="J28" i="44"/>
  <c r="J24" i="44"/>
  <c r="J20" i="44"/>
  <c r="J16" i="44"/>
  <c r="J31" i="44"/>
  <c r="J23" i="44"/>
  <c r="J15" i="44"/>
  <c r="J10" i="44"/>
  <c r="J25" i="44"/>
  <c r="J17" i="44"/>
  <c r="J11" i="44"/>
  <c r="J7" i="44"/>
  <c r="J52" i="44"/>
  <c r="J48" i="44"/>
  <c r="J43" i="44"/>
  <c r="J39" i="44"/>
  <c r="J49" i="44"/>
  <c r="J45" i="44"/>
  <c r="J40" i="44"/>
  <c r="J35" i="44"/>
  <c r="J38" i="44"/>
  <c r="J34" i="44"/>
  <c r="J30" i="44"/>
  <c r="J26" i="44"/>
  <c r="J22" i="44"/>
  <c r="J18" i="44"/>
  <c r="J14" i="44"/>
  <c r="J27" i="44"/>
  <c r="J19" i="44"/>
  <c r="J12" i="44"/>
  <c r="J29" i="44"/>
  <c r="J21" i="44"/>
  <c r="J13" i="44"/>
  <c r="J9" i="44"/>
  <c r="J8" i="44"/>
  <c r="N50" i="44"/>
  <c r="N46" i="44"/>
  <c r="N41" i="44"/>
  <c r="N51" i="44"/>
  <c r="N47" i="44"/>
  <c r="N42" i="44"/>
  <c r="N37" i="44"/>
  <c r="N33" i="44"/>
  <c r="N36" i="44"/>
  <c r="N32" i="44"/>
  <c r="N28" i="44"/>
  <c r="N24" i="44"/>
  <c r="N20" i="44"/>
  <c r="N16" i="44"/>
  <c r="N31" i="44"/>
  <c r="N23" i="44"/>
  <c r="N15" i="44"/>
  <c r="N10" i="44"/>
  <c r="N25" i="44"/>
  <c r="N17" i="44"/>
  <c r="N11" i="44"/>
  <c r="N7" i="44"/>
  <c r="N52" i="44"/>
  <c r="N48" i="44"/>
  <c r="N43" i="44"/>
  <c r="N39" i="44"/>
  <c r="N49" i="44"/>
  <c r="N45" i="44"/>
  <c r="N40" i="44"/>
  <c r="N35" i="44"/>
  <c r="N38" i="44"/>
  <c r="N34" i="44"/>
  <c r="N30" i="44"/>
  <c r="N26" i="44"/>
  <c r="N22" i="44"/>
  <c r="N18" i="44"/>
  <c r="N14" i="44"/>
  <c r="N27" i="44"/>
  <c r="N19" i="44"/>
  <c r="N12" i="44"/>
  <c r="N29" i="44"/>
  <c r="N21" i="44"/>
  <c r="N13" i="44"/>
  <c r="N9" i="44"/>
  <c r="N8" i="44"/>
  <c r="R50" i="44"/>
  <c r="R46" i="44"/>
  <c r="R41" i="44"/>
  <c r="R51" i="44"/>
  <c r="R47" i="44"/>
  <c r="R42" i="44"/>
  <c r="R37" i="44"/>
  <c r="R33" i="44"/>
  <c r="R36" i="44"/>
  <c r="R32" i="44"/>
  <c r="R28" i="44"/>
  <c r="R24" i="44"/>
  <c r="R20" i="44"/>
  <c r="R16" i="44"/>
  <c r="R31" i="44"/>
  <c r="R23" i="44"/>
  <c r="R15" i="44"/>
  <c r="R10" i="44"/>
  <c r="R25" i="44"/>
  <c r="R17" i="44"/>
  <c r="R11" i="44"/>
  <c r="R7" i="44"/>
  <c r="R52" i="44"/>
  <c r="R48" i="44"/>
  <c r="R43" i="44"/>
  <c r="R39" i="44"/>
  <c r="R49" i="44"/>
  <c r="R45" i="44"/>
  <c r="R40" i="44"/>
  <c r="R35" i="44"/>
  <c r="R38" i="44"/>
  <c r="R34" i="44"/>
  <c r="R30" i="44"/>
  <c r="R26" i="44"/>
  <c r="R22" i="44"/>
  <c r="R18" i="44"/>
  <c r="R14" i="44"/>
  <c r="R27" i="44"/>
  <c r="R19" i="44"/>
  <c r="R12" i="44"/>
  <c r="R29" i="44"/>
  <c r="R21" i="44"/>
  <c r="R13" i="44"/>
  <c r="R9" i="44"/>
  <c r="R8" i="44"/>
  <c r="T52" i="44"/>
  <c r="T48" i="44"/>
  <c r="T43" i="44"/>
  <c r="T39" i="44"/>
  <c r="T49" i="44"/>
  <c r="T45" i="44"/>
  <c r="T40" i="44"/>
  <c r="T35" i="44"/>
  <c r="T38" i="44"/>
  <c r="T34" i="44"/>
  <c r="T30" i="44"/>
  <c r="T26" i="44"/>
  <c r="T22" i="44"/>
  <c r="T18" i="44"/>
  <c r="T14" i="44"/>
  <c r="T29" i="44"/>
  <c r="T21" i="44"/>
  <c r="T13" i="44"/>
  <c r="T31" i="44"/>
  <c r="T23" i="44"/>
  <c r="T15" i="44"/>
  <c r="T9" i="44"/>
  <c r="T8" i="44"/>
  <c r="T50" i="44"/>
  <c r="T46" i="44"/>
  <c r="T41" i="44"/>
  <c r="T51" i="44"/>
  <c r="T47" i="44"/>
  <c r="T42" i="44"/>
  <c r="T37" i="44"/>
  <c r="T33" i="44"/>
  <c r="T36" i="44"/>
  <c r="T32" i="44"/>
  <c r="T28" i="44"/>
  <c r="T24" i="44"/>
  <c r="T20" i="44"/>
  <c r="T16" i="44"/>
  <c r="T12" i="44"/>
  <c r="T25" i="44"/>
  <c r="T17" i="44"/>
  <c r="T10" i="44"/>
  <c r="T27" i="44"/>
  <c r="T19" i="44"/>
  <c r="T11" i="44"/>
  <c r="T7" i="44"/>
  <c r="D47" i="43"/>
  <c r="D45" i="43"/>
  <c r="D43" i="43"/>
  <c r="D40" i="43"/>
  <c r="D38" i="43"/>
  <c r="D36" i="43"/>
  <c r="D34" i="43"/>
  <c r="D32" i="43"/>
  <c r="D30" i="43"/>
  <c r="D28" i="43"/>
  <c r="D27" i="43"/>
  <c r="D25" i="43"/>
  <c r="D23" i="43"/>
  <c r="D21" i="43"/>
  <c r="D19" i="43"/>
  <c r="D17" i="43"/>
  <c r="D15" i="43"/>
  <c r="D13" i="43"/>
  <c r="D11" i="43"/>
  <c r="D9" i="43"/>
  <c r="D7" i="43"/>
  <c r="D48" i="43"/>
  <c r="D46" i="43"/>
  <c r="D44" i="43"/>
  <c r="D41" i="43"/>
  <c r="D39" i="43"/>
  <c r="D37" i="43"/>
  <c r="D35" i="43"/>
  <c r="D33" i="43"/>
  <c r="D31" i="43"/>
  <c r="D29" i="43"/>
  <c r="D26" i="43"/>
  <c r="D24" i="43"/>
  <c r="D22" i="43"/>
  <c r="D20" i="43"/>
  <c r="D18" i="43"/>
  <c r="D16" i="43"/>
  <c r="D14" i="43"/>
  <c r="D12" i="43"/>
  <c r="D10" i="43"/>
  <c r="D8" i="43"/>
  <c r="V2" i="43"/>
  <c r="H47" i="43"/>
  <c r="H45" i="43"/>
  <c r="H43" i="43"/>
  <c r="H40" i="43"/>
  <c r="H38" i="43"/>
  <c r="H36" i="43"/>
  <c r="H34" i="43"/>
  <c r="H32" i="43"/>
  <c r="H30" i="43"/>
  <c r="H28" i="43"/>
  <c r="H27" i="43"/>
  <c r="H25" i="43"/>
  <c r="H23" i="43"/>
  <c r="H21" i="43"/>
  <c r="H19" i="43"/>
  <c r="H17" i="43"/>
  <c r="H15" i="43"/>
  <c r="H13" i="43"/>
  <c r="H11" i="43"/>
  <c r="H9" i="43"/>
  <c r="H7" i="43"/>
  <c r="H48" i="43"/>
  <c r="H46" i="43"/>
  <c r="H44" i="43"/>
  <c r="H41" i="43"/>
  <c r="H39" i="43"/>
  <c r="H37" i="43"/>
  <c r="H35" i="43"/>
  <c r="H33" i="43"/>
  <c r="H31" i="43"/>
  <c r="H29" i="43"/>
  <c r="H26" i="43"/>
  <c r="H24" i="43"/>
  <c r="H22" i="43"/>
  <c r="H20" i="43"/>
  <c r="H18" i="43"/>
  <c r="H16" i="43"/>
  <c r="H14" i="43"/>
  <c r="H12" i="43"/>
  <c r="H10" i="43"/>
  <c r="H8" i="43"/>
  <c r="L47" i="43"/>
  <c r="L45" i="43"/>
  <c r="L43" i="43"/>
  <c r="L40" i="43"/>
  <c r="L38" i="43"/>
  <c r="L48" i="43"/>
  <c r="L46" i="43"/>
  <c r="L44" i="43"/>
  <c r="L41" i="43"/>
  <c r="L39" i="43"/>
  <c r="L36" i="43"/>
  <c r="L34" i="43"/>
  <c r="L32" i="43"/>
  <c r="L30" i="43"/>
  <c r="L28" i="43"/>
  <c r="L26" i="43"/>
  <c r="L24" i="43"/>
  <c r="L22" i="43"/>
  <c r="L20" i="43"/>
  <c r="L18" i="43"/>
  <c r="L16" i="43"/>
  <c r="L14" i="43"/>
  <c r="L12" i="43"/>
  <c r="L37" i="43"/>
  <c r="L35" i="43"/>
  <c r="L33" i="43"/>
  <c r="L31" i="43"/>
  <c r="L29" i="43"/>
  <c r="L27" i="43"/>
  <c r="L25" i="43"/>
  <c r="L23" i="43"/>
  <c r="L21" i="43"/>
  <c r="L19" i="43"/>
  <c r="L17" i="43"/>
  <c r="L15" i="43"/>
  <c r="L13" i="43"/>
  <c r="L10" i="43"/>
  <c r="L8" i="43"/>
  <c r="L11" i="43"/>
  <c r="L9" i="43"/>
  <c r="L7" i="43"/>
  <c r="P47" i="43"/>
  <c r="P45" i="43"/>
  <c r="P43" i="43"/>
  <c r="P40" i="43"/>
  <c r="P38" i="43"/>
  <c r="P48" i="43"/>
  <c r="P46" i="43"/>
  <c r="P44" i="43"/>
  <c r="P41" i="43"/>
  <c r="P39" i="43"/>
  <c r="P36" i="43"/>
  <c r="P34" i="43"/>
  <c r="P32" i="43"/>
  <c r="P30" i="43"/>
  <c r="P28" i="43"/>
  <c r="P26" i="43"/>
  <c r="P24" i="43"/>
  <c r="P22" i="43"/>
  <c r="P20" i="43"/>
  <c r="P18" i="43"/>
  <c r="P16" i="43"/>
  <c r="P14" i="43"/>
  <c r="P12" i="43"/>
  <c r="P37" i="43"/>
  <c r="P35" i="43"/>
  <c r="P33" i="43"/>
  <c r="P31" i="43"/>
  <c r="P29" i="43"/>
  <c r="P27" i="43"/>
  <c r="P25" i="43"/>
  <c r="P23" i="43"/>
  <c r="P21" i="43"/>
  <c r="P19" i="43"/>
  <c r="P17" i="43"/>
  <c r="P15" i="43"/>
  <c r="P13" i="43"/>
  <c r="P11" i="43"/>
  <c r="P10" i="43"/>
  <c r="P8" i="43"/>
  <c r="P9" i="43"/>
  <c r="P7" i="43"/>
  <c r="E48" i="43"/>
  <c r="E46" i="43"/>
  <c r="E44" i="43"/>
  <c r="E41" i="43"/>
  <c r="E39" i="43"/>
  <c r="E37" i="43"/>
  <c r="E35" i="43"/>
  <c r="E33" i="43"/>
  <c r="E31" i="43"/>
  <c r="E29" i="43"/>
  <c r="E26" i="43"/>
  <c r="E24" i="43"/>
  <c r="E22" i="43"/>
  <c r="E20" i="43"/>
  <c r="E18" i="43"/>
  <c r="E16" i="43"/>
  <c r="E14" i="43"/>
  <c r="E12" i="43"/>
  <c r="E10" i="43"/>
  <c r="E8" i="43"/>
  <c r="E47" i="43"/>
  <c r="E45" i="43"/>
  <c r="E43" i="43"/>
  <c r="E40" i="43"/>
  <c r="E38" i="43"/>
  <c r="E36" i="43"/>
  <c r="E34" i="43"/>
  <c r="E32" i="43"/>
  <c r="E30" i="43"/>
  <c r="E28" i="43"/>
  <c r="E27" i="43"/>
  <c r="E25" i="43"/>
  <c r="E23" i="43"/>
  <c r="E21" i="43"/>
  <c r="E19" i="43"/>
  <c r="E17" i="43"/>
  <c r="E15" i="43"/>
  <c r="E13" i="43"/>
  <c r="E11" i="43"/>
  <c r="E9" i="43"/>
  <c r="E7" i="43"/>
  <c r="I48" i="43"/>
  <c r="I46" i="43"/>
  <c r="I44" i="43"/>
  <c r="I41" i="43"/>
  <c r="I39" i="43"/>
  <c r="I47" i="43"/>
  <c r="I45" i="43"/>
  <c r="I43" i="43"/>
  <c r="I40" i="43"/>
  <c r="I38" i="43"/>
  <c r="I37" i="43"/>
  <c r="I35" i="43"/>
  <c r="I33" i="43"/>
  <c r="I31" i="43"/>
  <c r="I29" i="43"/>
  <c r="I27" i="43"/>
  <c r="I25" i="43"/>
  <c r="I23" i="43"/>
  <c r="I21" i="43"/>
  <c r="I19" i="43"/>
  <c r="I17" i="43"/>
  <c r="I15" i="43"/>
  <c r="I13" i="43"/>
  <c r="I36" i="43"/>
  <c r="I34" i="43"/>
  <c r="I32" i="43"/>
  <c r="I30" i="43"/>
  <c r="I28" i="43"/>
  <c r="I26" i="43"/>
  <c r="I24" i="43"/>
  <c r="I22" i="43"/>
  <c r="I20" i="43"/>
  <c r="I18" i="43"/>
  <c r="I16" i="43"/>
  <c r="I14" i="43"/>
  <c r="I12" i="43"/>
  <c r="I11" i="43"/>
  <c r="I9" i="43"/>
  <c r="I7" i="43"/>
  <c r="I10" i="43"/>
  <c r="I8" i="43"/>
  <c r="M48" i="43"/>
  <c r="M46" i="43"/>
  <c r="M44" i="43"/>
  <c r="M41" i="43"/>
  <c r="M39" i="43"/>
  <c r="M47" i="43"/>
  <c r="M45" i="43"/>
  <c r="M43" i="43"/>
  <c r="M40" i="43"/>
  <c r="M38" i="43"/>
  <c r="M37" i="43"/>
  <c r="M35" i="43"/>
  <c r="M33" i="43"/>
  <c r="M31" i="43"/>
  <c r="M29" i="43"/>
  <c r="M27" i="43"/>
  <c r="M25" i="43"/>
  <c r="M23" i="43"/>
  <c r="M21" i="43"/>
  <c r="M19" i="43"/>
  <c r="M17" i="43"/>
  <c r="M15" i="43"/>
  <c r="M13" i="43"/>
  <c r="M36" i="43"/>
  <c r="M34" i="43"/>
  <c r="M32" i="43"/>
  <c r="M30" i="43"/>
  <c r="M28" i="43"/>
  <c r="M26" i="43"/>
  <c r="M24" i="43"/>
  <c r="M22" i="43"/>
  <c r="M20" i="43"/>
  <c r="M18" i="43"/>
  <c r="M16" i="43"/>
  <c r="M14" i="43"/>
  <c r="M12" i="43"/>
  <c r="M11" i="43"/>
  <c r="M9" i="43"/>
  <c r="M7" i="43"/>
  <c r="M10" i="43"/>
  <c r="M8" i="43"/>
  <c r="Q48" i="43"/>
  <c r="Q46" i="43"/>
  <c r="Q44" i="43"/>
  <c r="Q41" i="43"/>
  <c r="Q39" i="43"/>
  <c r="Q47" i="43"/>
  <c r="Q45" i="43"/>
  <c r="Q43" i="43"/>
  <c r="Q40" i="43"/>
  <c r="Q38" i="43"/>
  <c r="Q37" i="43"/>
  <c r="Q35" i="43"/>
  <c r="Q33" i="43"/>
  <c r="Q31" i="43"/>
  <c r="Q29" i="43"/>
  <c r="Q27" i="43"/>
  <c r="Q25" i="43"/>
  <c r="Q23" i="43"/>
  <c r="Q21" i="43"/>
  <c r="Q19" i="43"/>
  <c r="Q17" i="43"/>
  <c r="Q15" i="43"/>
  <c r="Q13" i="43"/>
  <c r="Q11" i="43"/>
  <c r="Q36" i="43"/>
  <c r="Q34" i="43"/>
  <c r="Q32" i="43"/>
  <c r="Q30" i="43"/>
  <c r="Q28" i="43"/>
  <c r="Q26" i="43"/>
  <c r="Q24" i="43"/>
  <c r="Q22" i="43"/>
  <c r="Q20" i="43"/>
  <c r="Q18" i="43"/>
  <c r="Q16" i="43"/>
  <c r="Q14" i="43"/>
  <c r="Q12" i="43"/>
  <c r="Q9" i="43"/>
  <c r="Q7" i="43"/>
  <c r="Q10" i="43"/>
  <c r="Q8" i="43"/>
  <c r="U48" i="43"/>
  <c r="U46" i="43"/>
  <c r="U44" i="43"/>
  <c r="U41" i="43"/>
  <c r="U39" i="43"/>
  <c r="U37" i="43"/>
  <c r="U47" i="43"/>
  <c r="U45" i="43"/>
  <c r="U43" i="43"/>
  <c r="U40" i="43"/>
  <c r="U38" i="43"/>
  <c r="U35" i="43"/>
  <c r="U33" i="43"/>
  <c r="U31" i="43"/>
  <c r="U29" i="43"/>
  <c r="U27" i="43"/>
  <c r="U25" i="43"/>
  <c r="U23" i="43"/>
  <c r="U21" i="43"/>
  <c r="U19" i="43"/>
  <c r="U17" i="43"/>
  <c r="U15" i="43"/>
  <c r="U13" i="43"/>
  <c r="U11" i="43"/>
  <c r="U36" i="43"/>
  <c r="U34" i="43"/>
  <c r="U32" i="43"/>
  <c r="U30" i="43"/>
  <c r="U28" i="43"/>
  <c r="U26" i="43"/>
  <c r="U24" i="43"/>
  <c r="U22" i="43"/>
  <c r="U20" i="43"/>
  <c r="U18" i="43"/>
  <c r="U16" i="43"/>
  <c r="U14" i="43"/>
  <c r="U12" i="43"/>
  <c r="U9" i="43"/>
  <c r="U7" i="43"/>
  <c r="U10" i="43"/>
  <c r="U8" i="43"/>
  <c r="G49" i="44"/>
  <c r="G45" i="44"/>
  <c r="G40" i="44"/>
  <c r="G36" i="44"/>
  <c r="G32" i="44"/>
  <c r="G29" i="44"/>
  <c r="G25" i="44"/>
  <c r="G21" i="44"/>
  <c r="G17" i="44"/>
  <c r="G13" i="44"/>
  <c r="G9" i="44"/>
  <c r="G52" i="44"/>
  <c r="G48" i="44"/>
  <c r="G43" i="44"/>
  <c r="G39" i="44"/>
  <c r="G35" i="44"/>
  <c r="G31" i="44"/>
  <c r="G26" i="44"/>
  <c r="G22" i="44"/>
  <c r="G18" i="44"/>
  <c r="G14" i="44"/>
  <c r="G10" i="44"/>
  <c r="G51" i="44"/>
  <c r="G47" i="44"/>
  <c r="G42" i="44"/>
  <c r="G38" i="44"/>
  <c r="G34" i="44"/>
  <c r="G30" i="44"/>
  <c r="G27" i="44"/>
  <c r="G23" i="44"/>
  <c r="G19" i="44"/>
  <c r="G15" i="44"/>
  <c r="G11" i="44"/>
  <c r="G7" i="44"/>
  <c r="G50" i="44"/>
  <c r="G46" i="44"/>
  <c r="G41" i="44"/>
  <c r="G37" i="44"/>
  <c r="G33" i="44"/>
  <c r="G28" i="44"/>
  <c r="G24" i="44"/>
  <c r="G20" i="44"/>
  <c r="G16" i="44"/>
  <c r="G12" i="44"/>
  <c r="G8" i="44"/>
  <c r="K49" i="44"/>
  <c r="K45" i="44"/>
  <c r="K40" i="44"/>
  <c r="K50" i="44"/>
  <c r="K46" i="44"/>
  <c r="K41" i="44"/>
  <c r="K38" i="44"/>
  <c r="K34" i="44"/>
  <c r="K35" i="44"/>
  <c r="K31" i="44"/>
  <c r="K27" i="44"/>
  <c r="K23" i="44"/>
  <c r="K19" i="44"/>
  <c r="K15" i="44"/>
  <c r="K30" i="44"/>
  <c r="K22" i="44"/>
  <c r="K14" i="44"/>
  <c r="K32" i="44"/>
  <c r="K24" i="44"/>
  <c r="K16" i="44"/>
  <c r="K10" i="44"/>
  <c r="K9" i="44"/>
  <c r="K51" i="44"/>
  <c r="K47" i="44"/>
  <c r="K42" i="44"/>
  <c r="K52" i="44"/>
  <c r="K48" i="44"/>
  <c r="K43" i="44"/>
  <c r="K39" i="44"/>
  <c r="K36" i="44"/>
  <c r="K37" i="44"/>
  <c r="K33" i="44"/>
  <c r="K29" i="44"/>
  <c r="K25" i="44"/>
  <c r="K21" i="44"/>
  <c r="K17" i="44"/>
  <c r="K13" i="44"/>
  <c r="K26" i="44"/>
  <c r="K18" i="44"/>
  <c r="K11" i="44"/>
  <c r="K28" i="44"/>
  <c r="K20" i="44"/>
  <c r="K12" i="44"/>
  <c r="K8" i="44"/>
  <c r="K7" i="44"/>
  <c r="O49" i="44"/>
  <c r="O45" i="44"/>
  <c r="O40" i="44"/>
  <c r="O50" i="44"/>
  <c r="O46" i="44"/>
  <c r="O41" i="44"/>
  <c r="O38" i="44"/>
  <c r="O34" i="44"/>
  <c r="O37" i="44"/>
  <c r="O33" i="44"/>
  <c r="O29" i="44"/>
  <c r="O25" i="44"/>
  <c r="O21" i="44"/>
  <c r="O17" i="44"/>
  <c r="O13" i="44"/>
  <c r="O26" i="44"/>
  <c r="O18" i="44"/>
  <c r="O11" i="44"/>
  <c r="O51" i="44"/>
  <c r="O47" i="44"/>
  <c r="O42" i="44"/>
  <c r="O52" i="44"/>
  <c r="O48" i="44"/>
  <c r="O43" i="44"/>
  <c r="O39" i="44"/>
  <c r="O36" i="44"/>
  <c r="O32" i="44"/>
  <c r="O35" i="44"/>
  <c r="O31" i="44"/>
  <c r="O27" i="44"/>
  <c r="O23" i="44"/>
  <c r="O19" i="44"/>
  <c r="O15" i="44"/>
  <c r="O30" i="44"/>
  <c r="O22" i="44"/>
  <c r="O14" i="44"/>
  <c r="O9" i="44"/>
  <c r="O28" i="44"/>
  <c r="O20" i="44"/>
  <c r="O12" i="44"/>
  <c r="O8" i="44"/>
  <c r="O24" i="44"/>
  <c r="O16" i="44"/>
  <c r="O10" i="44"/>
  <c r="O7" i="44"/>
  <c r="S49" i="44"/>
  <c r="S45" i="44"/>
  <c r="S40" i="44"/>
  <c r="S50" i="44"/>
  <c r="S46" i="44"/>
  <c r="S41" i="44"/>
  <c r="S38" i="44"/>
  <c r="S34" i="44"/>
  <c r="S37" i="44"/>
  <c r="S33" i="44"/>
  <c r="S29" i="44"/>
  <c r="S25" i="44"/>
  <c r="S21" i="44"/>
  <c r="S17" i="44"/>
  <c r="S13" i="44"/>
  <c r="S26" i="44"/>
  <c r="S18" i="44"/>
  <c r="S11" i="44"/>
  <c r="S28" i="44"/>
  <c r="S20" i="44"/>
  <c r="S12" i="44"/>
  <c r="S8" i="44"/>
  <c r="S51" i="44"/>
  <c r="S47" i="44"/>
  <c r="S42" i="44"/>
  <c r="S52" i="44"/>
  <c r="S48" i="44"/>
  <c r="S43" i="44"/>
  <c r="S39" i="44"/>
  <c r="S36" i="44"/>
  <c r="S32" i="44"/>
  <c r="S35" i="44"/>
  <c r="S31" i="44"/>
  <c r="S27" i="44"/>
  <c r="S23" i="44"/>
  <c r="S19" i="44"/>
  <c r="S15" i="44"/>
  <c r="S30" i="44"/>
  <c r="S22" i="44"/>
  <c r="S14" i="44"/>
  <c r="S9" i="44"/>
  <c r="S24" i="44"/>
  <c r="S16" i="44"/>
  <c r="S10" i="44"/>
  <c r="S7" i="44"/>
  <c r="D52" i="44"/>
  <c r="D48" i="44"/>
  <c r="D43" i="44"/>
  <c r="D39" i="44"/>
  <c r="D35" i="44"/>
  <c r="D31" i="44"/>
  <c r="D26" i="44"/>
  <c r="D22" i="44"/>
  <c r="D18" i="44"/>
  <c r="D14" i="44"/>
  <c r="D10" i="44"/>
  <c r="D51" i="44"/>
  <c r="D47" i="44"/>
  <c r="D42" i="44"/>
  <c r="D38" i="44"/>
  <c r="D34" i="44"/>
  <c r="D30" i="44"/>
  <c r="D27" i="44"/>
  <c r="D23" i="44"/>
  <c r="D19" i="44"/>
  <c r="D15" i="44"/>
  <c r="D11" i="44"/>
  <c r="D7" i="44"/>
  <c r="D50" i="44"/>
  <c r="D46" i="44"/>
  <c r="D41" i="44"/>
  <c r="D37" i="44"/>
  <c r="D33" i="44"/>
  <c r="D28" i="44"/>
  <c r="D24" i="44"/>
  <c r="D20" i="44"/>
  <c r="D16" i="44"/>
  <c r="D12" i="44"/>
  <c r="D8" i="44"/>
  <c r="D49" i="44"/>
  <c r="D45" i="44"/>
  <c r="D40" i="44"/>
  <c r="D36" i="44"/>
  <c r="D32" i="44"/>
  <c r="D29" i="44"/>
  <c r="D25" i="44"/>
  <c r="D21" i="44"/>
  <c r="D17" i="44"/>
  <c r="D13" i="44"/>
  <c r="D9" i="44"/>
  <c r="V2" i="44"/>
  <c r="H52" i="44"/>
  <c r="H48" i="44"/>
  <c r="H43" i="44"/>
  <c r="H39" i="44"/>
  <c r="H35" i="44"/>
  <c r="H31" i="44"/>
  <c r="H26" i="44"/>
  <c r="H22" i="44"/>
  <c r="H18" i="44"/>
  <c r="H14" i="44"/>
  <c r="H10" i="44"/>
  <c r="H51" i="44"/>
  <c r="H47" i="44"/>
  <c r="H42" i="44"/>
  <c r="H38" i="44"/>
  <c r="H34" i="44"/>
  <c r="H30" i="44"/>
  <c r="H27" i="44"/>
  <c r="H23" i="44"/>
  <c r="H19" i="44"/>
  <c r="H15" i="44"/>
  <c r="H11" i="44"/>
  <c r="H7" i="44"/>
  <c r="H50" i="44"/>
  <c r="H46" i="44"/>
  <c r="H41" i="44"/>
  <c r="H37" i="44"/>
  <c r="H33" i="44"/>
  <c r="H28" i="44"/>
  <c r="H24" i="44"/>
  <c r="H20" i="44"/>
  <c r="H16" i="44"/>
  <c r="H12" i="44"/>
  <c r="H8" i="44"/>
  <c r="H49" i="44"/>
  <c r="H45" i="44"/>
  <c r="H40" i="44"/>
  <c r="H36" i="44"/>
  <c r="H32" i="44"/>
  <c r="H29" i="44"/>
  <c r="H25" i="44"/>
  <c r="H21" i="44"/>
  <c r="H17" i="44"/>
  <c r="H13" i="44"/>
  <c r="H9" i="44"/>
  <c r="L52" i="44"/>
  <c r="L48" i="44"/>
  <c r="L43" i="44"/>
  <c r="L39" i="44"/>
  <c r="L49" i="44"/>
  <c r="L45" i="44"/>
  <c r="L40" i="44"/>
  <c r="L35" i="44"/>
  <c r="L38" i="44"/>
  <c r="L34" i="44"/>
  <c r="L30" i="44"/>
  <c r="L26" i="44"/>
  <c r="L22" i="44"/>
  <c r="L18" i="44"/>
  <c r="L14" i="44"/>
  <c r="L25" i="44"/>
  <c r="L17" i="44"/>
  <c r="L12" i="44"/>
  <c r="L31" i="44"/>
  <c r="L23" i="44"/>
  <c r="L15" i="44"/>
  <c r="L9" i="44"/>
  <c r="L8" i="44"/>
  <c r="L50" i="44"/>
  <c r="L46" i="44"/>
  <c r="L41" i="44"/>
  <c r="L51" i="44"/>
  <c r="L47" i="44"/>
  <c r="L42" i="44"/>
  <c r="L37" i="44"/>
  <c r="L33" i="44"/>
  <c r="L36" i="44"/>
  <c r="L32" i="44"/>
  <c r="L28" i="44"/>
  <c r="L24" i="44"/>
  <c r="L20" i="44"/>
  <c r="L16" i="44"/>
  <c r="L29" i="44"/>
  <c r="L21" i="44"/>
  <c r="L13" i="44"/>
  <c r="L10" i="44"/>
  <c r="L27" i="44"/>
  <c r="L19" i="44"/>
  <c r="L11" i="44"/>
  <c r="L7" i="44"/>
  <c r="P52" i="44"/>
  <c r="P48" i="44"/>
  <c r="P43" i="44"/>
  <c r="P39" i="44"/>
  <c r="P49" i="44"/>
  <c r="P45" i="44"/>
  <c r="P40" i="44"/>
  <c r="P35" i="44"/>
  <c r="P38" i="44"/>
  <c r="P34" i="44"/>
  <c r="P30" i="44"/>
  <c r="P26" i="44"/>
  <c r="P22" i="44"/>
  <c r="P18" i="44"/>
  <c r="P14" i="44"/>
  <c r="P25" i="44"/>
  <c r="P17" i="44"/>
  <c r="P12" i="44"/>
  <c r="P31" i="44"/>
  <c r="P23" i="44"/>
  <c r="P15" i="44"/>
  <c r="P9" i="44"/>
  <c r="P8" i="44"/>
  <c r="P50" i="44"/>
  <c r="P46" i="44"/>
  <c r="P41" i="44"/>
  <c r="P51" i="44"/>
  <c r="P47" i="44"/>
  <c r="P42" i="44"/>
  <c r="P37" i="44"/>
  <c r="P33" i="44"/>
  <c r="P36" i="44"/>
  <c r="P32" i="44"/>
  <c r="P28" i="44"/>
  <c r="P24" i="44"/>
  <c r="P20" i="44"/>
  <c r="P16" i="44"/>
  <c r="P29" i="44"/>
  <c r="P21" i="44"/>
  <c r="P13" i="44"/>
  <c r="P10" i="44"/>
  <c r="P27" i="44"/>
  <c r="P19" i="44"/>
  <c r="P11" i="44"/>
  <c r="P7" i="44"/>
  <c r="T40" i="45"/>
  <c r="T38" i="45"/>
  <c r="T36" i="45"/>
  <c r="T41" i="45"/>
  <c r="T39" i="45"/>
  <c r="T37" i="45"/>
  <c r="T34" i="45"/>
  <c r="T32" i="45"/>
  <c r="T30" i="45"/>
  <c r="T28" i="45"/>
  <c r="T26" i="45"/>
  <c r="T24" i="45"/>
  <c r="T22" i="45"/>
  <c r="T20" i="45"/>
  <c r="T18" i="45"/>
  <c r="T16" i="45"/>
  <c r="T14" i="45"/>
  <c r="T12" i="45"/>
  <c r="T10" i="45"/>
  <c r="T8" i="45"/>
  <c r="T35" i="45"/>
  <c r="T33" i="45"/>
  <c r="T31" i="45"/>
  <c r="T29" i="45"/>
  <c r="T27" i="45"/>
  <c r="T25" i="45"/>
  <c r="T23" i="45"/>
  <c r="T21" i="45"/>
  <c r="T19" i="45"/>
  <c r="T17" i="45"/>
  <c r="T15" i="45"/>
  <c r="T13" i="45"/>
  <c r="T11" i="45"/>
  <c r="T9" i="45"/>
  <c r="T7" i="45"/>
  <c r="F40" i="45"/>
  <c r="F38" i="45"/>
  <c r="F36" i="45"/>
  <c r="F34" i="45"/>
  <c r="F32" i="45"/>
  <c r="F30" i="45"/>
  <c r="F28" i="45"/>
  <c r="F27" i="45"/>
  <c r="F25" i="45"/>
  <c r="F23" i="45"/>
  <c r="F21" i="45"/>
  <c r="F19" i="45"/>
  <c r="F17" i="45"/>
  <c r="F15" i="45"/>
  <c r="F13" i="45"/>
  <c r="F11" i="45"/>
  <c r="F9" i="45"/>
  <c r="F7" i="45"/>
  <c r="F41" i="45"/>
  <c r="F39" i="45"/>
  <c r="F37" i="45"/>
  <c r="F35" i="45"/>
  <c r="F33" i="45"/>
  <c r="F31" i="45"/>
  <c r="F29" i="45"/>
  <c r="F26" i="45"/>
  <c r="F24" i="45"/>
  <c r="F22" i="45"/>
  <c r="F20" i="45"/>
  <c r="F18" i="45"/>
  <c r="F16" i="45"/>
  <c r="F14" i="45"/>
  <c r="F12" i="45"/>
  <c r="F10" i="45"/>
  <c r="F8" i="45"/>
  <c r="J40" i="45"/>
  <c r="J38" i="45"/>
  <c r="J41" i="45"/>
  <c r="J39" i="45"/>
  <c r="J37" i="45"/>
  <c r="J34" i="45"/>
  <c r="J32" i="45"/>
  <c r="J30" i="45"/>
  <c r="J28" i="45"/>
  <c r="J26" i="45"/>
  <c r="J24" i="45"/>
  <c r="J22" i="45"/>
  <c r="J20" i="45"/>
  <c r="J18" i="45"/>
  <c r="J16" i="45"/>
  <c r="J14" i="45"/>
  <c r="J12" i="45"/>
  <c r="J10" i="45"/>
  <c r="J8" i="45"/>
  <c r="J36" i="45"/>
  <c r="J35" i="45"/>
  <c r="J33" i="45"/>
  <c r="J31" i="45"/>
  <c r="J29" i="45"/>
  <c r="J27" i="45"/>
  <c r="J25" i="45"/>
  <c r="J23" i="45"/>
  <c r="J21" i="45"/>
  <c r="J19" i="45"/>
  <c r="J17" i="45"/>
  <c r="J15" i="45"/>
  <c r="J13" i="45"/>
  <c r="J11" i="45"/>
  <c r="J9" i="45"/>
  <c r="J7" i="45"/>
  <c r="N40" i="45"/>
  <c r="N38" i="45"/>
  <c r="N36" i="45"/>
  <c r="N41" i="45"/>
  <c r="N39" i="45"/>
  <c r="N37" i="45"/>
  <c r="N34" i="45"/>
  <c r="N32" i="45"/>
  <c r="N30" i="45"/>
  <c r="N28" i="45"/>
  <c r="N26" i="45"/>
  <c r="N24" i="45"/>
  <c r="N22" i="45"/>
  <c r="N20" i="45"/>
  <c r="N18" i="45"/>
  <c r="N16" i="45"/>
  <c r="N14" i="45"/>
  <c r="N12" i="45"/>
  <c r="N10" i="45"/>
  <c r="N8" i="45"/>
  <c r="N35" i="45"/>
  <c r="N33" i="45"/>
  <c r="N31" i="45"/>
  <c r="N29" i="45"/>
  <c r="N27" i="45"/>
  <c r="N25" i="45"/>
  <c r="N23" i="45"/>
  <c r="N21" i="45"/>
  <c r="N19" i="45"/>
  <c r="N17" i="45"/>
  <c r="N15" i="45"/>
  <c r="N13" i="45"/>
  <c r="N11" i="45"/>
  <c r="N9" i="45"/>
  <c r="N7" i="45"/>
  <c r="R40" i="45"/>
  <c r="R38" i="45"/>
  <c r="R36" i="45"/>
  <c r="R41" i="45"/>
  <c r="R39" i="45"/>
  <c r="R37" i="45"/>
  <c r="R34" i="45"/>
  <c r="R32" i="45"/>
  <c r="R30" i="45"/>
  <c r="R28" i="45"/>
  <c r="R26" i="45"/>
  <c r="R24" i="45"/>
  <c r="R22" i="45"/>
  <c r="R20" i="45"/>
  <c r="R18" i="45"/>
  <c r="R16" i="45"/>
  <c r="R14" i="45"/>
  <c r="R12" i="45"/>
  <c r="R10" i="45"/>
  <c r="R8" i="45"/>
  <c r="R35" i="45"/>
  <c r="R33" i="45"/>
  <c r="R31" i="45"/>
  <c r="R29" i="45"/>
  <c r="R27" i="45"/>
  <c r="R25" i="45"/>
  <c r="R23" i="45"/>
  <c r="R21" i="45"/>
  <c r="R19" i="45"/>
  <c r="R17" i="45"/>
  <c r="R15" i="45"/>
  <c r="R13" i="45"/>
  <c r="R11" i="45"/>
  <c r="R9" i="45"/>
  <c r="R7" i="45"/>
  <c r="G41" i="45"/>
  <c r="G39" i="45"/>
  <c r="G37" i="45"/>
  <c r="G35" i="45"/>
  <c r="G33" i="45"/>
  <c r="G31" i="45"/>
  <c r="G29" i="45"/>
  <c r="G26" i="45"/>
  <c r="G24" i="45"/>
  <c r="G22" i="45"/>
  <c r="G20" i="45"/>
  <c r="G18" i="45"/>
  <c r="G16" i="45"/>
  <c r="G14" i="45"/>
  <c r="G12" i="45"/>
  <c r="G10" i="45"/>
  <c r="G8" i="45"/>
  <c r="G40" i="45"/>
  <c r="G38" i="45"/>
  <c r="G36" i="45"/>
  <c r="G34" i="45"/>
  <c r="G32" i="45"/>
  <c r="G30" i="45"/>
  <c r="G28" i="45"/>
  <c r="G27" i="45"/>
  <c r="G25" i="45"/>
  <c r="G23" i="45"/>
  <c r="G21" i="45"/>
  <c r="G19" i="45"/>
  <c r="G17" i="45"/>
  <c r="G15" i="45"/>
  <c r="G13" i="45"/>
  <c r="G11" i="45"/>
  <c r="G9" i="45"/>
  <c r="G7" i="45"/>
  <c r="K41" i="45"/>
  <c r="K39" i="45"/>
  <c r="K37" i="45"/>
  <c r="K40" i="45"/>
  <c r="K38" i="45"/>
  <c r="K36" i="45"/>
  <c r="K35" i="45"/>
  <c r="K33" i="45"/>
  <c r="K31" i="45"/>
  <c r="K29" i="45"/>
  <c r="K27" i="45"/>
  <c r="K25" i="45"/>
  <c r="K23" i="45"/>
  <c r="K21" i="45"/>
  <c r="K19" i="45"/>
  <c r="K17" i="45"/>
  <c r="K15" i="45"/>
  <c r="K13" i="45"/>
  <c r="K11" i="45"/>
  <c r="K9" i="45"/>
  <c r="K7" i="45"/>
  <c r="K34" i="45"/>
  <c r="K32" i="45"/>
  <c r="K30" i="45"/>
  <c r="K28" i="45"/>
  <c r="K26" i="45"/>
  <c r="K24" i="45"/>
  <c r="K22" i="45"/>
  <c r="K20" i="45"/>
  <c r="K18" i="45"/>
  <c r="K16" i="45"/>
  <c r="K14" i="45"/>
  <c r="K12" i="45"/>
  <c r="K10" i="45"/>
  <c r="K8" i="45"/>
  <c r="O41" i="45"/>
  <c r="O39" i="45"/>
  <c r="O37" i="45"/>
  <c r="O40" i="45"/>
  <c r="O38" i="45"/>
  <c r="O36" i="45"/>
  <c r="O35" i="45"/>
  <c r="O33" i="45"/>
  <c r="O31" i="45"/>
  <c r="O29" i="45"/>
  <c r="O27" i="45"/>
  <c r="O25" i="45"/>
  <c r="O23" i="45"/>
  <c r="O21" i="45"/>
  <c r="O19" i="45"/>
  <c r="O17" i="45"/>
  <c r="O15" i="45"/>
  <c r="O13" i="45"/>
  <c r="O11" i="45"/>
  <c r="O9" i="45"/>
  <c r="O7" i="45"/>
  <c r="O34" i="45"/>
  <c r="O32" i="45"/>
  <c r="O30" i="45"/>
  <c r="O28" i="45"/>
  <c r="O26" i="45"/>
  <c r="O24" i="45"/>
  <c r="O22" i="45"/>
  <c r="O20" i="45"/>
  <c r="O18" i="45"/>
  <c r="O16" i="45"/>
  <c r="O14" i="45"/>
  <c r="O12" i="45"/>
  <c r="O10" i="45"/>
  <c r="O8" i="45"/>
  <c r="S41" i="45"/>
  <c r="S39" i="45"/>
  <c r="S37" i="45"/>
  <c r="S40" i="45"/>
  <c r="S38" i="45"/>
  <c r="S36" i="45"/>
  <c r="S35" i="45"/>
  <c r="S33" i="45"/>
  <c r="S31" i="45"/>
  <c r="S29" i="45"/>
  <c r="S27" i="45"/>
  <c r="S25" i="45"/>
  <c r="S23" i="45"/>
  <c r="S21" i="45"/>
  <c r="S19" i="45"/>
  <c r="S17" i="45"/>
  <c r="S15" i="45"/>
  <c r="S13" i="45"/>
  <c r="S11" i="45"/>
  <c r="S9" i="45"/>
  <c r="S7" i="45"/>
  <c r="S34" i="45"/>
  <c r="S32" i="45"/>
  <c r="S30" i="45"/>
  <c r="S28" i="45"/>
  <c r="S26" i="45"/>
  <c r="S24" i="45"/>
  <c r="S22" i="45"/>
  <c r="S20" i="45"/>
  <c r="S18" i="45"/>
  <c r="S16" i="45"/>
  <c r="S14" i="45"/>
  <c r="S12" i="45"/>
  <c r="S10" i="45"/>
  <c r="S8" i="45"/>
  <c r="E43" i="46"/>
  <c r="E39" i="46"/>
  <c r="E35" i="46"/>
  <c r="E31" i="46"/>
  <c r="E26" i="46"/>
  <c r="E22" i="46"/>
  <c r="E18" i="46"/>
  <c r="E14" i="46"/>
  <c r="E10" i="46"/>
  <c r="E41" i="46"/>
  <c r="E37" i="46"/>
  <c r="E33" i="46"/>
  <c r="E28" i="46"/>
  <c r="E24" i="46"/>
  <c r="E20" i="46"/>
  <c r="E16" i="46"/>
  <c r="E12" i="46"/>
  <c r="E8" i="46"/>
  <c r="E9" i="46"/>
  <c r="E13" i="46"/>
  <c r="E17" i="46"/>
  <c r="E21" i="46"/>
  <c r="E25" i="46"/>
  <c r="E29" i="46"/>
  <c r="E32" i="46"/>
  <c r="E36" i="46"/>
  <c r="E40" i="46"/>
  <c r="E7" i="46"/>
  <c r="E11" i="46"/>
  <c r="E15" i="46"/>
  <c r="E19" i="46"/>
  <c r="E23" i="46"/>
  <c r="E27" i="46"/>
  <c r="E30" i="46"/>
  <c r="E34" i="46"/>
  <c r="E38" i="46"/>
  <c r="E42" i="46"/>
  <c r="I42" i="46"/>
  <c r="I38" i="46"/>
  <c r="I41" i="46"/>
  <c r="I37" i="46"/>
  <c r="I33" i="46"/>
  <c r="I29" i="46"/>
  <c r="I25" i="46"/>
  <c r="I21" i="46"/>
  <c r="I17" i="46"/>
  <c r="I13" i="46"/>
  <c r="I9" i="46"/>
  <c r="I36" i="46"/>
  <c r="I30" i="46"/>
  <c r="I20" i="46"/>
  <c r="I16" i="46"/>
  <c r="I28" i="46"/>
  <c r="I22" i="46"/>
  <c r="I40" i="46"/>
  <c r="I43" i="46"/>
  <c r="I39" i="46"/>
  <c r="I35" i="46"/>
  <c r="I31" i="46"/>
  <c r="I27" i="46"/>
  <c r="I23" i="46"/>
  <c r="I19" i="46"/>
  <c r="I15" i="46"/>
  <c r="I11" i="46"/>
  <c r="I7" i="46"/>
  <c r="I34" i="46"/>
  <c r="I24" i="46"/>
  <c r="I18" i="46"/>
  <c r="I32" i="46"/>
  <c r="I26" i="46"/>
  <c r="I14" i="46"/>
  <c r="I8" i="46"/>
  <c r="I10" i="46"/>
  <c r="I12" i="46"/>
  <c r="M40" i="46"/>
  <c r="M43" i="46"/>
  <c r="M39" i="46"/>
  <c r="M35" i="46"/>
  <c r="M31" i="46"/>
  <c r="M27" i="46"/>
  <c r="M23" i="46"/>
  <c r="M19" i="46"/>
  <c r="M15" i="46"/>
  <c r="M11" i="46"/>
  <c r="M7" i="46"/>
  <c r="M30" i="46"/>
  <c r="M20" i="46"/>
  <c r="M16" i="46"/>
  <c r="M34" i="46"/>
  <c r="M28" i="46"/>
  <c r="M22" i="46"/>
  <c r="M42" i="46"/>
  <c r="M38" i="46"/>
  <c r="M41" i="46"/>
  <c r="M37" i="46"/>
  <c r="M33" i="46"/>
  <c r="M29" i="46"/>
  <c r="M25" i="46"/>
  <c r="M21" i="46"/>
  <c r="M17" i="46"/>
  <c r="M13" i="46"/>
  <c r="M9" i="46"/>
  <c r="M36" i="46"/>
  <c r="M24" i="46"/>
  <c r="M18" i="46"/>
  <c r="M12" i="46"/>
  <c r="M32" i="46"/>
  <c r="M26" i="46"/>
  <c r="M14" i="46"/>
  <c r="M8" i="46"/>
  <c r="M10" i="46"/>
  <c r="Q40" i="46"/>
  <c r="Q43" i="46"/>
  <c r="Q39" i="46"/>
  <c r="Q35" i="46"/>
  <c r="Q31" i="46"/>
  <c r="Q27" i="46"/>
  <c r="Q23" i="46"/>
  <c r="Q19" i="46"/>
  <c r="Q15" i="46"/>
  <c r="Q11" i="46"/>
  <c r="Q7" i="46"/>
  <c r="Q34" i="46"/>
  <c r="Q24" i="46"/>
  <c r="Q18" i="46"/>
  <c r="Q32" i="46"/>
  <c r="Q26" i="46"/>
  <c r="Q16" i="46"/>
  <c r="Q42" i="46"/>
  <c r="Q38" i="46"/>
  <c r="Q41" i="46"/>
  <c r="Q37" i="46"/>
  <c r="Q33" i="46"/>
  <c r="Q29" i="46"/>
  <c r="Q25" i="46"/>
  <c r="Q21" i="46"/>
  <c r="Q17" i="46"/>
  <c r="Q13" i="46"/>
  <c r="Q9" i="46"/>
  <c r="Q36" i="46"/>
  <c r="Q30" i="46"/>
  <c r="Q20" i="46"/>
  <c r="Q12" i="46"/>
  <c r="Q28" i="46"/>
  <c r="Q22" i="46"/>
  <c r="Q14" i="46"/>
  <c r="Q8" i="46"/>
  <c r="Q10" i="46"/>
  <c r="U40" i="46"/>
  <c r="U43" i="46"/>
  <c r="U39" i="46"/>
  <c r="U35" i="46"/>
  <c r="U31" i="46"/>
  <c r="U27" i="46"/>
  <c r="U23" i="46"/>
  <c r="U19" i="46"/>
  <c r="U15" i="46"/>
  <c r="U11" i="46"/>
  <c r="U7" i="46"/>
  <c r="U34" i="46"/>
  <c r="U24" i="46"/>
  <c r="U18" i="46"/>
  <c r="U32" i="46"/>
  <c r="U26" i="46"/>
  <c r="U16" i="46"/>
  <c r="U42" i="46"/>
  <c r="U38" i="46"/>
  <c r="U41" i="46"/>
  <c r="U37" i="46"/>
  <c r="U33" i="46"/>
  <c r="U29" i="46"/>
  <c r="U25" i="46"/>
  <c r="U21" i="46"/>
  <c r="U17" i="46"/>
  <c r="U13" i="46"/>
  <c r="U9" i="46"/>
  <c r="U36" i="46"/>
  <c r="U30" i="46"/>
  <c r="U20" i="46"/>
  <c r="U12" i="46"/>
  <c r="U28" i="46"/>
  <c r="U22" i="46"/>
  <c r="U14" i="46"/>
  <c r="U8" i="46"/>
  <c r="U10" i="46"/>
  <c r="F42" i="46"/>
  <c r="F10" i="46"/>
  <c r="F18" i="46"/>
  <c r="F26" i="46"/>
  <c r="F37" i="46"/>
  <c r="F12" i="46"/>
  <c r="F20" i="46"/>
  <c r="F28" i="46"/>
  <c r="F35" i="46"/>
  <c r="F43" i="46"/>
  <c r="F14" i="46"/>
  <c r="F22" i="46"/>
  <c r="F33" i="46"/>
  <c r="F41" i="46"/>
  <c r="F8" i="46"/>
  <c r="F16" i="46"/>
  <c r="F24" i="46"/>
  <c r="F31" i="46"/>
  <c r="F39" i="46"/>
  <c r="F7" i="46"/>
  <c r="F11" i="46"/>
  <c r="F15" i="46"/>
  <c r="F19" i="46"/>
  <c r="F23" i="46"/>
  <c r="F27" i="46"/>
  <c r="F30" i="46"/>
  <c r="F34" i="46"/>
  <c r="F9" i="46"/>
  <c r="F13" i="46"/>
  <c r="F17" i="46"/>
  <c r="F21" i="46"/>
  <c r="F25" i="46"/>
  <c r="F29" i="46"/>
  <c r="F32" i="46"/>
  <c r="F38" i="46"/>
  <c r="F36" i="46"/>
  <c r="F40" i="46"/>
  <c r="J37" i="46"/>
  <c r="J9" i="46"/>
  <c r="J13" i="46"/>
  <c r="J17" i="46"/>
  <c r="J21" i="46"/>
  <c r="J25" i="46"/>
  <c r="J29" i="46"/>
  <c r="J33" i="46"/>
  <c r="J7" i="46"/>
  <c r="J11" i="46"/>
  <c r="J15" i="46"/>
  <c r="J19" i="46"/>
  <c r="J23" i="46"/>
  <c r="J27" i="46"/>
  <c r="J31" i="46"/>
  <c r="J35" i="46"/>
  <c r="J43" i="46"/>
  <c r="J39" i="46"/>
  <c r="J40" i="46"/>
  <c r="J41" i="46"/>
  <c r="J42" i="46"/>
  <c r="J38" i="46"/>
  <c r="J8" i="46"/>
  <c r="J10" i="46"/>
  <c r="J12" i="46"/>
  <c r="J14" i="46"/>
  <c r="J16" i="46"/>
  <c r="J18" i="46"/>
  <c r="J20" i="46"/>
  <c r="J22" i="46"/>
  <c r="J24" i="46"/>
  <c r="J26" i="46"/>
  <c r="J28" i="46"/>
  <c r="J30" i="46"/>
  <c r="J32" i="46"/>
  <c r="J34" i="46"/>
  <c r="J36" i="46"/>
  <c r="N35" i="46"/>
  <c r="N7" i="46"/>
  <c r="N11" i="46"/>
  <c r="N15" i="46"/>
  <c r="N19" i="46"/>
  <c r="N23" i="46"/>
  <c r="N27" i="46"/>
  <c r="N31" i="46"/>
  <c r="N9" i="46"/>
  <c r="N13" i="46"/>
  <c r="N17" i="46"/>
  <c r="N21" i="46"/>
  <c r="N25" i="46"/>
  <c r="N29" i="46"/>
  <c r="N33" i="46"/>
  <c r="N43" i="46"/>
  <c r="N39" i="46"/>
  <c r="N42" i="46"/>
  <c r="N38" i="46"/>
  <c r="N41" i="46"/>
  <c r="N37" i="46"/>
  <c r="N40" i="46"/>
  <c r="N8" i="46"/>
  <c r="N10" i="46"/>
  <c r="N12" i="46"/>
  <c r="N14" i="46"/>
  <c r="N16" i="46"/>
  <c r="N18" i="46"/>
  <c r="N20" i="46"/>
  <c r="N22" i="46"/>
  <c r="N24" i="46"/>
  <c r="N26" i="46"/>
  <c r="N28" i="46"/>
  <c r="N30" i="46"/>
  <c r="N32" i="46"/>
  <c r="N34" i="46"/>
  <c r="N36" i="46"/>
  <c r="R35" i="46"/>
  <c r="R9" i="46"/>
  <c r="R13" i="46"/>
  <c r="R17" i="46"/>
  <c r="R21" i="46"/>
  <c r="R25" i="46"/>
  <c r="R29" i="46"/>
  <c r="R33" i="46"/>
  <c r="R7" i="46"/>
  <c r="R11" i="46"/>
  <c r="R15" i="46"/>
  <c r="R19" i="46"/>
  <c r="R23" i="46"/>
  <c r="R27" i="46"/>
  <c r="R31" i="46"/>
  <c r="R43" i="46"/>
  <c r="R39" i="46"/>
  <c r="R42" i="46"/>
  <c r="R38" i="46"/>
  <c r="R41" i="46"/>
  <c r="R37" i="46"/>
  <c r="R40" i="46"/>
  <c r="R8" i="46"/>
  <c r="R10" i="46"/>
  <c r="R12" i="46"/>
  <c r="R14" i="46"/>
  <c r="R16" i="46"/>
  <c r="R18" i="46"/>
  <c r="R20" i="46"/>
  <c r="R22" i="46"/>
  <c r="R24" i="46"/>
  <c r="R26" i="46"/>
  <c r="R28" i="46"/>
  <c r="R30" i="46"/>
  <c r="R32" i="46"/>
  <c r="R34" i="46"/>
  <c r="R36" i="46"/>
  <c r="T35" i="46"/>
  <c r="T7" i="46"/>
  <c r="T11" i="46"/>
  <c r="T15" i="46"/>
  <c r="T19" i="46"/>
  <c r="T23" i="46"/>
  <c r="T27" i="46"/>
  <c r="T31" i="46"/>
  <c r="T9" i="46"/>
  <c r="T13" i="46"/>
  <c r="T17" i="46"/>
  <c r="T21" i="46"/>
  <c r="T25" i="46"/>
  <c r="T29" i="46"/>
  <c r="T33" i="46"/>
  <c r="T41" i="46"/>
  <c r="T37" i="46"/>
  <c r="T40" i="46"/>
  <c r="T43" i="46"/>
  <c r="T39" i="46"/>
  <c r="T42" i="46"/>
  <c r="T38" i="46"/>
  <c r="T8" i="46"/>
  <c r="T10" i="46"/>
  <c r="T12" i="46"/>
  <c r="T14" i="46"/>
  <c r="T16" i="46"/>
  <c r="T18" i="46"/>
  <c r="T20" i="46"/>
  <c r="T22" i="46"/>
  <c r="T24" i="46"/>
  <c r="T26" i="46"/>
  <c r="T28" i="46"/>
  <c r="T30" i="46"/>
  <c r="T32" i="46"/>
  <c r="T34" i="46"/>
  <c r="T36" i="46"/>
  <c r="D40" i="45"/>
  <c r="D38" i="45"/>
  <c r="D36" i="45"/>
  <c r="D34" i="45"/>
  <c r="D32" i="45"/>
  <c r="D30" i="45"/>
  <c r="D28" i="45"/>
  <c r="D27" i="45"/>
  <c r="D25" i="45"/>
  <c r="D23" i="45"/>
  <c r="D21" i="45"/>
  <c r="D19" i="45"/>
  <c r="D17" i="45"/>
  <c r="D15" i="45"/>
  <c r="D13" i="45"/>
  <c r="D11" i="45"/>
  <c r="D9" i="45"/>
  <c r="D7" i="45"/>
  <c r="D41" i="45"/>
  <c r="D39" i="45"/>
  <c r="D37" i="45"/>
  <c r="D35" i="45"/>
  <c r="D33" i="45"/>
  <c r="D31" i="45"/>
  <c r="D29" i="45"/>
  <c r="D26" i="45"/>
  <c r="D24" i="45"/>
  <c r="D22" i="45"/>
  <c r="D20" i="45"/>
  <c r="D18" i="45"/>
  <c r="D16" i="45"/>
  <c r="D14" i="45"/>
  <c r="D12" i="45"/>
  <c r="D10" i="45"/>
  <c r="D8" i="45"/>
  <c r="V2" i="45"/>
  <c r="H40" i="45"/>
  <c r="H38" i="45"/>
  <c r="H36" i="45"/>
  <c r="H34" i="45"/>
  <c r="H32" i="45"/>
  <c r="H30" i="45"/>
  <c r="H28" i="45"/>
  <c r="H27" i="45"/>
  <c r="H25" i="45"/>
  <c r="H23" i="45"/>
  <c r="H21" i="45"/>
  <c r="H19" i="45"/>
  <c r="H17" i="45"/>
  <c r="H15" i="45"/>
  <c r="H13" i="45"/>
  <c r="H11" i="45"/>
  <c r="H9" i="45"/>
  <c r="H7" i="45"/>
  <c r="H41" i="45"/>
  <c r="H39" i="45"/>
  <c r="H37" i="45"/>
  <c r="H35" i="45"/>
  <c r="H33" i="45"/>
  <c r="H31" i="45"/>
  <c r="H29" i="45"/>
  <c r="H26" i="45"/>
  <c r="H24" i="45"/>
  <c r="H22" i="45"/>
  <c r="H20" i="45"/>
  <c r="H18" i="45"/>
  <c r="H16" i="45"/>
  <c r="H14" i="45"/>
  <c r="H12" i="45"/>
  <c r="H10" i="45"/>
  <c r="H8" i="45"/>
  <c r="L40" i="45"/>
  <c r="L38" i="45"/>
  <c r="L41" i="45"/>
  <c r="L39" i="45"/>
  <c r="L37" i="45"/>
  <c r="L36" i="45"/>
  <c r="L34" i="45"/>
  <c r="L32" i="45"/>
  <c r="L30" i="45"/>
  <c r="L28" i="45"/>
  <c r="L26" i="45"/>
  <c r="L24" i="45"/>
  <c r="L22" i="45"/>
  <c r="L20" i="45"/>
  <c r="L18" i="45"/>
  <c r="L16" i="45"/>
  <c r="L14" i="45"/>
  <c r="L12" i="45"/>
  <c r="L10" i="45"/>
  <c r="L8" i="45"/>
  <c r="L35" i="45"/>
  <c r="L33" i="45"/>
  <c r="L31" i="45"/>
  <c r="L29" i="45"/>
  <c r="L27" i="45"/>
  <c r="L25" i="45"/>
  <c r="L23" i="45"/>
  <c r="L21" i="45"/>
  <c r="L19" i="45"/>
  <c r="L17" i="45"/>
  <c r="L15" i="45"/>
  <c r="L13" i="45"/>
  <c r="L11" i="45"/>
  <c r="L9" i="45"/>
  <c r="L7" i="45"/>
  <c r="P40" i="45"/>
  <c r="P38" i="45"/>
  <c r="P36" i="45"/>
  <c r="P41" i="45"/>
  <c r="P39" i="45"/>
  <c r="P37" i="45"/>
  <c r="P34" i="45"/>
  <c r="P32" i="45"/>
  <c r="P30" i="45"/>
  <c r="P28" i="45"/>
  <c r="P26" i="45"/>
  <c r="P24" i="45"/>
  <c r="P22" i="45"/>
  <c r="P20" i="45"/>
  <c r="P18" i="45"/>
  <c r="P16" i="45"/>
  <c r="P14" i="45"/>
  <c r="P12" i="45"/>
  <c r="P10" i="45"/>
  <c r="P8" i="45"/>
  <c r="P35" i="45"/>
  <c r="P33" i="45"/>
  <c r="P31" i="45"/>
  <c r="P29" i="45"/>
  <c r="P27" i="45"/>
  <c r="P25" i="45"/>
  <c r="P23" i="45"/>
  <c r="P21" i="45"/>
  <c r="P19" i="45"/>
  <c r="P17" i="45"/>
  <c r="P15" i="45"/>
  <c r="P13" i="45"/>
  <c r="P11" i="45"/>
  <c r="P9" i="45"/>
  <c r="P7" i="45"/>
  <c r="E41" i="45"/>
  <c r="E39" i="45"/>
  <c r="E37" i="45"/>
  <c r="E35" i="45"/>
  <c r="E33" i="45"/>
  <c r="E31" i="45"/>
  <c r="E29" i="45"/>
  <c r="E26" i="45"/>
  <c r="E24" i="45"/>
  <c r="E22" i="45"/>
  <c r="E20" i="45"/>
  <c r="E18" i="45"/>
  <c r="E16" i="45"/>
  <c r="E14" i="45"/>
  <c r="E12" i="45"/>
  <c r="E10" i="45"/>
  <c r="E8" i="45"/>
  <c r="E40" i="45"/>
  <c r="E38" i="45"/>
  <c r="E36" i="45"/>
  <c r="E34" i="45"/>
  <c r="E32" i="45"/>
  <c r="E30" i="45"/>
  <c r="E28" i="45"/>
  <c r="E27" i="45"/>
  <c r="E25" i="45"/>
  <c r="E23" i="45"/>
  <c r="E21" i="45"/>
  <c r="E19" i="45"/>
  <c r="E17" i="45"/>
  <c r="E15" i="45"/>
  <c r="E13" i="45"/>
  <c r="E11" i="45"/>
  <c r="E9" i="45"/>
  <c r="E7" i="45"/>
  <c r="I41" i="45"/>
  <c r="I39" i="45"/>
  <c r="I37" i="45"/>
  <c r="I40" i="45"/>
  <c r="I38" i="45"/>
  <c r="I36" i="45"/>
  <c r="I35" i="45"/>
  <c r="I33" i="45"/>
  <c r="I31" i="45"/>
  <c r="I29" i="45"/>
  <c r="I27" i="45"/>
  <c r="I25" i="45"/>
  <c r="I23" i="45"/>
  <c r="I21" i="45"/>
  <c r="I19" i="45"/>
  <c r="I17" i="45"/>
  <c r="I15" i="45"/>
  <c r="I13" i="45"/>
  <c r="I11" i="45"/>
  <c r="I9" i="45"/>
  <c r="I7" i="45"/>
  <c r="I34" i="45"/>
  <c r="I32" i="45"/>
  <c r="I30" i="45"/>
  <c r="I28" i="45"/>
  <c r="I26" i="45"/>
  <c r="I24" i="45"/>
  <c r="I22" i="45"/>
  <c r="I20" i="45"/>
  <c r="I18" i="45"/>
  <c r="I16" i="45"/>
  <c r="I14" i="45"/>
  <c r="I12" i="45"/>
  <c r="I10" i="45"/>
  <c r="I8" i="45"/>
  <c r="M41" i="45"/>
  <c r="M39" i="45"/>
  <c r="M37" i="45"/>
  <c r="M40" i="45"/>
  <c r="M38" i="45"/>
  <c r="M36" i="45"/>
  <c r="M35" i="45"/>
  <c r="M33" i="45"/>
  <c r="M31" i="45"/>
  <c r="M29" i="45"/>
  <c r="M27" i="45"/>
  <c r="M25" i="45"/>
  <c r="M23" i="45"/>
  <c r="M21" i="45"/>
  <c r="M19" i="45"/>
  <c r="M17" i="45"/>
  <c r="M15" i="45"/>
  <c r="M13" i="45"/>
  <c r="M11" i="45"/>
  <c r="M9" i="45"/>
  <c r="M7" i="45"/>
  <c r="M34" i="45"/>
  <c r="M32" i="45"/>
  <c r="M30" i="45"/>
  <c r="M28" i="45"/>
  <c r="M26" i="45"/>
  <c r="M24" i="45"/>
  <c r="M22" i="45"/>
  <c r="M20" i="45"/>
  <c r="M18" i="45"/>
  <c r="M16" i="45"/>
  <c r="M14" i="45"/>
  <c r="M12" i="45"/>
  <c r="M10" i="45"/>
  <c r="M8" i="45"/>
  <c r="Q41" i="45"/>
  <c r="Q39" i="45"/>
  <c r="Q37" i="45"/>
  <c r="Q40" i="45"/>
  <c r="Q38" i="45"/>
  <c r="Q36" i="45"/>
  <c r="Q35" i="45"/>
  <c r="Q33" i="45"/>
  <c r="Q31" i="45"/>
  <c r="Q29" i="45"/>
  <c r="Q27" i="45"/>
  <c r="Q25" i="45"/>
  <c r="Q23" i="45"/>
  <c r="Q21" i="45"/>
  <c r="Q19" i="45"/>
  <c r="Q17" i="45"/>
  <c r="Q15" i="45"/>
  <c r="Q13" i="45"/>
  <c r="Q11" i="45"/>
  <c r="Q9" i="45"/>
  <c r="Q7" i="45"/>
  <c r="Q34" i="45"/>
  <c r="Q32" i="45"/>
  <c r="Q30" i="45"/>
  <c r="Q28" i="45"/>
  <c r="Q26" i="45"/>
  <c r="Q24" i="45"/>
  <c r="Q22" i="45"/>
  <c r="Q20" i="45"/>
  <c r="Q18" i="45"/>
  <c r="Q16" i="45"/>
  <c r="Q14" i="45"/>
  <c r="Q12" i="45"/>
  <c r="Q10" i="45"/>
  <c r="Q8" i="45"/>
  <c r="U41" i="45"/>
  <c r="U39" i="45"/>
  <c r="U37" i="45"/>
  <c r="U40" i="45"/>
  <c r="U38" i="45"/>
  <c r="U36" i="45"/>
  <c r="U35" i="45"/>
  <c r="U33" i="45"/>
  <c r="U31" i="45"/>
  <c r="U29" i="45"/>
  <c r="U27" i="45"/>
  <c r="U25" i="45"/>
  <c r="U23" i="45"/>
  <c r="U21" i="45"/>
  <c r="U19" i="45"/>
  <c r="U17" i="45"/>
  <c r="U15" i="45"/>
  <c r="U13" i="45"/>
  <c r="U11" i="45"/>
  <c r="U9" i="45"/>
  <c r="U7" i="45"/>
  <c r="U34" i="45"/>
  <c r="U32" i="45"/>
  <c r="U30" i="45"/>
  <c r="U28" i="45"/>
  <c r="U26" i="45"/>
  <c r="U24" i="45"/>
  <c r="U22" i="45"/>
  <c r="U20" i="45"/>
  <c r="U18" i="45"/>
  <c r="U16" i="45"/>
  <c r="U14" i="45"/>
  <c r="U12" i="45"/>
  <c r="U10" i="45"/>
  <c r="U8" i="45"/>
  <c r="G43" i="46"/>
  <c r="G39" i="46"/>
  <c r="G35" i="46"/>
  <c r="G31" i="46"/>
  <c r="G26" i="46"/>
  <c r="G22" i="46"/>
  <c r="G18" i="46"/>
  <c r="G14" i="46"/>
  <c r="G10" i="46"/>
  <c r="G41" i="46"/>
  <c r="G37" i="46"/>
  <c r="G33" i="46"/>
  <c r="G28" i="46"/>
  <c r="G24" i="46"/>
  <c r="G20" i="46"/>
  <c r="G16" i="46"/>
  <c r="G12" i="46"/>
  <c r="G8" i="46"/>
  <c r="G7" i="46"/>
  <c r="G11" i="46"/>
  <c r="G15" i="46"/>
  <c r="G19" i="46"/>
  <c r="G23" i="46"/>
  <c r="G27" i="46"/>
  <c r="G30" i="46"/>
  <c r="G34" i="46"/>
  <c r="G38" i="46"/>
  <c r="G42" i="46"/>
  <c r="G9" i="46"/>
  <c r="G13" i="46"/>
  <c r="G17" i="46"/>
  <c r="G21" i="46"/>
  <c r="G25" i="46"/>
  <c r="G29" i="46"/>
  <c r="G32" i="46"/>
  <c r="G36" i="46"/>
  <c r="G40" i="46"/>
  <c r="K42" i="46"/>
  <c r="K38" i="46"/>
  <c r="K41" i="46"/>
  <c r="K37" i="46"/>
  <c r="K33" i="46"/>
  <c r="K29" i="46"/>
  <c r="K25" i="46"/>
  <c r="K21" i="46"/>
  <c r="K17" i="46"/>
  <c r="K13" i="46"/>
  <c r="K9" i="46"/>
  <c r="K32" i="46"/>
  <c r="K26" i="46"/>
  <c r="K14" i="46"/>
  <c r="K34" i="46"/>
  <c r="K24" i="46"/>
  <c r="K18" i="46"/>
  <c r="K12" i="46"/>
  <c r="K40" i="46"/>
  <c r="K43" i="46"/>
  <c r="K39" i="46"/>
  <c r="K35" i="46"/>
  <c r="K31" i="46"/>
  <c r="K27" i="46"/>
  <c r="K23" i="46"/>
  <c r="K19" i="46"/>
  <c r="K15" i="46"/>
  <c r="K11" i="46"/>
  <c r="K7" i="46"/>
  <c r="K28" i="46"/>
  <c r="K22" i="46"/>
  <c r="K36" i="46"/>
  <c r="K30" i="46"/>
  <c r="K20" i="46"/>
  <c r="K16" i="46"/>
  <c r="K10" i="46"/>
  <c r="K8" i="46"/>
  <c r="O42" i="46"/>
  <c r="O38" i="46"/>
  <c r="O41" i="46"/>
  <c r="O37" i="46"/>
  <c r="O33" i="46"/>
  <c r="O29" i="46"/>
  <c r="O25" i="46"/>
  <c r="O21" i="46"/>
  <c r="O17" i="46"/>
  <c r="O13" i="46"/>
  <c r="O9" i="46"/>
  <c r="O36" i="46"/>
  <c r="O32" i="46"/>
  <c r="O26" i="46"/>
  <c r="O14" i="46"/>
  <c r="O24" i="46"/>
  <c r="O18" i="46"/>
  <c r="O12" i="46"/>
  <c r="O40" i="46"/>
  <c r="O43" i="46"/>
  <c r="O39" i="46"/>
  <c r="O35" i="46"/>
  <c r="O31" i="46"/>
  <c r="O27" i="46"/>
  <c r="O23" i="46"/>
  <c r="O19" i="46"/>
  <c r="O15" i="46"/>
  <c r="O11" i="46"/>
  <c r="O7" i="46"/>
  <c r="O34" i="46"/>
  <c r="O28" i="46"/>
  <c r="O22" i="46"/>
  <c r="O30" i="46"/>
  <c r="O20" i="46"/>
  <c r="O16" i="46"/>
  <c r="O8" i="46"/>
  <c r="O10" i="46"/>
  <c r="S42" i="46"/>
  <c r="S38" i="46"/>
  <c r="S41" i="46"/>
  <c r="S37" i="46"/>
  <c r="S33" i="46"/>
  <c r="S29" i="46"/>
  <c r="S25" i="46"/>
  <c r="S21" i="46"/>
  <c r="S17" i="46"/>
  <c r="S13" i="46"/>
  <c r="S9" i="46"/>
  <c r="S32" i="46"/>
  <c r="S26" i="46"/>
  <c r="S16" i="46"/>
  <c r="S36" i="46"/>
  <c r="S30" i="46"/>
  <c r="S20" i="46"/>
  <c r="S12" i="46"/>
  <c r="S40" i="46"/>
  <c r="S43" i="46"/>
  <c r="S39" i="46"/>
  <c r="S35" i="46"/>
  <c r="S31" i="46"/>
  <c r="S27" i="46"/>
  <c r="S23" i="46"/>
  <c r="S19" i="46"/>
  <c r="S15" i="46"/>
  <c r="S11" i="46"/>
  <c r="S7" i="46"/>
  <c r="S28" i="46"/>
  <c r="S22" i="46"/>
  <c r="S14" i="46"/>
  <c r="S34" i="46"/>
  <c r="S24" i="46"/>
  <c r="S18" i="46"/>
  <c r="S10" i="46"/>
  <c r="S8" i="46"/>
  <c r="D42" i="46"/>
  <c r="D8" i="46"/>
  <c r="D16" i="46"/>
  <c r="D24" i="46"/>
  <c r="D35" i="46"/>
  <c r="D43" i="46"/>
  <c r="D10" i="46"/>
  <c r="D18" i="46"/>
  <c r="D26" i="46"/>
  <c r="D33" i="46"/>
  <c r="D41" i="46"/>
  <c r="D12" i="46"/>
  <c r="D20" i="46"/>
  <c r="D28" i="46"/>
  <c r="D31" i="46"/>
  <c r="D39" i="46"/>
  <c r="D14" i="46"/>
  <c r="D22" i="46"/>
  <c r="D37" i="46"/>
  <c r="D9" i="46"/>
  <c r="D13" i="46"/>
  <c r="D17" i="46"/>
  <c r="D21" i="46"/>
  <c r="D25" i="46"/>
  <c r="D29" i="46"/>
  <c r="D32" i="46"/>
  <c r="D7" i="46"/>
  <c r="D11" i="46"/>
  <c r="D15" i="46"/>
  <c r="D19" i="46"/>
  <c r="D23" i="46"/>
  <c r="D27" i="46"/>
  <c r="D30" i="46"/>
  <c r="D34" i="46"/>
  <c r="D36" i="46"/>
  <c r="D40" i="46"/>
  <c r="D38" i="46"/>
  <c r="V2" i="46"/>
  <c r="H42" i="46"/>
  <c r="H12" i="46"/>
  <c r="H20" i="46"/>
  <c r="H28" i="46"/>
  <c r="H31" i="46"/>
  <c r="H39" i="46"/>
  <c r="H14" i="46"/>
  <c r="H22" i="46"/>
  <c r="H37" i="46"/>
  <c r="H8" i="46"/>
  <c r="H16" i="46"/>
  <c r="H24" i="46"/>
  <c r="H35" i="46"/>
  <c r="H43" i="46"/>
  <c r="H10" i="46"/>
  <c r="H18" i="46"/>
  <c r="H26" i="46"/>
  <c r="H33" i="46"/>
  <c r="H41" i="46"/>
  <c r="H9" i="46"/>
  <c r="H13" i="46"/>
  <c r="H17" i="46"/>
  <c r="H21" i="46"/>
  <c r="H25" i="46"/>
  <c r="H29" i="46"/>
  <c r="H32" i="46"/>
  <c r="H7" i="46"/>
  <c r="H11" i="46"/>
  <c r="H15" i="46"/>
  <c r="H19" i="46"/>
  <c r="H23" i="46"/>
  <c r="H27" i="46"/>
  <c r="H30" i="46"/>
  <c r="H36" i="46"/>
  <c r="H40" i="46"/>
  <c r="H34" i="46"/>
  <c r="H38" i="46"/>
  <c r="L37" i="46"/>
  <c r="L7" i="46"/>
  <c r="L11" i="46"/>
  <c r="L15" i="46"/>
  <c r="L19" i="46"/>
  <c r="L23" i="46"/>
  <c r="L27" i="46"/>
  <c r="L31" i="46"/>
  <c r="L35" i="46"/>
  <c r="L9" i="46"/>
  <c r="L13" i="46"/>
  <c r="L17" i="46"/>
  <c r="L21" i="46"/>
  <c r="L25" i="46"/>
  <c r="L29" i="46"/>
  <c r="L33" i="46"/>
  <c r="L43" i="46"/>
  <c r="L39" i="46"/>
  <c r="L40" i="46"/>
  <c r="L41" i="46"/>
  <c r="L42" i="46"/>
  <c r="L38" i="46"/>
  <c r="L8" i="46"/>
  <c r="L10" i="46"/>
  <c r="L12" i="46"/>
  <c r="L14" i="46"/>
  <c r="L16" i="46"/>
  <c r="L18" i="46"/>
  <c r="L20" i="46"/>
  <c r="L22" i="46"/>
  <c r="L24" i="46"/>
  <c r="L26" i="46"/>
  <c r="L28" i="46"/>
  <c r="L30" i="46"/>
  <c r="L32" i="46"/>
  <c r="L34" i="46"/>
  <c r="L36" i="46"/>
  <c r="P35" i="46"/>
  <c r="P9" i="46"/>
  <c r="P13" i="46"/>
  <c r="P17" i="46"/>
  <c r="P21" i="46"/>
  <c r="P25" i="46"/>
  <c r="P29" i="46"/>
  <c r="P33" i="46"/>
  <c r="P7" i="46"/>
  <c r="P11" i="46"/>
  <c r="P15" i="46"/>
  <c r="P19" i="46"/>
  <c r="P23" i="46"/>
  <c r="P27" i="46"/>
  <c r="P31" i="46"/>
  <c r="P41" i="46"/>
  <c r="P37" i="46"/>
  <c r="P40" i="46"/>
  <c r="P43" i="46"/>
  <c r="P39" i="46"/>
  <c r="P42" i="46"/>
  <c r="P38" i="46"/>
  <c r="P8" i="46"/>
  <c r="P10" i="46"/>
  <c r="P12" i="46"/>
  <c r="P14" i="46"/>
  <c r="P16" i="46"/>
  <c r="P18" i="46"/>
  <c r="P20" i="46"/>
  <c r="P22" i="46"/>
  <c r="P24" i="46"/>
  <c r="P26" i="46"/>
  <c r="P28" i="46"/>
  <c r="P30" i="46"/>
  <c r="P32" i="46"/>
  <c r="P34" i="46"/>
  <c r="P36" i="46"/>
  <c r="D39" i="20"/>
  <c r="E39" i="20" s="1"/>
  <c r="D38" i="20"/>
  <c r="E38" i="20" s="1"/>
  <c r="D37" i="20"/>
  <c r="E37" i="20" s="1"/>
  <c r="E37" i="23"/>
  <c r="G37" i="23"/>
  <c r="I37" i="23"/>
  <c r="K37" i="23"/>
  <c r="M37" i="23"/>
  <c r="D35" i="20"/>
  <c r="E35" i="20" s="1"/>
  <c r="E35" i="23"/>
  <c r="G35" i="23"/>
  <c r="I35" i="23"/>
  <c r="K35" i="23"/>
  <c r="M35" i="23"/>
  <c r="D33" i="20"/>
  <c r="E33" i="20" s="1"/>
  <c r="E33" i="23"/>
  <c r="G33" i="23"/>
  <c r="I33" i="23"/>
  <c r="K33" i="23"/>
  <c r="M33" i="23"/>
  <c r="E32" i="23"/>
  <c r="G32" i="23"/>
  <c r="I32" i="23"/>
  <c r="K32" i="23"/>
  <c r="M32" i="23"/>
  <c r="D32" i="20"/>
  <c r="E32" i="20" s="1"/>
  <c r="D31" i="20"/>
  <c r="E31" i="20" s="1"/>
  <c r="E31" i="23"/>
  <c r="G31" i="23"/>
  <c r="I31" i="23"/>
  <c r="K31" i="23"/>
  <c r="M31" i="23"/>
  <c r="E30" i="23"/>
  <c r="G30" i="23"/>
  <c r="I30" i="23"/>
  <c r="K30" i="23"/>
  <c r="M30" i="23"/>
  <c r="D30" i="20"/>
  <c r="E30" i="20" s="1"/>
  <c r="D42" i="20"/>
  <c r="E42" i="20" s="1"/>
  <c r="D41" i="20"/>
  <c r="E41" i="20" s="1"/>
  <c r="D40" i="20"/>
  <c r="E40" i="20" s="1"/>
  <c r="E36" i="23"/>
  <c r="G36" i="23"/>
  <c r="I36" i="23"/>
  <c r="K36" i="23"/>
  <c r="M36" i="23"/>
  <c r="D36" i="20"/>
  <c r="E36" i="20" s="1"/>
  <c r="E34" i="23"/>
  <c r="G34" i="23"/>
  <c r="I34" i="23"/>
  <c r="K34" i="23"/>
  <c r="M34" i="23"/>
  <c r="D34" i="20"/>
  <c r="E34" i="20" s="1"/>
  <c r="D29" i="20"/>
  <c r="E29" i="20" s="1"/>
  <c r="E29" i="23"/>
  <c r="G29" i="23"/>
  <c r="I29" i="23"/>
  <c r="K29" i="23"/>
  <c r="M29" i="23"/>
  <c r="D28" i="20"/>
  <c r="E28" i="23"/>
  <c r="G28" i="23"/>
  <c r="I28" i="23"/>
  <c r="K28" i="23"/>
  <c r="M28" i="23"/>
  <c r="E27" i="23"/>
  <c r="G27" i="23"/>
  <c r="I27" i="23"/>
  <c r="K27" i="23"/>
  <c r="M27" i="23"/>
  <c r="D27" i="20"/>
  <c r="D26" i="20"/>
  <c r="E26" i="23"/>
  <c r="G26" i="23"/>
  <c r="I26" i="23"/>
  <c r="K26" i="23"/>
  <c r="M26" i="23"/>
  <c r="D24" i="20"/>
  <c r="E24" i="20" s="1"/>
  <c r="M24" i="23"/>
  <c r="E24" i="23"/>
  <c r="K24" i="23"/>
  <c r="I24" i="23"/>
  <c r="G24" i="23"/>
  <c r="D23" i="20"/>
  <c r="E23" i="20" s="1"/>
  <c r="G23" i="23"/>
  <c r="M23" i="23"/>
  <c r="E23" i="23"/>
  <c r="K23" i="23"/>
  <c r="I23" i="23"/>
  <c r="D22" i="20"/>
  <c r="E22" i="20" s="1"/>
  <c r="I22" i="23"/>
  <c r="G22" i="23"/>
  <c r="M22" i="23"/>
  <c r="E22" i="23"/>
  <c r="K22" i="23"/>
  <c r="D21" i="20"/>
  <c r="K21" i="23"/>
  <c r="I21" i="23"/>
  <c r="G21" i="23"/>
  <c r="M21" i="23"/>
  <c r="E21" i="23"/>
  <c r="D20" i="20"/>
  <c r="E20" i="20" s="1"/>
  <c r="M20" i="23"/>
  <c r="E20" i="23"/>
  <c r="K20" i="23"/>
  <c r="I20" i="23"/>
  <c r="G20" i="23"/>
  <c r="D19" i="20"/>
  <c r="E19" i="20" s="1"/>
  <c r="G19" i="23"/>
  <c r="M19" i="23"/>
  <c r="E19" i="23"/>
  <c r="K19" i="23"/>
  <c r="I19" i="23"/>
  <c r="D18" i="20"/>
  <c r="E18" i="20" s="1"/>
  <c r="I18" i="23"/>
  <c r="G18" i="23"/>
  <c r="M18" i="23"/>
  <c r="E18" i="23"/>
  <c r="K18" i="23"/>
  <c r="D17" i="20"/>
  <c r="E17" i="20" s="1"/>
  <c r="K17" i="23"/>
  <c r="I17" i="23"/>
  <c r="G17" i="23"/>
  <c r="M17" i="23"/>
  <c r="E17" i="23"/>
  <c r="D16" i="20"/>
  <c r="E16" i="20" s="1"/>
  <c r="M16" i="23"/>
  <c r="E16" i="23"/>
  <c r="K16" i="23"/>
  <c r="I16" i="23"/>
  <c r="G16" i="23"/>
  <c r="D15" i="20"/>
  <c r="E15" i="20" s="1"/>
  <c r="G15" i="23"/>
  <c r="M15" i="23"/>
  <c r="E15" i="23"/>
  <c r="K15" i="23"/>
  <c r="I15" i="23"/>
  <c r="D14" i="20"/>
  <c r="E14" i="20" s="1"/>
  <c r="I14" i="23"/>
  <c r="G14" i="23"/>
  <c r="M14" i="23"/>
  <c r="E14" i="23"/>
  <c r="K14" i="23"/>
  <c r="D13" i="20"/>
  <c r="E13" i="20" s="1"/>
  <c r="K13" i="23"/>
  <c r="I13" i="23"/>
  <c r="G13" i="23"/>
  <c r="M13" i="23"/>
  <c r="E13" i="23"/>
  <c r="D12" i="20"/>
  <c r="E12" i="20" s="1"/>
  <c r="M12" i="23"/>
  <c r="E12" i="23"/>
  <c r="K12" i="23"/>
  <c r="I12" i="23"/>
  <c r="G12" i="23"/>
  <c r="D11" i="20"/>
  <c r="E11" i="20" s="1"/>
  <c r="G11" i="23"/>
  <c r="M11" i="23"/>
  <c r="E11" i="23"/>
  <c r="K11" i="23"/>
  <c r="I11" i="23"/>
  <c r="D10" i="20"/>
  <c r="E10" i="20" s="1"/>
  <c r="I10" i="23"/>
  <c r="G10" i="23"/>
  <c r="M10" i="23"/>
  <c r="E10" i="23"/>
  <c r="K10" i="23"/>
  <c r="D9" i="20"/>
  <c r="E9" i="20" s="1"/>
  <c r="K9" i="23"/>
  <c r="I9" i="23"/>
  <c r="G9" i="23"/>
  <c r="M9" i="23"/>
  <c r="E9" i="23"/>
  <c r="D8" i="20"/>
  <c r="E8" i="20" s="1"/>
  <c r="M8" i="23"/>
  <c r="E8" i="23"/>
  <c r="K8" i="23"/>
  <c r="I8" i="23"/>
  <c r="G8" i="23"/>
  <c r="D7" i="20"/>
  <c r="E7" i="20" s="1"/>
  <c r="K7" i="23"/>
  <c r="I7" i="23"/>
  <c r="G7" i="23"/>
  <c r="M7" i="23"/>
  <c r="E7" i="23"/>
  <c r="E6" i="23"/>
  <c r="M6" i="23"/>
  <c r="I6" i="23"/>
  <c r="G6" i="23"/>
  <c r="K6" i="23"/>
  <c r="E34" i="8"/>
  <c r="G34" i="8"/>
  <c r="I34" i="8"/>
  <c r="K34" i="8"/>
  <c r="M34" i="8"/>
  <c r="E32" i="8"/>
  <c r="G32" i="8"/>
  <c r="I32" i="8"/>
  <c r="K32" i="8"/>
  <c r="M32" i="8"/>
  <c r="E31" i="8"/>
  <c r="G31" i="8"/>
  <c r="I31" i="8"/>
  <c r="K31" i="8"/>
  <c r="M31" i="8"/>
  <c r="E30" i="8"/>
  <c r="G30" i="8"/>
  <c r="I30" i="8"/>
  <c r="K30" i="8"/>
  <c r="M30" i="8"/>
  <c r="E26" i="8"/>
  <c r="G26" i="8"/>
  <c r="I26" i="8"/>
  <c r="K26" i="8"/>
  <c r="M26" i="8"/>
  <c r="E25" i="8"/>
  <c r="G25" i="8"/>
  <c r="I25" i="8"/>
  <c r="K25" i="8"/>
  <c r="M25" i="8"/>
  <c r="E24" i="8"/>
  <c r="G24" i="8"/>
  <c r="I24" i="8"/>
  <c r="K24" i="8"/>
  <c r="M24" i="8"/>
  <c r="E25" i="19"/>
  <c r="E23" i="8"/>
  <c r="G23" i="8"/>
  <c r="I23" i="8"/>
  <c r="K23" i="8"/>
  <c r="M23" i="8"/>
  <c r="E22" i="8"/>
  <c r="G22" i="8"/>
  <c r="I22" i="8"/>
  <c r="K22" i="8"/>
  <c r="M22" i="8"/>
  <c r="E24" i="19"/>
  <c r="E21" i="8"/>
  <c r="G21" i="8"/>
  <c r="I21" i="8"/>
  <c r="K21" i="8"/>
  <c r="M21" i="8"/>
  <c r="E20" i="8"/>
  <c r="G20" i="8"/>
  <c r="I20" i="8"/>
  <c r="K20" i="8"/>
  <c r="M20" i="8"/>
  <c r="E19" i="8"/>
  <c r="G19" i="8"/>
  <c r="I19" i="8"/>
  <c r="K19" i="8"/>
  <c r="M19" i="8"/>
  <c r="E18" i="8"/>
  <c r="G18" i="8"/>
  <c r="I18" i="8"/>
  <c r="K18" i="8"/>
  <c r="M18" i="8"/>
  <c r="E17" i="8"/>
  <c r="G17" i="8"/>
  <c r="I17" i="8"/>
  <c r="K17" i="8"/>
  <c r="M17" i="8"/>
  <c r="E16" i="8"/>
  <c r="G16" i="8"/>
  <c r="I16" i="8"/>
  <c r="K16" i="8"/>
  <c r="M16" i="8"/>
  <c r="E15" i="8"/>
  <c r="G15" i="8"/>
  <c r="I15" i="8"/>
  <c r="K15" i="8"/>
  <c r="M15" i="8"/>
  <c r="E14" i="8"/>
  <c r="G14" i="8"/>
  <c r="I14" i="8"/>
  <c r="K14" i="8"/>
  <c r="M14" i="8"/>
  <c r="E13" i="8"/>
  <c r="G13" i="8"/>
  <c r="I13" i="8"/>
  <c r="K13" i="8"/>
  <c r="M13" i="8"/>
  <c r="E12" i="8"/>
  <c r="G12" i="8"/>
  <c r="I12" i="8"/>
  <c r="K12" i="8"/>
  <c r="M12" i="8"/>
  <c r="E11" i="8"/>
  <c r="G11" i="8"/>
  <c r="I11" i="8"/>
  <c r="K11" i="8"/>
  <c r="M11" i="8"/>
  <c r="E10" i="8"/>
  <c r="G10" i="8"/>
  <c r="I10" i="8"/>
  <c r="K10" i="8"/>
  <c r="M10" i="8"/>
  <c r="E11" i="19"/>
  <c r="E9" i="8"/>
  <c r="G9" i="8"/>
  <c r="I9" i="8"/>
  <c r="K9" i="8"/>
  <c r="M9" i="8"/>
  <c r="E8" i="8"/>
  <c r="G8" i="8"/>
  <c r="I8" i="8"/>
  <c r="K8" i="8"/>
  <c r="M8" i="8"/>
  <c r="E10" i="19"/>
  <c r="K7" i="8"/>
  <c r="E7" i="8"/>
  <c r="G7" i="8"/>
  <c r="I7" i="8"/>
  <c r="M7" i="8"/>
  <c r="K6" i="8"/>
  <c r="G6" i="8"/>
  <c r="E35" i="8"/>
  <c r="G35" i="8"/>
  <c r="I35" i="8"/>
  <c r="K35" i="8"/>
  <c r="M35" i="8"/>
  <c r="E33" i="8"/>
  <c r="G33" i="8"/>
  <c r="I33" i="8"/>
  <c r="K33" i="8"/>
  <c r="M33" i="8"/>
  <c r="E29" i="8"/>
  <c r="G29" i="8"/>
  <c r="I29" i="8"/>
  <c r="K29" i="8"/>
  <c r="M29" i="8"/>
  <c r="E28" i="8"/>
  <c r="G28" i="8"/>
  <c r="I28" i="8"/>
  <c r="K28" i="8"/>
  <c r="M28" i="8"/>
  <c r="E27" i="8"/>
  <c r="G27" i="8"/>
  <c r="I27" i="8"/>
  <c r="K27" i="8"/>
  <c r="M27" i="8"/>
  <c r="M6" i="8"/>
  <c r="I6" i="8"/>
  <c r="E6" i="8"/>
  <c r="E25" i="20"/>
  <c r="E27" i="19" s="1"/>
  <c r="E21" i="20"/>
  <c r="AL50" i="20"/>
  <c r="G50" i="20" s="1"/>
  <c r="AL48" i="20"/>
  <c r="G48" i="20" s="1"/>
  <c r="AL46" i="20"/>
  <c r="G46" i="20" s="1"/>
  <c r="G50" i="19" s="1"/>
  <c r="AL44" i="20"/>
  <c r="G44" i="20" s="1"/>
  <c r="AL41" i="20"/>
  <c r="G41" i="20" s="1"/>
  <c r="AL39" i="20"/>
  <c r="G39" i="20" s="1"/>
  <c r="AL37" i="20"/>
  <c r="G37" i="20" s="1"/>
  <c r="AL35" i="20"/>
  <c r="G35" i="20" s="1"/>
  <c r="AL33" i="20"/>
  <c r="G33" i="20" s="1"/>
  <c r="AL31" i="20"/>
  <c r="G31" i="20" s="1"/>
  <c r="AL29" i="20"/>
  <c r="G29" i="20" s="1"/>
  <c r="AL27" i="20"/>
  <c r="G27" i="20" s="1"/>
  <c r="G29" i="19" s="1"/>
  <c r="AL25" i="20"/>
  <c r="G25" i="20" s="1"/>
  <c r="G27" i="19" s="1"/>
  <c r="AL23" i="20"/>
  <c r="G23" i="20" s="1"/>
  <c r="AL21" i="20"/>
  <c r="G21" i="20" s="1"/>
  <c r="AL19" i="20"/>
  <c r="G19" i="20" s="1"/>
  <c r="AL17" i="20"/>
  <c r="G17" i="20" s="1"/>
  <c r="AL15" i="20"/>
  <c r="G15" i="20" s="1"/>
  <c r="AL13" i="20"/>
  <c r="G13" i="20" s="1"/>
  <c r="AL11" i="20"/>
  <c r="G11" i="20" s="1"/>
  <c r="AL9" i="20"/>
  <c r="G9" i="20" s="1"/>
  <c r="AL7" i="20"/>
  <c r="G7" i="20" s="1"/>
  <c r="AL51" i="20"/>
  <c r="G51" i="20" s="1"/>
  <c r="AL49" i="20"/>
  <c r="G49" i="20" s="1"/>
  <c r="G53" i="19" s="1"/>
  <c r="AL47" i="20"/>
  <c r="G47" i="20" s="1"/>
  <c r="AL45" i="20"/>
  <c r="G45" i="20" s="1"/>
  <c r="AL42" i="20"/>
  <c r="G42" i="20" s="1"/>
  <c r="AL40" i="20"/>
  <c r="G40" i="20" s="1"/>
  <c r="AL38" i="20"/>
  <c r="G38" i="20" s="1"/>
  <c r="AL36" i="20"/>
  <c r="G36" i="20" s="1"/>
  <c r="AL34" i="20"/>
  <c r="G34" i="20" s="1"/>
  <c r="AL32" i="20"/>
  <c r="G32" i="20" s="1"/>
  <c r="AL30" i="20"/>
  <c r="G30" i="20" s="1"/>
  <c r="AL28" i="20"/>
  <c r="G28" i="20" s="1"/>
  <c r="G30" i="19" s="1"/>
  <c r="AL26" i="20"/>
  <c r="G26" i="20" s="1"/>
  <c r="G28" i="19" s="1"/>
  <c r="AL24" i="20"/>
  <c r="G24" i="20" s="1"/>
  <c r="AL22" i="20"/>
  <c r="G22" i="20" s="1"/>
  <c r="AL20" i="20"/>
  <c r="G20" i="20" s="1"/>
  <c r="AL18" i="20"/>
  <c r="G18" i="20" s="1"/>
  <c r="AL16" i="20"/>
  <c r="G16" i="20" s="1"/>
  <c r="AL14" i="20"/>
  <c r="G14" i="20" s="1"/>
  <c r="AL12" i="20"/>
  <c r="G12" i="20" s="1"/>
  <c r="AL10" i="20"/>
  <c r="G10" i="20" s="1"/>
  <c r="AL8" i="20"/>
  <c r="G8" i="20" s="1"/>
  <c r="AL6" i="20"/>
  <c r="G6" i="20" s="1"/>
  <c r="D6" i="20"/>
  <c r="E6" i="20" s="1"/>
  <c r="V7" i="12"/>
  <c r="V6" i="12"/>
  <c r="V7" i="11"/>
  <c r="V6" i="11"/>
  <c r="V6" i="9"/>
  <c r="R7" i="20"/>
  <c r="F7" i="20" s="1"/>
  <c r="R8" i="20"/>
  <c r="F8" i="20" s="1"/>
  <c r="R12" i="20"/>
  <c r="F12" i="20" s="1"/>
  <c r="R16" i="20"/>
  <c r="F16" i="20" s="1"/>
  <c r="R20" i="20"/>
  <c r="F20" i="20" s="1"/>
  <c r="R9" i="20"/>
  <c r="F9" i="20" s="1"/>
  <c r="R13" i="20"/>
  <c r="F13" i="20" s="1"/>
  <c r="R17" i="20"/>
  <c r="F17" i="20" s="1"/>
  <c r="R21" i="20"/>
  <c r="F21" i="20" s="1"/>
  <c r="R25" i="20"/>
  <c r="F25" i="20" s="1"/>
  <c r="F27" i="19" s="1"/>
  <c r="R31" i="20"/>
  <c r="F31" i="20" s="1"/>
  <c r="R35" i="20"/>
  <c r="F35" i="20" s="1"/>
  <c r="R26" i="20"/>
  <c r="F26" i="20" s="1"/>
  <c r="F28" i="19" s="1"/>
  <c r="R32" i="20"/>
  <c r="F32" i="20" s="1"/>
  <c r="R36" i="20"/>
  <c r="F36" i="20" s="1"/>
  <c r="R40" i="20"/>
  <c r="F40" i="20" s="1"/>
  <c r="R37" i="20"/>
  <c r="F37" i="20" s="1"/>
  <c r="R41" i="20"/>
  <c r="F41" i="20" s="1"/>
  <c r="R46" i="20"/>
  <c r="F46" i="20" s="1"/>
  <c r="F50" i="19" s="1"/>
  <c r="R49" i="20"/>
  <c r="F49" i="20" s="1"/>
  <c r="F53" i="19" s="1"/>
  <c r="R45" i="20"/>
  <c r="F45" i="20" s="1"/>
  <c r="R6" i="20"/>
  <c r="F6" i="20" s="1"/>
  <c r="R10" i="20"/>
  <c r="F10" i="20" s="1"/>
  <c r="R14" i="20"/>
  <c r="F14" i="20" s="1"/>
  <c r="R18" i="20"/>
  <c r="F18" i="20" s="1"/>
  <c r="R22" i="20"/>
  <c r="F22" i="20" s="1"/>
  <c r="R11" i="20"/>
  <c r="F11" i="20" s="1"/>
  <c r="R15" i="20"/>
  <c r="F15" i="20" s="1"/>
  <c r="R19" i="20"/>
  <c r="F19" i="20" s="1"/>
  <c r="R23" i="20"/>
  <c r="F23" i="20" s="1"/>
  <c r="R27" i="20"/>
  <c r="F27" i="20" s="1"/>
  <c r="F29" i="19" s="1"/>
  <c r="R29" i="20"/>
  <c r="F29" i="20" s="1"/>
  <c r="R33" i="20"/>
  <c r="F33" i="20" s="1"/>
  <c r="R24" i="20"/>
  <c r="F24" i="20" s="1"/>
  <c r="R28" i="20"/>
  <c r="F28" i="20" s="1"/>
  <c r="F30" i="19" s="1"/>
  <c r="R30" i="20"/>
  <c r="F30" i="20" s="1"/>
  <c r="R34" i="20"/>
  <c r="F34" i="20" s="1"/>
  <c r="R38" i="20"/>
  <c r="F38" i="20" s="1"/>
  <c r="R42" i="20"/>
  <c r="F42" i="20" s="1"/>
  <c r="R39" i="20"/>
  <c r="F39" i="20" s="1"/>
  <c r="R44" i="20"/>
  <c r="F44" i="20" s="1"/>
  <c r="R48" i="20"/>
  <c r="F48" i="20" s="1"/>
  <c r="R51" i="20"/>
  <c r="F51" i="20" s="1"/>
  <c r="R47" i="20"/>
  <c r="F47" i="20" s="1"/>
  <c r="R50" i="20"/>
  <c r="F50" i="20" s="1"/>
  <c r="E22" i="19" l="1"/>
  <c r="E16" i="19"/>
  <c r="E17" i="19"/>
  <c r="E41" i="19"/>
  <c r="E40" i="19"/>
  <c r="E49" i="19"/>
  <c r="E37" i="19"/>
  <c r="E20" i="19"/>
  <c r="E21" i="19"/>
  <c r="E9" i="19"/>
  <c r="E14" i="19"/>
  <c r="E46" i="19"/>
  <c r="E36" i="19"/>
  <c r="E8" i="19"/>
  <c r="E15" i="19"/>
  <c r="E12" i="19"/>
  <c r="E13" i="19"/>
  <c r="E23" i="19"/>
  <c r="E26" i="19"/>
  <c r="E54" i="19"/>
  <c r="E55" i="19"/>
  <c r="E44" i="19"/>
  <c r="E39" i="19"/>
  <c r="E35" i="19"/>
  <c r="E48" i="19"/>
  <c r="E18" i="19"/>
  <c r="E19" i="19"/>
  <c r="E33" i="19"/>
  <c r="E51" i="19"/>
  <c r="E52" i="19"/>
  <c r="E42" i="19"/>
  <c r="E38" i="19"/>
  <c r="AL38" i="19"/>
  <c r="G38" i="19" s="1"/>
  <c r="AL34" i="19"/>
  <c r="G34" i="19" s="1"/>
  <c r="AL24" i="19"/>
  <c r="G24" i="19" s="1"/>
  <c r="AL20" i="19"/>
  <c r="G20" i="19" s="1"/>
  <c r="AL16" i="19"/>
  <c r="G16" i="19" s="1"/>
  <c r="AL12" i="19"/>
  <c r="G12" i="19" s="1"/>
  <c r="AL36" i="19"/>
  <c r="G36" i="19" s="1"/>
  <c r="AL26" i="19"/>
  <c r="G26" i="19" s="1"/>
  <c r="AL22" i="19"/>
  <c r="G22" i="19" s="1"/>
  <c r="AL18" i="19"/>
  <c r="G18" i="19" s="1"/>
  <c r="AL14" i="19"/>
  <c r="G14" i="19" s="1"/>
  <c r="AL10" i="19"/>
  <c r="G10" i="19" s="1"/>
  <c r="AL25" i="19"/>
  <c r="G25" i="19" s="1"/>
  <c r="AL21" i="19"/>
  <c r="G21" i="19" s="1"/>
  <c r="AL9" i="19"/>
  <c r="G9" i="19" s="1"/>
  <c r="R8" i="19"/>
  <c r="F8" i="19" s="1"/>
  <c r="AL48" i="19"/>
  <c r="G48" i="19" s="1"/>
  <c r="AL39" i="19"/>
  <c r="G39" i="19" s="1"/>
  <c r="AL35" i="19"/>
  <c r="G35" i="19" s="1"/>
  <c r="AL17" i="19"/>
  <c r="G17" i="19" s="1"/>
  <c r="AL13" i="19"/>
  <c r="G13" i="19" s="1"/>
  <c r="AL41" i="19"/>
  <c r="G41" i="19" s="1"/>
  <c r="AL8" i="19"/>
  <c r="G8" i="19" s="1"/>
  <c r="AL37" i="19"/>
  <c r="G37" i="19" s="1"/>
  <c r="AL33" i="19"/>
  <c r="G33" i="19" s="1"/>
  <c r="AL23" i="19"/>
  <c r="G23" i="19" s="1"/>
  <c r="AL19" i="19"/>
  <c r="G19" i="19" s="1"/>
  <c r="AL15" i="19"/>
  <c r="G15" i="19" s="1"/>
  <c r="AL11" i="19"/>
  <c r="G11" i="19" s="1"/>
  <c r="AL45" i="19"/>
  <c r="G45" i="19" s="1"/>
  <c r="AL43" i="19"/>
  <c r="G43" i="19" s="1"/>
  <c r="AL54" i="19"/>
  <c r="G54" i="19" s="1"/>
  <c r="AL51" i="19"/>
  <c r="G51" i="19" s="1"/>
  <c r="AL46" i="19"/>
  <c r="G46" i="19" s="1"/>
  <c r="AL44" i="19"/>
  <c r="G44" i="19" s="1"/>
  <c r="AL42" i="19"/>
  <c r="G42" i="19" s="1"/>
  <c r="AL40" i="19"/>
  <c r="G40" i="19" s="1"/>
  <c r="AL55" i="19"/>
  <c r="G55" i="19" s="1"/>
  <c r="AL52" i="19"/>
  <c r="G52" i="19" s="1"/>
  <c r="AL49" i="19"/>
  <c r="G49" i="19" s="1"/>
  <c r="E26" i="20"/>
  <c r="E28" i="19" s="1"/>
  <c r="D28" i="19"/>
  <c r="E27" i="20"/>
  <c r="E29" i="19" s="1"/>
  <c r="D29" i="19"/>
  <c r="E28" i="20"/>
  <c r="E30" i="19" s="1"/>
  <c r="D30" i="19"/>
  <c r="E50" i="19"/>
  <c r="D50" i="19"/>
  <c r="E53" i="19"/>
  <c r="D53" i="19"/>
  <c r="R55" i="19"/>
  <c r="F55" i="19" s="1"/>
  <c r="R51" i="19"/>
  <c r="F51" i="19" s="1"/>
  <c r="R46" i="19"/>
  <c r="F46" i="19" s="1"/>
  <c r="R44" i="19"/>
  <c r="F44" i="19" s="1"/>
  <c r="R42" i="19"/>
  <c r="F42" i="19" s="1"/>
  <c r="R40" i="19"/>
  <c r="F40" i="19" s="1"/>
  <c r="R38" i="19"/>
  <c r="F38" i="19" s="1"/>
  <c r="R36" i="19"/>
  <c r="F36" i="19" s="1"/>
  <c r="R34" i="19"/>
  <c r="F34" i="19" s="1"/>
  <c r="R26" i="19"/>
  <c r="F26" i="19" s="1"/>
  <c r="R24" i="19"/>
  <c r="F24" i="19" s="1"/>
  <c r="R22" i="19"/>
  <c r="F22" i="19" s="1"/>
  <c r="R20" i="19"/>
  <c r="F20" i="19" s="1"/>
  <c r="R18" i="19"/>
  <c r="F18" i="19" s="1"/>
  <c r="R16" i="19"/>
  <c r="F16" i="19" s="1"/>
  <c r="R14" i="19"/>
  <c r="F14" i="19" s="1"/>
  <c r="R12" i="19"/>
  <c r="F12" i="19" s="1"/>
  <c r="R10" i="19"/>
  <c r="F10" i="19" s="1"/>
  <c r="R48" i="19"/>
  <c r="F48" i="19" s="1"/>
  <c r="R54" i="19"/>
  <c r="F54" i="19" s="1"/>
  <c r="R49" i="19"/>
  <c r="F49" i="19" s="1"/>
  <c r="R45" i="19"/>
  <c r="F45" i="19" s="1"/>
  <c r="R43" i="19"/>
  <c r="F43" i="19" s="1"/>
  <c r="R41" i="19"/>
  <c r="F41" i="19" s="1"/>
  <c r="R39" i="19"/>
  <c r="F39" i="19" s="1"/>
  <c r="R37" i="19"/>
  <c r="F37" i="19" s="1"/>
  <c r="R35" i="19"/>
  <c r="F35" i="19" s="1"/>
  <c r="R33" i="19"/>
  <c r="F33" i="19" s="1"/>
  <c r="R25" i="19"/>
  <c r="F25" i="19" s="1"/>
  <c r="R23" i="19"/>
  <c r="F23" i="19" s="1"/>
  <c r="R21" i="19"/>
  <c r="F21" i="19" s="1"/>
  <c r="R19" i="19"/>
  <c r="F19" i="19" s="1"/>
  <c r="R17" i="19"/>
  <c r="F17" i="19" s="1"/>
  <c r="R15" i="19"/>
  <c r="F15" i="19" s="1"/>
  <c r="R13" i="19"/>
  <c r="F13" i="19" s="1"/>
  <c r="R11" i="19"/>
  <c r="F11" i="19" s="1"/>
  <c r="R9" i="19"/>
  <c r="F9" i="19" s="1"/>
  <c r="R52" i="19"/>
  <c r="F52" i="19" s="1"/>
  <c r="V31" i="46"/>
  <c r="V33" i="46"/>
  <c r="V35" i="46"/>
  <c r="V37" i="46"/>
  <c r="V39" i="46"/>
  <c r="V41" i="46"/>
  <c r="V43" i="46"/>
  <c r="V8" i="46"/>
  <c r="V10" i="46"/>
  <c r="V12" i="46"/>
  <c r="V14" i="46"/>
  <c r="V16" i="46"/>
  <c r="V18" i="46"/>
  <c r="V20" i="46"/>
  <c r="V22" i="46"/>
  <c r="V24" i="46"/>
  <c r="V26" i="46"/>
  <c r="V28" i="46"/>
  <c r="V7" i="46"/>
  <c r="V32" i="46"/>
  <c r="V34" i="46"/>
  <c r="V36" i="46"/>
  <c r="V38" i="46"/>
  <c r="V40" i="46"/>
  <c r="V42" i="46"/>
  <c r="V30" i="46"/>
  <c r="V9" i="46"/>
  <c r="V11" i="46"/>
  <c r="V13" i="46"/>
  <c r="V15" i="46"/>
  <c r="V17" i="46"/>
  <c r="V19" i="46"/>
  <c r="V21" i="46"/>
  <c r="V23" i="46"/>
  <c r="V25" i="46"/>
  <c r="V27" i="46"/>
  <c r="V29" i="46"/>
  <c r="V27" i="45"/>
  <c r="V29" i="45"/>
  <c r="V31" i="45"/>
  <c r="V33" i="45"/>
  <c r="V35" i="45"/>
  <c r="V37" i="45"/>
  <c r="V39" i="45"/>
  <c r="V41" i="45"/>
  <c r="V8" i="45"/>
  <c r="V10" i="45"/>
  <c r="V12" i="45"/>
  <c r="V14" i="45"/>
  <c r="V16" i="45"/>
  <c r="V18" i="45"/>
  <c r="V20" i="45"/>
  <c r="V22" i="45"/>
  <c r="V24" i="45"/>
  <c r="V28" i="45"/>
  <c r="V30" i="45"/>
  <c r="V32" i="45"/>
  <c r="V34" i="45"/>
  <c r="V36" i="45"/>
  <c r="V38" i="45"/>
  <c r="V40" i="45"/>
  <c r="V26" i="45"/>
  <c r="V9" i="45"/>
  <c r="V11" i="45"/>
  <c r="V13" i="45"/>
  <c r="V15" i="45"/>
  <c r="V17" i="45"/>
  <c r="V19" i="45"/>
  <c r="V21" i="45"/>
  <c r="V23" i="45"/>
  <c r="V25" i="45"/>
  <c r="V7" i="45"/>
  <c r="V46" i="44"/>
  <c r="V48" i="44"/>
  <c r="V50" i="44"/>
  <c r="V52" i="44"/>
  <c r="V31" i="44"/>
  <c r="V33" i="44"/>
  <c r="V35" i="44"/>
  <c r="V37" i="44"/>
  <c r="V39" i="44"/>
  <c r="V41" i="44"/>
  <c r="V43" i="44"/>
  <c r="V8" i="44"/>
  <c r="V10" i="44"/>
  <c r="V12" i="44"/>
  <c r="V14" i="44"/>
  <c r="V16" i="44"/>
  <c r="V18" i="44"/>
  <c r="V20" i="44"/>
  <c r="V22" i="44"/>
  <c r="V24" i="44"/>
  <c r="V26" i="44"/>
  <c r="V28" i="44"/>
  <c r="V7" i="44"/>
  <c r="V47" i="44"/>
  <c r="V49" i="44"/>
  <c r="V51" i="44"/>
  <c r="V45" i="44"/>
  <c r="V32" i="44"/>
  <c r="V34" i="44"/>
  <c r="V36" i="44"/>
  <c r="V38" i="44"/>
  <c r="V40" i="44"/>
  <c r="V42" i="44"/>
  <c r="V30" i="44"/>
  <c r="V9" i="44"/>
  <c r="V11" i="44"/>
  <c r="V13" i="44"/>
  <c r="V15" i="44"/>
  <c r="V17" i="44"/>
  <c r="V19" i="44"/>
  <c r="V21" i="44"/>
  <c r="V23" i="44"/>
  <c r="V25" i="44"/>
  <c r="V27" i="44"/>
  <c r="V29" i="44"/>
  <c r="V48" i="43"/>
  <c r="V46" i="43"/>
  <c r="V44" i="43"/>
  <c r="V27" i="43"/>
  <c r="V29" i="43"/>
  <c r="V31" i="43"/>
  <c r="V33" i="43"/>
  <c r="V35" i="43"/>
  <c r="V37" i="43"/>
  <c r="V39" i="43"/>
  <c r="V41" i="43"/>
  <c r="V8" i="43"/>
  <c r="V10" i="43"/>
  <c r="V12" i="43"/>
  <c r="V14" i="43"/>
  <c r="V16" i="43"/>
  <c r="V18" i="43"/>
  <c r="V20" i="43"/>
  <c r="V22" i="43"/>
  <c r="V24" i="43"/>
  <c r="V7" i="43"/>
  <c r="V47" i="43"/>
  <c r="V45" i="43"/>
  <c r="V43" i="43"/>
  <c r="V28" i="43"/>
  <c r="V30" i="43"/>
  <c r="V32" i="43"/>
  <c r="V34" i="43"/>
  <c r="V36" i="43"/>
  <c r="V38" i="43"/>
  <c r="V40" i="43"/>
  <c r="V26" i="43"/>
  <c r="V9" i="43"/>
  <c r="V11" i="43"/>
  <c r="V13" i="43"/>
  <c r="V15" i="43"/>
  <c r="V17" i="43"/>
  <c r="V19" i="43"/>
  <c r="V21" i="43"/>
  <c r="V23" i="43"/>
  <c r="V25" i="43"/>
</calcChain>
</file>

<file path=xl/comments1.xml><?xml version="1.0" encoding="utf-8"?>
<comments xmlns="http://schemas.openxmlformats.org/spreadsheetml/2006/main">
  <authors>
    <author>CIO</author>
  </authors>
  <commentList>
    <comment ref="G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 stadija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II stadija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III stadija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IV stadija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Nenurodyta stadija</t>
        </r>
      </text>
    </comment>
    <comment ref="BT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 stadija</t>
        </r>
      </text>
    </comment>
    <comment ref="BU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II stadija</t>
        </r>
      </text>
    </comment>
    <comment ref="BV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III stadija</t>
        </r>
      </text>
    </comment>
    <comment ref="BW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IV stadija</t>
        </r>
      </text>
    </comment>
    <comment ref="BX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Nenurodyta stadija</t>
        </r>
      </text>
    </comment>
  </commentList>
</comments>
</file>

<file path=xl/sharedStrings.xml><?xml version="1.0" encoding="utf-8"?>
<sst xmlns="http://schemas.openxmlformats.org/spreadsheetml/2006/main" count="2415" uniqueCount="659">
  <si>
    <t>Kodas</t>
  </si>
  <si>
    <t>Liga</t>
  </si>
  <si>
    <t>Tlk</t>
  </si>
  <si>
    <t>Vyrai - viso</t>
  </si>
  <si>
    <t>F90</t>
  </si>
  <si>
    <t>ML</t>
  </si>
  <si>
    <t>I</t>
  </si>
  <si>
    <t>II</t>
  </si>
  <si>
    <t>III</t>
  </si>
  <si>
    <t>IV</t>
  </si>
  <si>
    <t>Nėra</t>
  </si>
  <si>
    <t>5-9</t>
  </si>
  <si>
    <t>10-14</t>
  </si>
  <si>
    <t xml:space="preserve">0-4 </t>
  </si>
  <si>
    <t>15-19</t>
  </si>
  <si>
    <t>20-24</t>
  </si>
  <si>
    <t>25-29</t>
  </si>
  <si>
    <t>35-39</t>
  </si>
  <si>
    <t>40-44</t>
  </si>
  <si>
    <t>45-49</t>
  </si>
  <si>
    <t>50-54</t>
  </si>
  <si>
    <t>55-59</t>
  </si>
  <si>
    <t>80-84</t>
  </si>
  <si>
    <t>85+</t>
  </si>
  <si>
    <t>Histo</t>
  </si>
  <si>
    <t>Cito</t>
  </si>
  <si>
    <t>Kiti</t>
  </si>
  <si>
    <t>Isg10</t>
  </si>
  <si>
    <t>Isg01</t>
  </si>
  <si>
    <t>Isg05</t>
  </si>
  <si>
    <t>IsgViso</t>
  </si>
  <si>
    <t>Sant. išg. vyrams</t>
  </si>
  <si>
    <t>Rel05</t>
  </si>
  <si>
    <t>Rel01</t>
  </si>
  <si>
    <t>Iš viso onkologinių susirgimų</t>
  </si>
  <si>
    <t>Piktybiniai navikai</t>
  </si>
  <si>
    <t>C00-C96</t>
  </si>
  <si>
    <t xml:space="preserve">  lūpos</t>
  </si>
  <si>
    <t>C00</t>
  </si>
  <si>
    <t xml:space="preserve">  burnos ertmės ir ryklės</t>
  </si>
  <si>
    <t>C01-C14</t>
  </si>
  <si>
    <t xml:space="preserve">  stemplės</t>
  </si>
  <si>
    <t>C15</t>
  </si>
  <si>
    <t xml:space="preserve">  skrandžio</t>
  </si>
  <si>
    <t>C16</t>
  </si>
  <si>
    <t xml:space="preserve">  gaubtinės žarnos</t>
  </si>
  <si>
    <t>C18</t>
  </si>
  <si>
    <t xml:space="preserve">  tiesiosios žarnos, išangės</t>
  </si>
  <si>
    <t>C19-C21</t>
  </si>
  <si>
    <t xml:space="preserve">  kepenų</t>
  </si>
  <si>
    <t>C22</t>
  </si>
  <si>
    <t xml:space="preserve">  tulžies pūslės, ekstrahepatinių takų</t>
  </si>
  <si>
    <t>C23, C24</t>
  </si>
  <si>
    <t xml:space="preserve">  kasos</t>
  </si>
  <si>
    <t>C25</t>
  </si>
  <si>
    <t xml:space="preserve">  kitų virškinimo sistemos organų</t>
  </si>
  <si>
    <t>C17, C26, C48</t>
  </si>
  <si>
    <t xml:space="preserve">  nosies ertmės, vid.ausies ir ančių</t>
  </si>
  <si>
    <t>C30, C31</t>
  </si>
  <si>
    <t xml:space="preserve">  gerklų</t>
  </si>
  <si>
    <t>C32</t>
  </si>
  <si>
    <t xml:space="preserve">  plaučių, trachėjos, bronchų</t>
  </si>
  <si>
    <t>C33, C34</t>
  </si>
  <si>
    <t xml:space="preserve">  kitų kvėpavimo sistemos organų</t>
  </si>
  <si>
    <t>C37-C39</t>
  </si>
  <si>
    <t xml:space="preserve">  kaulų ir jungiamojo audinio</t>
  </si>
  <si>
    <t>C40-C41, C45-C47, C49</t>
  </si>
  <si>
    <t xml:space="preserve">  odos melanoma</t>
  </si>
  <si>
    <t>C43</t>
  </si>
  <si>
    <t xml:space="preserve">  kiti odos piktybiniai navikai</t>
  </si>
  <si>
    <t>C44</t>
  </si>
  <si>
    <t xml:space="preserve">  krūties</t>
  </si>
  <si>
    <t>C50</t>
  </si>
  <si>
    <t xml:space="preserve">  gimdos kaklelio</t>
  </si>
  <si>
    <t>C53</t>
  </si>
  <si>
    <t xml:space="preserve">  gimdos kūno</t>
  </si>
  <si>
    <t>C54, C55</t>
  </si>
  <si>
    <t xml:space="preserve">  kiaušidžių</t>
  </si>
  <si>
    <t>C56</t>
  </si>
  <si>
    <t xml:space="preserve">  vulvos</t>
  </si>
  <si>
    <t>C51</t>
  </si>
  <si>
    <t xml:space="preserve">  priešinės liaukos</t>
  </si>
  <si>
    <t>C61</t>
  </si>
  <si>
    <t xml:space="preserve">  sėklidžių</t>
  </si>
  <si>
    <t>C62</t>
  </si>
  <si>
    <t xml:space="preserve">  kitų lyties organų</t>
  </si>
  <si>
    <t>C52, C57-C58, C60, C63</t>
  </si>
  <si>
    <t xml:space="preserve">  inkstų</t>
  </si>
  <si>
    <t>C64</t>
  </si>
  <si>
    <t xml:space="preserve">  šlapimo pūslės</t>
  </si>
  <si>
    <t>C67</t>
  </si>
  <si>
    <t xml:space="preserve">  kitų šlapimą išskiriančių organų</t>
  </si>
  <si>
    <t>C65, C66, C68</t>
  </si>
  <si>
    <t xml:space="preserve">  akių</t>
  </si>
  <si>
    <t>C69</t>
  </si>
  <si>
    <t xml:space="preserve">  smegenų</t>
  </si>
  <si>
    <t>C70-C72</t>
  </si>
  <si>
    <t xml:space="preserve">  skydliaukės</t>
  </si>
  <si>
    <t>C73</t>
  </si>
  <si>
    <t xml:space="preserve">  kitų endokrininių liaukų</t>
  </si>
  <si>
    <t>C74-C75</t>
  </si>
  <si>
    <t xml:space="preserve">  nepatikslintos lokalizacijos</t>
  </si>
  <si>
    <t>C76-C80</t>
  </si>
  <si>
    <t xml:space="preserve">  Hodžkino limfomos</t>
  </si>
  <si>
    <t>C81</t>
  </si>
  <si>
    <t xml:space="preserve">  ne Hodžkino limfomos</t>
  </si>
  <si>
    <t>C82-C85</t>
  </si>
  <si>
    <t xml:space="preserve">  mielominės ligos</t>
  </si>
  <si>
    <t>C90</t>
  </si>
  <si>
    <t xml:space="preserve">  leukemijos</t>
  </si>
  <si>
    <t>C91-C95</t>
  </si>
  <si>
    <t xml:space="preserve">  kiti limfinio, kraujodaros audinių</t>
  </si>
  <si>
    <t>C88, C96</t>
  </si>
  <si>
    <t xml:space="preserve">  melanoma in situ</t>
  </si>
  <si>
    <t>D03</t>
  </si>
  <si>
    <t>D05</t>
  </si>
  <si>
    <t>D06</t>
  </si>
  <si>
    <t>D09.0</t>
  </si>
  <si>
    <t>D32, D33</t>
  </si>
  <si>
    <t>D39.1</t>
  </si>
  <si>
    <t>D42, D43</t>
  </si>
  <si>
    <t xml:space="preserve">  limfinio ir kraujodaros audinių</t>
  </si>
  <si>
    <t>D45-D47</t>
  </si>
  <si>
    <t>Sant. išg. moterims</t>
  </si>
  <si>
    <t>Moterys - viso</t>
  </si>
  <si>
    <t>01 - Vyrai - stadijos</t>
  </si>
  <si>
    <t>02 -Vyrai - patvirtinimas</t>
  </si>
  <si>
    <t>04 - Vyrai - mirtingumas pagal amžiaus grupes</t>
  </si>
  <si>
    <t>05 - Vyrų ligotumas nurodytai datai</t>
  </si>
  <si>
    <t>06 - Moterys - stadijos</t>
  </si>
  <si>
    <t>07 - Moterys - patvirtinimas</t>
  </si>
  <si>
    <t>08 - Moterys - sergamumas pagal amžiaus grupes</t>
  </si>
  <si>
    <t>09 - Moterys - mirtingumas pagal amžiaus grupes</t>
  </si>
  <si>
    <t>10 - Moterys - ligotumas nurodytai datai</t>
  </si>
  <si>
    <t>Vyr_0</t>
  </si>
  <si>
    <t>Vyr_1</t>
  </si>
  <si>
    <t>Vyr_2</t>
  </si>
  <si>
    <t>Vyr_3</t>
  </si>
  <si>
    <t>Vyr_4</t>
  </si>
  <si>
    <t>Vyr_Nz</t>
  </si>
  <si>
    <t>v00-04</t>
  </si>
  <si>
    <t>v05-09</t>
  </si>
  <si>
    <t>v10-14</t>
  </si>
  <si>
    <t>v15-19</t>
  </si>
  <si>
    <t>v20-24</t>
  </si>
  <si>
    <t>v25-29</t>
  </si>
  <si>
    <t>v30-34</t>
  </si>
  <si>
    <t>v35-39</t>
  </si>
  <si>
    <t>v40-44</t>
  </si>
  <si>
    <t>v45-49</t>
  </si>
  <si>
    <t>v50-54</t>
  </si>
  <si>
    <t>v55-59</t>
  </si>
  <si>
    <t>v60-64</t>
  </si>
  <si>
    <t>v65-69</t>
  </si>
  <si>
    <t>v70-74</t>
  </si>
  <si>
    <t>v75-79</t>
  </si>
  <si>
    <t>v80-84</t>
  </si>
  <si>
    <t>v85+</t>
  </si>
  <si>
    <t>30-34</t>
  </si>
  <si>
    <t>60-64</t>
  </si>
  <si>
    <t>65-69</t>
  </si>
  <si>
    <t>70-74</t>
  </si>
  <si>
    <t>75-79</t>
  </si>
  <si>
    <t>N/D</t>
  </si>
  <si>
    <t>PatvHisto</t>
  </si>
  <si>
    <t>PatvCito</t>
  </si>
  <si>
    <t>PatvKt</t>
  </si>
  <si>
    <t>PatvMl</t>
  </si>
  <si>
    <t>PatvNz</t>
  </si>
  <si>
    <t>Vyr_1m</t>
  </si>
  <si>
    <t>Vyr_5m</t>
  </si>
  <si>
    <t>Vyr_10m</t>
  </si>
  <si>
    <t>Vyr_Viso</t>
  </si>
  <si>
    <t>Mot_0</t>
  </si>
  <si>
    <t>Mot_1</t>
  </si>
  <si>
    <t>Mot_2</t>
  </si>
  <si>
    <t>Mot_3</t>
  </si>
  <si>
    <t>Mot_4</t>
  </si>
  <si>
    <t>Mot_Nz</t>
  </si>
  <si>
    <t>m00-04</t>
  </si>
  <si>
    <t>m05-09</t>
  </si>
  <si>
    <t>m10-14</t>
  </si>
  <si>
    <t>m15-19</t>
  </si>
  <si>
    <t>m20-24</t>
  </si>
  <si>
    <t>m25-29</t>
  </si>
  <si>
    <t>m30-34</t>
  </si>
  <si>
    <t>m35-39</t>
  </si>
  <si>
    <t>m40-44</t>
  </si>
  <si>
    <t>m45-49</t>
  </si>
  <si>
    <t>m50-54</t>
  </si>
  <si>
    <t>m55-59</t>
  </si>
  <si>
    <t>m60-64</t>
  </si>
  <si>
    <t>m65-69</t>
  </si>
  <si>
    <t>m70-74</t>
  </si>
  <si>
    <t>m75-79</t>
  </si>
  <si>
    <t>m80-84</t>
  </si>
  <si>
    <t>m85+</t>
  </si>
  <si>
    <t>Mot_1m</t>
  </si>
  <si>
    <t>Mot_5m</t>
  </si>
  <si>
    <t>Mot_10m</t>
  </si>
  <si>
    <t>Mot_Viso</t>
  </si>
  <si>
    <t>C00-C96, D03, D05, D06, D09.0, D32-D33, D39.1, D42-D43, D45-D47</t>
  </si>
  <si>
    <t xml:space="preserve">03 -Vyrai - sergamumas pagal amžiaus grupes 5m. </t>
  </si>
  <si>
    <t xml:space="preserve">Vyrai - sergamumas pagal amžiaus grupes 15m. </t>
  </si>
  <si>
    <t xml:space="preserve">Moterys - sergamumas pagal amžiaus grupes 15m. </t>
  </si>
  <si>
    <t>0-14</t>
  </si>
  <si>
    <t>15-29</t>
  </si>
  <si>
    <t>30-54</t>
  </si>
  <si>
    <t>55-74</t>
  </si>
  <si>
    <t>75+</t>
  </si>
  <si>
    <t>Iš Viso:</t>
  </si>
  <si>
    <t>Burnos ertmės ir ryklės</t>
  </si>
  <si>
    <t>Tiesiosios žarnos, išangės</t>
  </si>
  <si>
    <t>Inkstų</t>
  </si>
  <si>
    <t>Gaubtinės žarnos</t>
  </si>
  <si>
    <t>Skrandžio</t>
  </si>
  <si>
    <t>Kiti odos piktybiniai navikai</t>
  </si>
  <si>
    <t>Plaučių, trachėjos, bronchų</t>
  </si>
  <si>
    <t>Priešinės liaukos</t>
  </si>
  <si>
    <t>Kasos</t>
  </si>
  <si>
    <t>Šlapimo pūslės</t>
  </si>
  <si>
    <t>Sėklidžių</t>
  </si>
  <si>
    <t>Skydliaukės</t>
  </si>
  <si>
    <t>Hodžkino limfomos</t>
  </si>
  <si>
    <t>Kitų virškinimo sistemos organų</t>
  </si>
  <si>
    <t>Smegenų</t>
  </si>
  <si>
    <t>Ne Hodžkino limfomos</t>
  </si>
  <si>
    <t>Leukemijos</t>
  </si>
  <si>
    <t>Kaulų ir jungiamojo audinio</t>
  </si>
  <si>
    <t>Odos melanoma</t>
  </si>
  <si>
    <t>Gerklų</t>
  </si>
  <si>
    <t>Kiaušidžių</t>
  </si>
  <si>
    <t>Gimdos kaklelio</t>
  </si>
  <si>
    <t>Gimdos kūno</t>
  </si>
  <si>
    <t>Krūties</t>
  </si>
  <si>
    <t>Kitų endokrininių liaukų</t>
  </si>
  <si>
    <t>Nepatikslintos lokalizacijos</t>
  </si>
  <si>
    <t>I stadija</t>
  </si>
  <si>
    <t>II stadija</t>
  </si>
  <si>
    <t>III stadija</t>
  </si>
  <si>
    <t>IV stadija</t>
  </si>
  <si>
    <t>Nenurodyta</t>
  </si>
  <si>
    <t>Lokalizacija</t>
  </si>
  <si>
    <t>TLK-10 kodas</t>
  </si>
  <si>
    <t>atv.</t>
  </si>
  <si>
    <t>%</t>
  </si>
  <si>
    <t>Vyrai</t>
  </si>
  <si>
    <t>Iš viso pagal amžių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</si>
  <si>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</si>
  <si>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</si>
  <si>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</si>
  <si>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</si>
  <si>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</si>
  <si>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</si>
  <si>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</si>
  <si>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</si>
  <si>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</si>
  <si>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</si>
  <si>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</si>
  <si>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</si>
  <si>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</si>
  <si>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</si>
  <si>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</si>
  <si>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</si>
  <si>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</si>
  <si>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Moterys</t>
  </si>
  <si>
    <t xml:space="preserve">  Nervų sistemos gerybiniai navikai</t>
  </si>
  <si>
    <t>Atvejai</t>
  </si>
  <si>
    <t>pop78m</t>
  </si>
  <si>
    <t>pop79m</t>
  </si>
  <si>
    <t>pop80m</t>
  </si>
  <si>
    <t>pop81m</t>
  </si>
  <si>
    <t>pop82m</t>
  </si>
  <si>
    <t>pop83m</t>
  </si>
  <si>
    <t>pop84m</t>
  </si>
  <si>
    <t>pop85m</t>
  </si>
  <si>
    <t>pop86m</t>
  </si>
  <si>
    <t>pop87m</t>
  </si>
  <si>
    <t>pop88m</t>
  </si>
  <si>
    <t>pop89m</t>
  </si>
  <si>
    <t>pop90m</t>
  </si>
  <si>
    <t>pop91m</t>
  </si>
  <si>
    <t>pop92m</t>
  </si>
  <si>
    <t>pop93m</t>
  </si>
  <si>
    <t>pop94m</t>
  </si>
  <si>
    <t>pop95m</t>
  </si>
  <si>
    <t>pop96m</t>
  </si>
  <si>
    <t>pop97m</t>
  </si>
  <si>
    <t>pop98m</t>
  </si>
  <si>
    <t>pop99m</t>
  </si>
  <si>
    <t>pop00m</t>
  </si>
  <si>
    <t>pop01m</t>
  </si>
  <si>
    <t>pop02m</t>
  </si>
  <si>
    <t>pop03m</t>
  </si>
  <si>
    <t>pop04m</t>
  </si>
  <si>
    <t>pop05m</t>
  </si>
  <si>
    <t>pop06m</t>
  </si>
  <si>
    <t>pop07m</t>
  </si>
  <si>
    <t>pop08m</t>
  </si>
  <si>
    <t>pop09m</t>
  </si>
  <si>
    <t xml:space="preserve"> 0-4</t>
  </si>
  <si>
    <t xml:space="preserve"> 5-9</t>
  </si>
  <si>
    <t xml:space="preserve"> 10-14</t>
  </si>
  <si>
    <t xml:space="preserve"> 15-19</t>
  </si>
  <si>
    <t xml:space="preserve"> 20-24</t>
  </si>
  <si>
    <t xml:space="preserve"> 25-29</t>
  </si>
  <si>
    <t xml:space="preserve"> 30-34</t>
  </si>
  <si>
    <t xml:space="preserve"> 35-39</t>
  </si>
  <si>
    <t xml:space="preserve"> 40-44</t>
  </si>
  <si>
    <t xml:space="preserve"> 45-49</t>
  </si>
  <si>
    <t xml:space="preserve"> 50-54</t>
  </si>
  <si>
    <t xml:space="preserve"> 55-59</t>
  </si>
  <si>
    <t xml:space="preserve"> 60-64 </t>
  </si>
  <si>
    <t xml:space="preserve"> 70-74</t>
  </si>
  <si>
    <t xml:space="preserve"> 75-79</t>
  </si>
  <si>
    <t xml:space="preserve"> 80-84</t>
  </si>
  <si>
    <t xml:space="preserve"> 85+</t>
  </si>
  <si>
    <t>Total</t>
  </si>
  <si>
    <t>pop78f</t>
  </si>
  <si>
    <t>pop79f</t>
  </si>
  <si>
    <t>pop80f</t>
  </si>
  <si>
    <t>pop81f</t>
  </si>
  <si>
    <t>pop82f</t>
  </si>
  <si>
    <t>pop83f</t>
  </si>
  <si>
    <t>pop84f</t>
  </si>
  <si>
    <t>pop85f</t>
  </si>
  <si>
    <t>pop86f</t>
  </si>
  <si>
    <t>pop87f</t>
  </si>
  <si>
    <t>pop88f</t>
  </si>
  <si>
    <t>pop89f</t>
  </si>
  <si>
    <t>pop90f</t>
  </si>
  <si>
    <t>pop91f</t>
  </si>
  <si>
    <t>pop92f</t>
  </si>
  <si>
    <t>pop93f</t>
  </si>
  <si>
    <t>pop94f</t>
  </si>
  <si>
    <t>pop95f</t>
  </si>
  <si>
    <t>pop96f</t>
  </si>
  <si>
    <t>pop97f</t>
  </si>
  <si>
    <t>pop98f</t>
  </si>
  <si>
    <t>pop99f</t>
  </si>
  <si>
    <t>pop00f</t>
  </si>
  <si>
    <t>pop01f</t>
  </si>
  <si>
    <t>pop02f</t>
  </si>
  <si>
    <t>pop03f</t>
  </si>
  <si>
    <t>pop04f</t>
  </si>
  <si>
    <t>pop05f</t>
  </si>
  <si>
    <t>pop06f</t>
  </si>
  <si>
    <t>pop07f</t>
  </si>
  <si>
    <t>pop08f</t>
  </si>
  <si>
    <t>pop09f</t>
  </si>
  <si>
    <t>Lokalizacijos</t>
  </si>
  <si>
    <t>Amžiaus grupės</t>
  </si>
  <si>
    <t>atv/gyv*100000*st.pop (Pagal lokalizacijas)</t>
  </si>
  <si>
    <t>Suma</t>
  </si>
  <si>
    <t>Rodiklis</t>
  </si>
  <si>
    <t>Skaičiavimai</t>
  </si>
  <si>
    <t>metų =</t>
  </si>
  <si>
    <t>Gyventojų duomenys:</t>
  </si>
  <si>
    <t>Standartizuotas rodiklis</t>
  </si>
  <si>
    <t>pop10m</t>
  </si>
  <si>
    <t>pop11m</t>
  </si>
  <si>
    <t>pop12m</t>
  </si>
  <si>
    <t>pop13m</t>
  </si>
  <si>
    <t>pop14m</t>
  </si>
  <si>
    <t>pop15m</t>
  </si>
  <si>
    <t>pop16m</t>
  </si>
  <si>
    <t>pop17m</t>
  </si>
  <si>
    <t>pop18m</t>
  </si>
  <si>
    <t>pop19m</t>
  </si>
  <si>
    <t>pop20m</t>
  </si>
  <si>
    <t>pop21m</t>
  </si>
  <si>
    <t>pop22m</t>
  </si>
  <si>
    <t>pop23m</t>
  </si>
  <si>
    <t>pop24m</t>
  </si>
  <si>
    <t>pop25m</t>
  </si>
  <si>
    <t>pop26m</t>
  </si>
  <si>
    <t>pop27m</t>
  </si>
  <si>
    <t>pop28m</t>
  </si>
  <si>
    <t>pop29m</t>
  </si>
  <si>
    <t>pop30m</t>
  </si>
  <si>
    <t>pop10f</t>
  </si>
  <si>
    <t>pop11f</t>
  </si>
  <si>
    <t>pop12f</t>
  </si>
  <si>
    <t>pop13f</t>
  </si>
  <si>
    <t>pop14f</t>
  </si>
  <si>
    <t>pop15f</t>
  </si>
  <si>
    <t>pop16f</t>
  </si>
  <si>
    <t>pop17f</t>
  </si>
  <si>
    <t>pop18f</t>
  </si>
  <si>
    <t>pop19f</t>
  </si>
  <si>
    <t>pop20f</t>
  </si>
  <si>
    <t>pop21f</t>
  </si>
  <si>
    <t>pop22f</t>
  </si>
  <si>
    <t>pop23f</t>
  </si>
  <si>
    <t>pop24f</t>
  </si>
  <si>
    <t>pop25f</t>
  </si>
  <si>
    <t>pop26f</t>
  </si>
  <si>
    <t>pop27f</t>
  </si>
  <si>
    <t>pop28f</t>
  </si>
  <si>
    <t>pop29f</t>
  </si>
  <si>
    <t>pop30f</t>
  </si>
  <si>
    <t>Reikalingi Failai - "Data" ir "Populiacija"</t>
  </si>
  <si>
    <t>Reikalingi Failai - "Data"</t>
  </si>
  <si>
    <t>Reikalingi Failai - "Data" ir "Lent02v"</t>
  </si>
  <si>
    <t>Reikalingi Failai - "Data" ir "Lent02m"</t>
  </si>
  <si>
    <t>Metai</t>
  </si>
  <si>
    <t>Naudojami puslapiai: "Data", "Populiacija", "Lent02v", "Lent02m"</t>
  </si>
  <si>
    <t>Standartinė populiacija Europos</t>
  </si>
  <si>
    <t>Standartinė populiacija Pasaulio</t>
  </si>
  <si>
    <t>surv1_vyr</t>
  </si>
  <si>
    <t>surv5_vyr</t>
  </si>
  <si>
    <t>surv1_mot</t>
  </si>
  <si>
    <t>surv5_mot</t>
  </si>
  <si>
    <t>Skaičiavimai EASR</t>
  </si>
  <si>
    <t>Skaičiavimai WASR</t>
  </si>
  <si>
    <t>Gyventojų skaičius (vyrų)</t>
  </si>
  <si>
    <t>C60, C63</t>
  </si>
  <si>
    <t>C52, C57-C58</t>
  </si>
  <si>
    <t>Amžiaus grupė</t>
  </si>
  <si>
    <t>1-erių metų, %</t>
  </si>
  <si>
    <t>5-erių metų, %</t>
  </si>
  <si>
    <t>Mirtingumas</t>
  </si>
  <si>
    <t>Stemplės</t>
  </si>
  <si>
    <t xml:space="preserve">Vyrai - mirtingumas pagal amžiaus grupes 15m. </t>
  </si>
  <si>
    <t xml:space="preserve">Moterys - mirtingumas pagal amžiaus grupes 15m. </t>
  </si>
  <si>
    <t>Sergamumas</t>
  </si>
  <si>
    <t>EASR *</t>
  </si>
  <si>
    <t>WASR **</t>
  </si>
  <si>
    <t>Iš viso</t>
  </si>
  <si>
    <t>išgyveno   iš viso</t>
  </si>
  <si>
    <t xml:space="preserve"> Amžius</t>
  </si>
  <si>
    <t xml:space="preserve"> Moterys</t>
  </si>
  <si>
    <t xml:space="preserve"> 60-64</t>
  </si>
  <si>
    <t xml:space="preserve">  kiti nervų sistemos</t>
  </si>
  <si>
    <t xml:space="preserve">  krūties navikai in situ</t>
  </si>
  <si>
    <t xml:space="preserve">  gimdos kaklelio in situ</t>
  </si>
  <si>
    <t xml:space="preserve">  šlapimo pūslės in situ</t>
  </si>
  <si>
    <t>≥ 1 metai</t>
  </si>
  <si>
    <t>≥ 5 metai</t>
  </si>
  <si>
    <t>≥ 10 metų</t>
  </si>
  <si>
    <t>*</t>
  </si>
  <si>
    <t>atv</t>
  </si>
  <si>
    <t>Kepenų</t>
  </si>
  <si>
    <t>Kitų kvėpavimo sistemos organų</t>
  </si>
  <si>
    <t>Moterys, 0-14 metų (7 atv.)</t>
  </si>
  <si>
    <t>Moterys, 15-29 metų (18 atv.)</t>
  </si>
  <si>
    <t>Vidutinis gyventojų skaičius Lietuvoje</t>
  </si>
  <si>
    <t>2012 m.</t>
  </si>
  <si>
    <t>44,8*</t>
  </si>
  <si>
    <t>19,1*</t>
  </si>
  <si>
    <t>100,0*</t>
  </si>
  <si>
    <t>45,8*</t>
  </si>
  <si>
    <t>Gyventojų skaičius (moterų)</t>
  </si>
  <si>
    <t>Gyventojų skaičius (vyrų ir moterų)</t>
  </si>
  <si>
    <t>Vyrai, visos amžiaus grupės (9529 atv.)</t>
  </si>
  <si>
    <t>Vyrai, 0-14 metų (31 atv.)</t>
  </si>
  <si>
    <t>Kitų lyties organų</t>
  </si>
  <si>
    <t>Vyrai, 15-29 metų (91 atv.)</t>
  </si>
  <si>
    <t>Vyrai, 30-54 metų (1364 atv.)</t>
  </si>
  <si>
    <t>Vyrai, 55-74 metų (5678 atv.)</t>
  </si>
  <si>
    <t>Vyrai, 75 ir daugiau metų (2365 atv.)</t>
  </si>
  <si>
    <t>Moterys, visos amžiaus grupės (8306 atv.)</t>
  </si>
  <si>
    <t>Moterys, 0-14 metų (33 atv.)</t>
  </si>
  <si>
    <t>Moterys, 15-29 metų (95 atv.)</t>
  </si>
  <si>
    <t>Moterys, 30-54 metų (1744 atv.)</t>
  </si>
  <si>
    <t>Moterys, 55-74 metų (3705 atv.)</t>
  </si>
  <si>
    <t>Moterys, 75 ir daugiau metų (2729 atv.)</t>
  </si>
  <si>
    <t>Vyrai, visos amžiaus grupės (4330 atv.)</t>
  </si>
  <si>
    <t>Vyrai, 0-14 metų (5 atv.)</t>
  </si>
  <si>
    <t>Vyrai, 15-29 metų (17 atv.)</t>
  </si>
  <si>
    <t>Vyrai, 30-54 metų (481 atv.)</t>
  </si>
  <si>
    <t>Vyrai, 55-74 metų (2290 atv.)</t>
  </si>
  <si>
    <t>Vyrai, 75 ir daugiau metų (1537 atv.)</t>
  </si>
  <si>
    <t>Moterys, visos amžiaus grupės (3541 atv.)</t>
  </si>
  <si>
    <t>Moterys, 30-54 metų (426 atv.)</t>
  </si>
  <si>
    <t>Moterys, 55-74 metų (1430 atv.)</t>
  </si>
  <si>
    <t>Moterys, 75 ir daugiau metų (1660 atv.)</t>
  </si>
  <si>
    <t>Vyrai ir moterys, visos amžiaus grupės (17835 atv.)</t>
  </si>
  <si>
    <t>Vyrai ir moterys, 0-14 metų (64 atv.)</t>
  </si>
  <si>
    <t>Vyrai ir moterys, 15-29 metų (186 atv.)</t>
  </si>
  <si>
    <t>Vyrai ir moterys, 30-54 metų (3108 atv.)</t>
  </si>
  <si>
    <t>Vyrai ir moterys, 55-74 metų (9383 atv.)</t>
  </si>
  <si>
    <t>Vyrai ir moterys, 75 ir daugiau metų (5094 atv.)</t>
  </si>
  <si>
    <t>Vyrai ir moterys, visos amžiaus grupės (7871 atv.)</t>
  </si>
  <si>
    <t>Vyrai ir moterys, 0-14 metų (12 atv.)</t>
  </si>
  <si>
    <t>Vyrai ir moterys, 15-29 metų (35 atv.)</t>
  </si>
  <si>
    <t>Vyrai ir moterys, 30-54 metų (907 atv.)</t>
  </si>
  <si>
    <t>Vyrai ir moterys, 55-74 metų (3720 atv.)</t>
  </si>
  <si>
    <t>Vyrai ir moterys, 75 ir daugiau metų (3197 atv.)</t>
  </si>
  <si>
    <t>93,3</t>
  </si>
  <si>
    <t>38,7</t>
  </si>
  <si>
    <t>22,1</t>
  </si>
  <si>
    <t>46,0</t>
  </si>
  <si>
    <t>71,9</t>
  </si>
  <si>
    <t>76,2</t>
  </si>
  <si>
    <t>29,1</t>
  </si>
  <si>
    <t>45,6</t>
  </si>
  <si>
    <t>18,1</t>
  </si>
  <si>
    <t>42,4</t>
  </si>
  <si>
    <t>71,5</t>
  </si>
  <si>
    <t>70,7</t>
  </si>
  <si>
    <t>31,1</t>
  </si>
  <si>
    <t>41,3</t>
  </si>
  <si>
    <t>64,2</t>
  </si>
  <si>
    <t>91,7</t>
  </si>
  <si>
    <t>100,0</t>
  </si>
  <si>
    <t>98,2</t>
  </si>
  <si>
    <t>76,6</t>
  </si>
  <si>
    <t>15,0</t>
  </si>
  <si>
    <t>3,5</t>
  </si>
  <si>
    <t>27,8</t>
  </si>
  <si>
    <t>52,1</t>
  </si>
  <si>
    <t>53,5</t>
  </si>
  <si>
    <t>8,4</t>
  </si>
  <si>
    <t>19,1</t>
  </si>
  <si>
    <t>5,3</t>
  </si>
  <si>
    <t>39,9</t>
  </si>
  <si>
    <t>50,4</t>
  </si>
  <si>
    <t>40,4</t>
  </si>
  <si>
    <t>9,0</t>
  </si>
  <si>
    <t>10,5</t>
  </si>
  <si>
    <t>38,6</t>
  </si>
  <si>
    <t>63,9</t>
  </si>
  <si>
    <t>94,6</t>
  </si>
  <si>
    <t>76,4</t>
  </si>
  <si>
    <t>78,9</t>
  </si>
  <si>
    <t>76,5</t>
  </si>
  <si>
    <t>92,0</t>
  </si>
  <si>
    <t>86,6</t>
  </si>
  <si>
    <t>57,9</t>
  </si>
  <si>
    <t>96,6</t>
  </si>
  <si>
    <t>41,0</t>
  </si>
  <si>
    <t>18,2</t>
  </si>
  <si>
    <t>85,8</t>
  </si>
  <si>
    <t>75,6</t>
  </si>
  <si>
    <t>67,8</t>
  </si>
  <si>
    <t>74,0</t>
  </si>
  <si>
    <t>81,6</t>
  </si>
  <si>
    <t>65,8</t>
  </si>
  <si>
    <t>55,4</t>
  </si>
  <si>
    <t>65,3</t>
  </si>
  <si>
    <t>56,9</t>
  </si>
  <si>
    <t>21,5</t>
  </si>
  <si>
    <t>97,9</t>
  </si>
  <si>
    <t>44,8</t>
  </si>
  <si>
    <t>11,2</t>
  </si>
  <si>
    <t>68,8</t>
  </si>
  <si>
    <t>59,8</t>
  </si>
  <si>
    <t>48,6</t>
  </si>
  <si>
    <t>49,4</t>
  </si>
  <si>
    <t>45,8</t>
  </si>
  <si>
    <t>93,3*</t>
  </si>
  <si>
    <t>76,6*</t>
  </si>
  <si>
    <t>45,6*</t>
  </si>
  <si>
    <t>42,4*</t>
  </si>
  <si>
    <t>39,9*</t>
  </si>
  <si>
    <t>71,5*</t>
  </si>
  <si>
    <t>50,4*</t>
  </si>
  <si>
    <t>41,3*</t>
  </si>
  <si>
    <t>10,5*</t>
  </si>
  <si>
    <t>64,2*</t>
  </si>
  <si>
    <t>38,6*</t>
  </si>
  <si>
    <t>98,2*</t>
  </si>
  <si>
    <t>92,0*</t>
  </si>
  <si>
    <t>65,3*</t>
  </si>
  <si>
    <t>94,6*</t>
  </si>
  <si>
    <t>91,7*</t>
  </si>
  <si>
    <t>76,4*</t>
  </si>
  <si>
    <t>81,6*</t>
  </si>
  <si>
    <t>86,6*</t>
  </si>
  <si>
    <t>56,9*</t>
  </si>
  <si>
    <t>41,0*</t>
  </si>
  <si>
    <t>85,8*</t>
  </si>
  <si>
    <t>68,8*</t>
  </si>
  <si>
    <t>29,7</t>
  </si>
  <si>
    <t>67,9</t>
  </si>
  <si>
    <t>54,7</t>
  </si>
  <si>
    <t>33,8</t>
  </si>
  <si>
    <t>13,4</t>
  </si>
  <si>
    <t>24,6</t>
  </si>
  <si>
    <t>8,5</t>
  </si>
  <si>
    <t>34,7</t>
  </si>
  <si>
    <t>13,2</t>
  </si>
  <si>
    <t>51,5</t>
  </si>
  <si>
    <t>94,3</t>
  </si>
  <si>
    <t>80,5</t>
  </si>
  <si>
    <t>92,8</t>
  </si>
  <si>
    <t>77,4</t>
  </si>
  <si>
    <t>51,7</t>
  </si>
  <si>
    <t>83,1</t>
  </si>
  <si>
    <t>64,5</t>
  </si>
  <si>
    <t>92,3</t>
  </si>
  <si>
    <t>81,8</t>
  </si>
  <si>
    <t>71,6</t>
  </si>
  <si>
    <t>43,9</t>
  </si>
  <si>
    <t>76,7</t>
  </si>
  <si>
    <t>60,1</t>
  </si>
  <si>
    <t>40,9</t>
  </si>
  <si>
    <t>98,8</t>
  </si>
  <si>
    <t>97,3</t>
  </si>
  <si>
    <t>20,4</t>
  </si>
  <si>
    <t>73,9</t>
  </si>
  <si>
    <t>59,5</t>
  </si>
  <si>
    <t>68,9</t>
  </si>
  <si>
    <t>38,8</t>
  </si>
  <si>
    <t>66,5</t>
  </si>
  <si>
    <t>53,3</t>
  </si>
  <si>
    <t>91,6*</t>
  </si>
  <si>
    <t>29,4*</t>
  </si>
  <si>
    <t>56,7*</t>
  </si>
  <si>
    <t>40,6*</t>
  </si>
  <si>
    <t>29,5*</t>
  </si>
  <si>
    <t>20,0*</t>
  </si>
  <si>
    <t>40,7*</t>
  </si>
  <si>
    <t>16,2*</t>
  </si>
  <si>
    <t>75,9*</t>
  </si>
  <si>
    <t>61,8*</t>
  </si>
  <si>
    <t>64,8*</t>
  </si>
  <si>
    <t>49,4*</t>
  </si>
  <si>
    <t>67,8*</t>
  </si>
  <si>
    <t>60,9*</t>
  </si>
  <si>
    <t>69,8*</t>
  </si>
  <si>
    <t>37,4*</t>
  </si>
  <si>
    <t>79,8*</t>
  </si>
  <si>
    <t>51,3*</t>
  </si>
  <si>
    <t>83,7*</t>
  </si>
  <si>
    <t>79,5*</t>
  </si>
  <si>
    <t>74,3*</t>
  </si>
  <si>
    <t>87,1*</t>
  </si>
  <si>
    <t>83,4*</t>
  </si>
  <si>
    <t>85,6*</t>
  </si>
  <si>
    <t>55,6*</t>
  </si>
  <si>
    <t>* Į analizę įtraukta mažiau nei 50 atvejų</t>
  </si>
  <si>
    <t>.</t>
  </si>
  <si>
    <t>Dažniausios piktybinių navikų lokalizacijos pagal amžių Lietuvoje 2013 metais</t>
  </si>
  <si>
    <t>Dažniausios piktybinių navikų lokalizacijos pagal amžių ir lytį Lietuvoje 2013 metais</t>
  </si>
  <si>
    <t>Diagnozuotų onkologinių susirgimų skaičius ir sergamumo rodikliai Lietuvoje 2013 metais. Vyrai ir moterys</t>
  </si>
  <si>
    <t>Diagnozuotų onkologinių susirgimų skaičius ir sergamumo rodikliai Lietuvoje 2013 metais. Vyrai</t>
  </si>
  <si>
    <t>Diagnozuotų onkologinių susirgimų skaičius ir sergamumo rodikliai Lietuvoje 2013 metais. Moterys</t>
  </si>
  <si>
    <t>Susirgimai piktybiniais navikais pagal diagnozuotos ligos stadijas (TNM sistema) 2013  m. Vyrai.</t>
  </si>
  <si>
    <t>Susirgimai piktybiniais navikais pagal diagnozuotos ligos stadijas (TNM sistema) 2013  m. Moterys.</t>
  </si>
  <si>
    <t>Susirgimų piktybiniais navikais pasiskirstymas pagal amžiaus grupes  2013 m. Vyrai</t>
  </si>
  <si>
    <t>Susirgimų piktybiniais navikais pasiskirstymas pagal amžiaus grupes  2013 m. Moterys.</t>
  </si>
  <si>
    <t>Sergamumo piktybiniais navikais rodiklis pagal amžių  2013 metais. Vyrai. (100 000 gyventojų)</t>
  </si>
  <si>
    <t>Sergamumo piktybiniais navikais rodiklis pagal amžių  2013 metais. Moterys. (100 000 gyventojų)</t>
  </si>
  <si>
    <t>Dažniausi piktybiniai navikai, sąlygoję mirtis nuo vėžio, pagal gyventojų amžiaus grupes Lietuvoje 2013 metais.</t>
  </si>
  <si>
    <t>Dažniausi piktybiniai navikai, sąlygoję mirtis nuo vėžio, pagal gyventojų amžiaus grupes ir lytį Lietuvoje 2013 metais.</t>
  </si>
  <si>
    <t>Mirčių nuo piktybinių navikų skaičius ir mirtingumo rodikliai Lietuvoje 2013 metais. Vyrai ir moterys</t>
  </si>
  <si>
    <t>Mirčių nuo piktybinių navikų skaičius ir mirtingumo rodikliai Lietuvoje 2013 metais. Vyrai</t>
  </si>
  <si>
    <t>Mirčių nuo piktybinių navikų skaičius ir mirtingumo rodikliai Lietuvoje 2013 metais. Moterys</t>
  </si>
  <si>
    <t>Mirčių nuo piktybinių navikų skaičius pagal amžiaus grupes 2013 metais. Vyrai</t>
  </si>
  <si>
    <t>Mirčių nuo piktybinių navikų skaičius pagal amžiaus grupes 2013 metais. Moterys</t>
  </si>
  <si>
    <t>Mirtingumo nuo piktybinių navikų rodikliai pagal amžiaus grupes 2013 metais. Vyrai</t>
  </si>
  <si>
    <t>Mirtingumo nuo piktybinių navikų rodikliai pagal amžiaus grupes 2013 metais. Moterys</t>
  </si>
  <si>
    <t>Gyvų asmenų skaičius 2013 m. gruodžio 31 d. praėjus tam tikram laikui nuo diagnozės nustatymo. Vyrai</t>
  </si>
  <si>
    <t>Gyvų asmenų skaičius 2013 m. gruodžio 31 d. praėjus tam tikram laikui nuo diagnozės nustatymo. Moterys</t>
  </si>
  <si>
    <t>2008 metų išgyvenamumo duomenys</t>
  </si>
  <si>
    <t>2008 m. susirgusiųjų piktybiniais navikais 1-erių ir 5-erių metų reliatyvus išgyvenamumas Lietuvoje. Vyrai</t>
  </si>
  <si>
    <t>2008 m. susirgusiųjų piktybiniais navikais 1-erių ir 5-erių metų reliatyvus išgyvenamumas Lietuvoje. Moterys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</si>
</sst>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L_t_-;\-* #,##0.00\ _L_t_-;_-* &quot;-&quot;??\ _L_t_-;_-@_-"/>
    <numFmt numFmtId="165" formatCode="_-* #,##0.0\ %;\-* #,##0.0\ %;_-* &quot;-&quot;;_-@_-"/>
    <numFmt numFmtId="166" formatCode="_-* ###0;\-* ###0;_-* &quot;-&quot;;_-@_-"/>
    <numFmt numFmtId="167" formatCode="_-* ###0.0;\-* ###0.0;_-* &quot;-&quot;;_-@_-"/>
    <numFmt numFmtId="168" formatCode="0.0"/>
    <numFmt numFmtId="169" formatCode="0.0;0.0;&quot;-&quot;;@"/>
    <numFmt numFmtId="170" formatCode="0.00000"/>
  </numFmts>
  <fonts count="71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8"/>
      <name val="Arial"/>
      <family val="2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sz val="10"/>
      <name val="Arial"/>
      <family val="2"/>
      <charset val="186"/>
    </font>
    <font>
      <b/>
      <i/>
      <sz val="11"/>
      <name val="Times New Roman"/>
      <family val="1"/>
      <charset val="186"/>
    </font>
    <font>
      <sz val="12"/>
      <name val="TimesLT"/>
      <charset val="186"/>
    </font>
    <font>
      <sz val="10"/>
      <name val="Arial"/>
      <family val="2"/>
      <charset val="186"/>
    </font>
    <font>
      <b/>
      <i/>
      <sz val="8"/>
      <name val="Times New Roman"/>
      <family val="1"/>
      <charset val="186"/>
    </font>
    <font>
      <b/>
      <sz val="8"/>
      <name val="Arial"/>
      <family val="2"/>
      <charset val="186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11"/>
      <color rgb="FFFF0000"/>
      <name val="Arial"/>
      <family val="2"/>
      <charset val="186"/>
    </font>
    <font>
      <b/>
      <sz val="11"/>
      <color rgb="FFC0000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b/>
      <sz val="11"/>
      <color rgb="FF000000"/>
      <name val="Arial"/>
      <family val="2"/>
      <charset val="186"/>
    </font>
    <font>
      <b/>
      <sz val="9"/>
      <name val="Arial"/>
      <family val="2"/>
      <charset val="186"/>
    </font>
    <font>
      <sz val="7"/>
      <name val="Verdana"/>
      <family val="2"/>
      <charset val="186"/>
    </font>
    <font>
      <b/>
      <i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8.5"/>
      <name val="Verdana"/>
      <family val="2"/>
      <charset val="186"/>
    </font>
    <font>
      <sz val="8.5"/>
      <name val="Verdana"/>
      <family val="2"/>
      <charset val="186"/>
    </font>
    <font>
      <b/>
      <sz val="8"/>
      <name val="Verdana"/>
      <family val="2"/>
      <charset val="186"/>
    </font>
    <font>
      <sz val="10"/>
      <color indexed="8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2"/>
      <name val="TimesLT"/>
      <charset val="186"/>
    </font>
    <font>
      <sz val="8"/>
      <color theme="4" tint="0.79998168889431442"/>
      <name val="Arial"/>
      <family val="2"/>
      <charset val="186"/>
    </font>
    <font>
      <b/>
      <sz val="10"/>
      <color theme="4" tint="0.79998168889431442"/>
      <name val="Arial"/>
      <family val="2"/>
      <charset val="186"/>
    </font>
    <font>
      <sz val="10"/>
      <color theme="0"/>
      <name val="Arial"/>
      <family val="2"/>
      <charset val="186"/>
    </font>
    <font>
      <b/>
      <sz val="16"/>
      <color theme="0"/>
      <name val="Arial"/>
      <family val="2"/>
      <charset val="186"/>
    </font>
    <font>
      <b/>
      <sz val="10"/>
      <color theme="0"/>
      <name val="Arial"/>
      <family val="2"/>
      <charset val="186"/>
    </font>
    <font>
      <b/>
      <sz val="11"/>
      <color theme="0"/>
      <name val="Arial"/>
      <family val="2"/>
      <charset val="186"/>
    </font>
    <font>
      <sz val="8"/>
      <color theme="0"/>
      <name val="Arial"/>
      <family val="2"/>
      <charset val="186"/>
    </font>
    <font>
      <b/>
      <sz val="8"/>
      <color theme="0"/>
      <name val="Arial"/>
      <family val="2"/>
      <charset val="186"/>
    </font>
    <font>
      <b/>
      <sz val="16"/>
      <color theme="0" tint="-0.14999847407452621"/>
      <name val="Arial"/>
      <family val="2"/>
      <charset val="186"/>
    </font>
    <font>
      <sz val="10"/>
      <color theme="0" tint="-0.14999847407452621"/>
      <name val="Arial"/>
      <family val="2"/>
      <charset val="186"/>
    </font>
    <font>
      <b/>
      <sz val="10"/>
      <color theme="0" tint="-0.14999847407452621"/>
      <name val="Arial"/>
      <family val="2"/>
      <charset val="186"/>
    </font>
    <font>
      <b/>
      <sz val="11"/>
      <color theme="0" tint="-0.14999847407452621"/>
      <name val="Arial"/>
      <family val="2"/>
      <charset val="186"/>
    </font>
    <font>
      <sz val="8"/>
      <color theme="0" tint="-0.14999847407452621"/>
      <name val="Arial"/>
      <family val="2"/>
      <charset val="186"/>
    </font>
    <font>
      <b/>
      <sz val="8"/>
      <color theme="0" tint="-0.14999847407452621"/>
      <name val="Arial"/>
      <family val="2"/>
      <charset val="186"/>
    </font>
    <font>
      <sz val="7"/>
      <color theme="0"/>
      <name val="Verdana"/>
      <family val="2"/>
      <charset val="186"/>
    </font>
    <font>
      <sz val="10"/>
      <color theme="1"/>
      <name val="Arial"/>
      <family val="2"/>
      <charset val="186"/>
    </font>
    <font>
      <sz val="10"/>
      <color rgb="FF1C1C1C"/>
      <name val="SegoeUI"/>
      <family val="2"/>
    </font>
    <font>
      <sz val="11"/>
      <name val="Times New Roman"/>
      <family val="1"/>
      <charset val="186"/>
    </font>
    <font>
      <b/>
      <sz val="11"/>
      <color theme="2" tint="-9.9978637043366805E-2"/>
      <name val="Arial"/>
      <family val="2"/>
      <charset val="186"/>
    </font>
    <font>
      <sz val="10"/>
      <color theme="2" tint="-9.9978637043366805E-2"/>
      <name val="Arial"/>
      <family val="2"/>
      <charset val="186"/>
    </font>
    <font>
      <b/>
      <sz val="10"/>
      <color theme="2" tint="-9.9978637043366805E-2"/>
      <name val="Arial"/>
      <family val="2"/>
      <charset val="186"/>
    </font>
    <font>
      <b/>
      <sz val="11"/>
      <color theme="4" tint="0.79998168889431442"/>
      <name val="Arial"/>
      <family val="2"/>
      <charset val="186"/>
    </font>
    <font>
      <sz val="10"/>
      <color theme="4" tint="0.79998168889431442"/>
      <name val="Arial"/>
      <family val="2"/>
      <charset val="186"/>
    </font>
    <font>
      <b/>
      <sz val="11"/>
      <color rgb="FFFFCCCC"/>
      <name val="Arial"/>
      <family val="2"/>
      <charset val="186"/>
    </font>
    <font>
      <sz val="10"/>
      <color rgb="FFFFCCCC"/>
      <name val="Arial"/>
      <family val="2"/>
      <charset val="186"/>
    </font>
    <font>
      <b/>
      <sz val="10"/>
      <color rgb="FFFFCCCC"/>
      <name val="Arial"/>
      <family val="2"/>
      <charset val="186"/>
    </font>
    <font>
      <sz val="8"/>
      <color rgb="FFFFCCCC"/>
      <name val="Arial"/>
      <family val="2"/>
      <charset val="186"/>
    </font>
    <font>
      <b/>
      <sz val="11"/>
      <color rgb="FFCCECFF"/>
      <name val="Arial"/>
      <family val="2"/>
      <charset val="186"/>
    </font>
    <font>
      <sz val="8"/>
      <color rgb="FFCCECFF"/>
      <name val="Arial"/>
      <family val="2"/>
      <charset val="186"/>
    </font>
    <font>
      <sz val="10"/>
      <color rgb="FFCCECFF"/>
      <name val="Arial"/>
      <family val="2"/>
      <charset val="186"/>
    </font>
    <font>
      <b/>
      <sz val="10"/>
      <color rgb="FFCCECFF"/>
      <name val="Arial"/>
      <family val="2"/>
      <charset val="186"/>
    </font>
  </fonts>
  <fills count="21">
    <fill>
      <patternFill patternType="none"/>
    </fill>
    <fill>
      <patternFill patternType="gray125"/>
    </fill>
    <fill>
      <patternFill patternType="solid">
        <fgColor indexed="48"/>
        <bgColor indexed="0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5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E3E3E3"/>
      </left>
      <right style="thin">
        <color rgb="FFE3E3E3"/>
      </right>
      <top style="thin">
        <color rgb="FFE3E3E3"/>
      </top>
      <bottom style="thin">
        <color rgb="FFE3E3E3"/>
      </bottom>
      <diagonal/>
    </border>
  </borders>
  <cellStyleXfs count="19">
    <xf numFmtId="0" fontId="0" fillId="0" borderId="0"/>
    <xf numFmtId="0" fontId="12" fillId="0" borderId="0"/>
    <xf numFmtId="0" fontId="12" fillId="0" borderId="0"/>
    <xf numFmtId="0" fontId="12" fillId="0" borderId="0"/>
    <xf numFmtId="9" fontId="9" fillId="0" borderId="0" applyFont="0" applyFill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0" fontId="9" fillId="0" borderId="0"/>
    <xf numFmtId="0" fontId="8" fillId="0" borderId="0"/>
    <xf numFmtId="0" fontId="9" fillId="0" borderId="0"/>
    <xf numFmtId="0" fontId="7" fillId="0" borderId="0"/>
    <xf numFmtId="0" fontId="37" fillId="0" borderId="0"/>
    <xf numFmtId="0" fontId="1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65">
    <xf numFmtId="0" fontId="0" fillId="0" borderId="0" xfId="0"/>
    <xf numFmtId="0" fontId="11" fillId="2" borderId="2" xfId="2" applyFont="1" applyFill="1" applyBorder="1" applyAlignment="1">
      <alignment horizontal="center"/>
    </xf>
    <xf numFmtId="0" fontId="12" fillId="0" borderId="1" xfId="3" applyFont="1" applyFill="1" applyBorder="1" applyAlignment="1">
      <alignment horizontal="right" wrapText="1"/>
    </xf>
    <xf numFmtId="0" fontId="12" fillId="0" borderId="1" xfId="3" applyFont="1" applyFill="1" applyBorder="1" applyAlignment="1">
      <alignment wrapText="1"/>
    </xf>
    <xf numFmtId="0" fontId="0" fillId="3" borderId="0" xfId="0" applyFill="1" applyBorder="1"/>
    <xf numFmtId="0" fontId="0" fillId="4" borderId="0" xfId="0" applyFill="1"/>
    <xf numFmtId="0" fontId="11" fillId="5" borderId="3" xfId="2" applyFont="1" applyFill="1" applyBorder="1" applyAlignment="1">
      <alignment horizontal="center"/>
    </xf>
    <xf numFmtId="0" fontId="11" fillId="0" borderId="3" xfId="2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3" xfId="0" applyNumberFormat="1" applyFont="1" applyBorder="1" applyAlignment="1">
      <alignment horizontal="center" wrapText="1"/>
    </xf>
    <xf numFmtId="0" fontId="11" fillId="0" borderId="3" xfId="0" quotePrefix="1" applyNumberFormat="1" applyFont="1" applyBorder="1" applyAlignment="1">
      <alignment horizontal="center" wrapText="1"/>
    </xf>
    <xf numFmtId="0" fontId="11" fillId="6" borderId="3" xfId="2" applyFont="1" applyFill="1" applyBorder="1" applyAlignment="1">
      <alignment horizontal="center"/>
    </xf>
    <xf numFmtId="0" fontId="12" fillId="0" borderId="4" xfId="3" applyFont="1" applyFill="1" applyBorder="1" applyAlignment="1">
      <alignment horizontal="right" wrapText="1"/>
    </xf>
    <xf numFmtId="0" fontId="12" fillId="0" borderId="4" xfId="3" applyFont="1" applyFill="1" applyBorder="1" applyAlignment="1">
      <alignment wrapText="1"/>
    </xf>
    <xf numFmtId="0" fontId="12" fillId="7" borderId="2" xfId="3" applyFont="1" applyFill="1" applyBorder="1" applyAlignment="1">
      <alignment horizontal="center"/>
    </xf>
    <xf numFmtId="0" fontId="0" fillId="3" borderId="2" xfId="0" applyFill="1" applyBorder="1"/>
    <xf numFmtId="0" fontId="0" fillId="4" borderId="2" xfId="0" applyFill="1" applyBorder="1"/>
    <xf numFmtId="0" fontId="0" fillId="0" borderId="2" xfId="0" applyFill="1" applyBorder="1"/>
    <xf numFmtId="0" fontId="12" fillId="7" borderId="5" xfId="3" applyFont="1" applyFill="1" applyBorder="1" applyAlignment="1">
      <alignment horizontal="center"/>
    </xf>
    <xf numFmtId="0" fontId="12" fillId="0" borderId="6" xfId="3" applyFont="1" applyFill="1" applyBorder="1" applyAlignment="1">
      <alignment wrapText="1"/>
    </xf>
    <xf numFmtId="0" fontId="11" fillId="3" borderId="3" xfId="0" applyNumberFormat="1" applyFont="1" applyFill="1" applyBorder="1" applyAlignment="1">
      <alignment horizontal="center" wrapText="1"/>
    </xf>
    <xf numFmtId="0" fontId="11" fillId="4" borderId="3" xfId="0" applyNumberFormat="1" applyFont="1" applyFill="1" applyBorder="1" applyAlignment="1">
      <alignment horizontal="center" wrapText="1"/>
    </xf>
    <xf numFmtId="0" fontId="12" fillId="2" borderId="7" xfId="1" applyFont="1" applyFill="1" applyBorder="1" applyAlignment="1">
      <alignment horizontal="center"/>
    </xf>
    <xf numFmtId="0" fontId="12" fillId="6" borderId="7" xfId="1" applyFont="1" applyFill="1" applyBorder="1" applyAlignment="1">
      <alignment horizontal="center"/>
    </xf>
    <xf numFmtId="0" fontId="12" fillId="8" borderId="1" xfId="1" applyFont="1" applyFill="1" applyBorder="1" applyAlignment="1">
      <alignment horizontal="right" wrapText="1"/>
    </xf>
    <xf numFmtId="0" fontId="12" fillId="9" borderId="1" xfId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13" fillId="0" borderId="0" xfId="0" applyFont="1"/>
    <xf numFmtId="9" fontId="0" fillId="0" borderId="0" xfId="4" applyFont="1"/>
    <xf numFmtId="0" fontId="13" fillId="10" borderId="0" xfId="0" applyFont="1" applyFill="1"/>
    <xf numFmtId="0" fontId="0" fillId="10" borderId="0" xfId="0" applyFill="1"/>
    <xf numFmtId="0" fontId="0" fillId="12" borderId="0" xfId="0" applyFill="1"/>
    <xf numFmtId="0" fontId="0" fillId="13" borderId="0" xfId="0" applyFill="1"/>
    <xf numFmtId="0" fontId="9" fillId="0" borderId="0" xfId="0" applyFont="1"/>
    <xf numFmtId="0" fontId="10" fillId="0" borderId="0" xfId="0" applyFont="1"/>
    <xf numFmtId="0" fontId="20" fillId="0" borderId="0" xfId="0" applyFont="1"/>
    <xf numFmtId="1" fontId="20" fillId="0" borderId="0" xfId="0" applyNumberFormat="1" applyFont="1"/>
    <xf numFmtId="1" fontId="20" fillId="0" borderId="0" xfId="5" applyNumberFormat="1" applyFont="1" applyFill="1"/>
    <xf numFmtId="1" fontId="20" fillId="0" borderId="0" xfId="5" applyNumberFormat="1" applyFont="1" applyFill="1" applyAlignment="1">
      <alignment horizontal="left"/>
    </xf>
    <xf numFmtId="0" fontId="20" fillId="0" borderId="0" xfId="0" applyFont="1" applyAlignment="1">
      <alignment horizontal="right"/>
    </xf>
    <xf numFmtId="1" fontId="13" fillId="0" borderId="0" xfId="0" applyNumberFormat="1" applyFont="1"/>
    <xf numFmtId="0" fontId="13" fillId="0" borderId="0" xfId="0" applyFont="1" applyFill="1"/>
    <xf numFmtId="1" fontId="13" fillId="0" borderId="0" xfId="5" applyNumberFormat="1" applyFont="1" applyFill="1"/>
    <xf numFmtId="1" fontId="21" fillId="0" borderId="0" xfId="0" applyNumberFormat="1" applyFont="1" applyBorder="1"/>
    <xf numFmtId="0" fontId="21" fillId="0" borderId="0" xfId="0" applyFont="1" applyFill="1"/>
    <xf numFmtId="1" fontId="21" fillId="0" borderId="0" xfId="5" applyNumberFormat="1" applyFont="1" applyFill="1" applyBorder="1"/>
    <xf numFmtId="1" fontId="21" fillId="0" borderId="0" xfId="0" applyNumberFormat="1" applyFont="1"/>
    <xf numFmtId="0" fontId="21" fillId="0" borderId="0" xfId="0" applyFont="1"/>
    <xf numFmtId="0" fontId="22" fillId="0" borderId="0" xfId="0" applyFont="1"/>
    <xf numFmtId="1" fontId="23" fillId="0" borderId="0" xfId="0" applyNumberFormat="1" applyFont="1"/>
    <xf numFmtId="0" fontId="23" fillId="0" borderId="0" xfId="5" applyFont="1" applyFill="1"/>
    <xf numFmtId="1" fontId="23" fillId="0" borderId="0" xfId="5" applyNumberFormat="1" applyFont="1" applyFill="1"/>
    <xf numFmtId="0" fontId="23" fillId="0" borderId="0" xfId="0" applyFont="1"/>
    <xf numFmtId="1" fontId="21" fillId="0" borderId="0" xfId="5" applyNumberFormat="1" applyFont="1" applyFill="1"/>
    <xf numFmtId="0" fontId="9" fillId="0" borderId="0" xfId="0" applyFont="1" applyAlignment="1">
      <alignment horizontal="right"/>
    </xf>
    <xf numFmtId="0" fontId="9" fillId="10" borderId="0" xfId="0" applyFont="1" applyFill="1"/>
    <xf numFmtId="0" fontId="9" fillId="10" borderId="0" xfId="0" applyFont="1" applyFill="1" applyAlignment="1">
      <alignment horizontal="right"/>
    </xf>
    <xf numFmtId="0" fontId="10" fillId="10" borderId="0" xfId="0" applyFont="1" applyFill="1" applyAlignment="1">
      <alignment horizontal="left"/>
    </xf>
    <xf numFmtId="1" fontId="9" fillId="10" borderId="0" xfId="0" applyNumberFormat="1" applyFont="1" applyFill="1" applyAlignment="1">
      <alignment horizontal="right"/>
    </xf>
    <xf numFmtId="0" fontId="25" fillId="10" borderId="0" xfId="0" applyFont="1" applyFill="1"/>
    <xf numFmtId="0" fontId="9" fillId="0" borderId="0" xfId="0" applyFont="1" applyAlignment="1">
      <alignment horizontal="right"/>
    </xf>
    <xf numFmtId="0" fontId="10" fillId="10" borderId="0" xfId="0" applyFont="1" applyFill="1"/>
    <xf numFmtId="0" fontId="13" fillId="15" borderId="0" xfId="0" applyFont="1" applyFill="1"/>
    <xf numFmtId="0" fontId="25" fillId="15" borderId="0" xfId="0" applyFont="1" applyFill="1" applyAlignment="1">
      <alignment horizontal="center"/>
    </xf>
    <xf numFmtId="0" fontId="0" fillId="15" borderId="0" xfId="0" applyFill="1"/>
    <xf numFmtId="0" fontId="9" fillId="15" borderId="0" xfId="0" applyFont="1" applyFill="1"/>
    <xf numFmtId="0" fontId="10" fillId="15" borderId="0" xfId="0" applyFont="1" applyFill="1"/>
    <xf numFmtId="0" fontId="25" fillId="15" borderId="0" xfId="0" applyFont="1" applyFill="1"/>
    <xf numFmtId="0" fontId="9" fillId="15" borderId="0" xfId="0" applyFont="1" applyFill="1" applyAlignment="1">
      <alignment horizontal="right"/>
    </xf>
    <xf numFmtId="1" fontId="9" fillId="15" borderId="0" xfId="0" applyNumberFormat="1" applyFont="1" applyFill="1" applyAlignment="1">
      <alignment horizontal="right"/>
    </xf>
    <xf numFmtId="0" fontId="10" fillId="15" borderId="0" xfId="0" applyFont="1" applyFill="1" applyAlignment="1">
      <alignment horizontal="left"/>
    </xf>
    <xf numFmtId="0" fontId="9" fillId="0" borderId="0" xfId="0" applyFont="1" applyAlignment="1">
      <alignment horizontal="right"/>
    </xf>
    <xf numFmtId="167" fontId="13" fillId="10" borderId="0" xfId="0" applyNumberFormat="1" applyFont="1" applyFill="1" applyBorder="1"/>
    <xf numFmtId="0" fontId="0" fillId="14" borderId="0" xfId="0" applyFill="1"/>
    <xf numFmtId="0" fontId="28" fillId="14" borderId="0" xfId="0" applyFont="1" applyFill="1" applyAlignment="1">
      <alignment horizontal="center" vertical="top" readingOrder="1"/>
    </xf>
    <xf numFmtId="0" fontId="0" fillId="14" borderId="0" xfId="0" applyFill="1" applyAlignment="1">
      <alignment horizontal="right" vertical="center"/>
    </xf>
    <xf numFmtId="0" fontId="0" fillId="14" borderId="0" xfId="0" applyFill="1" applyAlignment="1">
      <alignment horizontal="center"/>
    </xf>
    <xf numFmtId="0" fontId="26" fillId="0" borderId="0" xfId="9" applyFont="1"/>
    <xf numFmtId="0" fontId="9" fillId="0" borderId="0" xfId="9"/>
    <xf numFmtId="0" fontId="9" fillId="0" borderId="0" xfId="9" applyFont="1"/>
    <xf numFmtId="0" fontId="9" fillId="14" borderId="0" xfId="9" applyFill="1"/>
    <xf numFmtId="0" fontId="28" fillId="14" borderId="0" xfId="9" applyFont="1" applyFill="1" applyAlignment="1">
      <alignment horizontal="center" vertical="top" readingOrder="1"/>
    </xf>
    <xf numFmtId="0" fontId="9" fillId="14" borderId="0" xfId="9" applyFill="1" applyAlignment="1">
      <alignment horizontal="right" vertical="center"/>
    </xf>
    <xf numFmtId="0" fontId="9" fillId="0" borderId="0" xfId="9" applyFont="1" applyAlignment="1">
      <alignment horizontal="right"/>
    </xf>
    <xf numFmtId="0" fontId="9" fillId="0" borderId="0" xfId="4" applyNumberFormat="1" applyFont="1"/>
    <xf numFmtId="0" fontId="9" fillId="14" borderId="0" xfId="9" applyFill="1" applyAlignment="1">
      <alignment horizontal="center"/>
    </xf>
    <xf numFmtId="0" fontId="10" fillId="3" borderId="2" xfId="9" applyFont="1" applyFill="1" applyBorder="1" applyAlignment="1">
      <alignment horizontal="center"/>
    </xf>
    <xf numFmtId="0" fontId="12" fillId="2" borderId="36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right" wrapText="1"/>
    </xf>
    <xf numFmtId="0" fontId="12" fillId="4" borderId="1" xfId="1" applyFont="1" applyFill="1" applyBorder="1" applyAlignment="1">
      <alignment horizontal="right" wrapText="1"/>
    </xf>
    <xf numFmtId="10" fontId="0" fillId="0" borderId="0" xfId="4" applyNumberFormat="1" applyFont="1"/>
    <xf numFmtId="0" fontId="30" fillId="14" borderId="10" xfId="0" applyFont="1" applyFill="1" applyBorder="1"/>
    <xf numFmtId="167" fontId="30" fillId="14" borderId="10" xfId="0" applyNumberFormat="1" applyFont="1" applyFill="1" applyBorder="1"/>
    <xf numFmtId="0" fontId="30" fillId="10" borderId="10" xfId="0" applyFont="1" applyFill="1" applyBorder="1"/>
    <xf numFmtId="0" fontId="30" fillId="10" borderId="8" xfId="0" applyFont="1" applyFill="1" applyBorder="1"/>
    <xf numFmtId="166" fontId="30" fillId="14" borderId="10" xfId="0" applyNumberFormat="1" applyFont="1" applyFill="1" applyBorder="1" applyAlignment="1">
      <alignment horizontal="right"/>
    </xf>
    <xf numFmtId="167" fontId="30" fillId="14" borderId="10" xfId="0" applyNumberFormat="1" applyFont="1" applyFill="1" applyBorder="1" applyAlignment="1">
      <alignment horizontal="right"/>
    </xf>
    <xf numFmtId="0" fontId="30" fillId="14" borderId="2" xfId="0" applyFont="1" applyFill="1" applyBorder="1"/>
    <xf numFmtId="0" fontId="30" fillId="15" borderId="2" xfId="0" applyFont="1" applyFill="1" applyBorder="1"/>
    <xf numFmtId="0" fontId="30" fillId="15" borderId="10" xfId="0" applyFont="1" applyFill="1" applyBorder="1"/>
    <xf numFmtId="166" fontId="30" fillId="15" borderId="2" xfId="0" applyNumberFormat="1" applyFont="1" applyFill="1" applyBorder="1" applyAlignment="1">
      <alignment horizontal="right"/>
    </xf>
    <xf numFmtId="167" fontId="30" fillId="15" borderId="2" xfId="0" applyNumberFormat="1" applyFont="1" applyFill="1" applyBorder="1" applyAlignment="1">
      <alignment horizontal="right"/>
    </xf>
    <xf numFmtId="167" fontId="30" fillId="15" borderId="2" xfId="0" applyNumberFormat="1" applyFont="1" applyFill="1" applyBorder="1"/>
    <xf numFmtId="0" fontId="30" fillId="15" borderId="10" xfId="0" applyFont="1" applyFill="1" applyBorder="1" applyAlignment="1">
      <alignment wrapText="1"/>
    </xf>
    <xf numFmtId="0" fontId="30" fillId="15" borderId="8" xfId="0" applyFont="1" applyFill="1" applyBorder="1"/>
    <xf numFmtId="166" fontId="30" fillId="15" borderId="8" xfId="0" applyNumberFormat="1" applyFont="1" applyFill="1" applyBorder="1" applyAlignment="1">
      <alignment horizontal="right"/>
    </xf>
    <xf numFmtId="167" fontId="30" fillId="15" borderId="8" xfId="0" applyNumberFormat="1" applyFont="1" applyFill="1" applyBorder="1" applyAlignment="1">
      <alignment horizontal="right"/>
    </xf>
    <xf numFmtId="167" fontId="30" fillId="15" borderId="8" xfId="0" applyNumberFormat="1" applyFont="1" applyFill="1" applyBorder="1"/>
    <xf numFmtId="166" fontId="30" fillId="14" borderId="10" xfId="0" applyNumberFormat="1" applyFont="1" applyFill="1" applyBorder="1"/>
    <xf numFmtId="0" fontId="30" fillId="10" borderId="10" xfId="0" applyFont="1" applyFill="1" applyBorder="1" applyAlignment="1">
      <alignment wrapText="1"/>
    </xf>
    <xf numFmtId="166" fontId="30" fillId="10" borderId="10" xfId="0" applyNumberFormat="1" applyFont="1" applyFill="1" applyBorder="1"/>
    <xf numFmtId="0" fontId="30" fillId="10" borderId="8" xfId="0" applyFont="1" applyFill="1" applyBorder="1" applyAlignment="1">
      <alignment wrapText="1"/>
    </xf>
    <xf numFmtId="166" fontId="30" fillId="10" borderId="8" xfId="0" applyNumberFormat="1" applyFont="1" applyFill="1" applyBorder="1"/>
    <xf numFmtId="166" fontId="30" fillId="15" borderId="10" xfId="0" applyNumberFormat="1" applyFont="1" applyFill="1" applyBorder="1"/>
    <xf numFmtId="0" fontId="30" fillId="15" borderId="8" xfId="0" applyFont="1" applyFill="1" applyBorder="1" applyAlignment="1">
      <alignment wrapText="1"/>
    </xf>
    <xf numFmtId="166" fontId="30" fillId="15" borderId="8" xfId="0" applyNumberFormat="1" applyFont="1" applyFill="1" applyBorder="1"/>
    <xf numFmtId="166" fontId="30" fillId="14" borderId="2" xfId="0" applyNumberFormat="1" applyFont="1" applyFill="1" applyBorder="1"/>
    <xf numFmtId="166" fontId="30" fillId="10" borderId="2" xfId="0" applyNumberFormat="1" applyFont="1" applyFill="1" applyBorder="1"/>
    <xf numFmtId="0" fontId="30" fillId="15" borderId="2" xfId="0" applyFont="1" applyFill="1" applyBorder="1" applyAlignment="1">
      <alignment wrapText="1"/>
    </xf>
    <xf numFmtId="166" fontId="30" fillId="15" borderId="2" xfId="0" applyNumberFormat="1" applyFont="1" applyFill="1" applyBorder="1"/>
    <xf numFmtId="0" fontId="0" fillId="0" borderId="0" xfId="0" applyFill="1" applyBorder="1"/>
    <xf numFmtId="0" fontId="30" fillId="0" borderId="0" xfId="0" applyFont="1" applyFill="1" applyBorder="1" applyAlignment="1">
      <alignment wrapText="1"/>
    </xf>
    <xf numFmtId="168" fontId="30" fillId="0" borderId="0" xfId="0" applyNumberFormat="1" applyFont="1" applyFill="1" applyBorder="1" applyAlignment="1">
      <alignment horizontal="right"/>
    </xf>
    <xf numFmtId="0" fontId="35" fillId="14" borderId="10" xfId="0" applyFont="1" applyFill="1" applyBorder="1"/>
    <xf numFmtId="166" fontId="35" fillId="14" borderId="2" xfId="0" applyNumberFormat="1" applyFont="1" applyFill="1" applyBorder="1" applyAlignment="1">
      <alignment horizontal="right"/>
    </xf>
    <xf numFmtId="167" fontId="35" fillId="14" borderId="2" xfId="0" applyNumberFormat="1" applyFont="1" applyFill="1" applyBorder="1" applyAlignment="1">
      <alignment horizontal="right"/>
    </xf>
    <xf numFmtId="167" fontId="35" fillId="14" borderId="2" xfId="0" applyNumberFormat="1" applyFont="1" applyFill="1" applyBorder="1"/>
    <xf numFmtId="167" fontId="35" fillId="14" borderId="10" xfId="0" applyNumberFormat="1" applyFont="1" applyFill="1" applyBorder="1"/>
    <xf numFmtId="0" fontId="35" fillId="10" borderId="10" xfId="0" applyFont="1" applyFill="1" applyBorder="1"/>
    <xf numFmtId="166" fontId="35" fillId="10" borderId="10" xfId="0" applyNumberFormat="1" applyFont="1" applyFill="1" applyBorder="1" applyAlignment="1">
      <alignment horizontal="right"/>
    </xf>
    <xf numFmtId="167" fontId="35" fillId="10" borderId="10" xfId="0" applyNumberFormat="1" applyFont="1" applyFill="1" applyBorder="1" applyAlignment="1">
      <alignment horizontal="right"/>
    </xf>
    <xf numFmtId="167" fontId="35" fillId="10" borderId="10" xfId="0" applyNumberFormat="1" applyFont="1" applyFill="1" applyBorder="1"/>
    <xf numFmtId="0" fontId="35" fillId="10" borderId="8" xfId="0" applyFont="1" applyFill="1" applyBorder="1"/>
    <xf numFmtId="166" fontId="35" fillId="10" borderId="8" xfId="0" applyNumberFormat="1" applyFont="1" applyFill="1" applyBorder="1" applyAlignment="1">
      <alignment horizontal="right"/>
    </xf>
    <xf numFmtId="167" fontId="35" fillId="10" borderId="8" xfId="0" applyNumberFormat="1" applyFont="1" applyFill="1" applyBorder="1" applyAlignment="1">
      <alignment horizontal="right"/>
    </xf>
    <xf numFmtId="167" fontId="35" fillId="10" borderId="8" xfId="0" applyNumberFormat="1" applyFont="1" applyFill="1" applyBorder="1"/>
    <xf numFmtId="166" fontId="35" fillId="14" borderId="10" xfId="0" applyNumberFormat="1" applyFont="1" applyFill="1" applyBorder="1" applyAlignment="1">
      <alignment horizontal="right"/>
    </xf>
    <xf numFmtId="167" fontId="35" fillId="14" borderId="10" xfId="0" applyNumberFormat="1" applyFont="1" applyFill="1" applyBorder="1" applyAlignment="1">
      <alignment horizontal="right"/>
    </xf>
    <xf numFmtId="0" fontId="34" fillId="12" borderId="11" xfId="0" applyFont="1" applyFill="1" applyBorder="1" applyAlignment="1">
      <alignment horizontal="center"/>
    </xf>
    <xf numFmtId="0" fontId="35" fillId="0" borderId="10" xfId="0" applyFont="1" applyFill="1" applyBorder="1"/>
    <xf numFmtId="166" fontId="35" fillId="0" borderId="10" xfId="0" applyNumberFormat="1" applyFont="1" applyFill="1" applyBorder="1" applyAlignment="1">
      <alignment horizontal="right"/>
    </xf>
    <xf numFmtId="167" fontId="35" fillId="0" borderId="10" xfId="0" applyNumberFormat="1" applyFont="1" applyFill="1" applyBorder="1" applyAlignment="1">
      <alignment horizontal="right"/>
    </xf>
    <xf numFmtId="167" fontId="35" fillId="0" borderId="10" xfId="0" applyNumberFormat="1" applyFont="1" applyFill="1" applyBorder="1"/>
    <xf numFmtId="0" fontId="35" fillId="0" borderId="8" xfId="0" applyFont="1" applyFill="1" applyBorder="1"/>
    <xf numFmtId="0" fontId="35" fillId="14" borderId="2" xfId="0" applyFont="1" applyFill="1" applyBorder="1"/>
    <xf numFmtId="0" fontId="35" fillId="0" borderId="2" xfId="0" applyFont="1" applyFill="1" applyBorder="1"/>
    <xf numFmtId="166" fontId="35" fillId="0" borderId="2" xfId="0" applyNumberFormat="1" applyFont="1" applyFill="1" applyBorder="1" applyAlignment="1">
      <alignment horizontal="right"/>
    </xf>
    <xf numFmtId="167" fontId="35" fillId="0" borderId="2" xfId="0" applyNumberFormat="1" applyFont="1" applyFill="1" applyBorder="1" applyAlignment="1">
      <alignment horizontal="right"/>
    </xf>
    <xf numFmtId="167" fontId="35" fillId="0" borderId="2" xfId="0" applyNumberFormat="1" applyFont="1" applyFill="1" applyBorder="1"/>
    <xf numFmtId="166" fontId="35" fillId="14" borderId="20" xfId="0" applyNumberFormat="1" applyFont="1" applyFill="1" applyBorder="1"/>
    <xf numFmtId="165" fontId="35" fillId="14" borderId="21" xfId="0" applyNumberFormat="1" applyFont="1" applyFill="1" applyBorder="1"/>
    <xf numFmtId="166" fontId="35" fillId="14" borderId="15" xfId="0" applyNumberFormat="1" applyFont="1" applyFill="1" applyBorder="1"/>
    <xf numFmtId="165" fontId="35" fillId="14" borderId="13" xfId="0" applyNumberFormat="1" applyFont="1" applyFill="1" applyBorder="1"/>
    <xf numFmtId="165" fontId="35" fillId="14" borderId="10" xfId="0" applyNumberFormat="1" applyFont="1" applyFill="1" applyBorder="1"/>
    <xf numFmtId="0" fontId="34" fillId="12" borderId="18" xfId="0" applyFont="1" applyFill="1" applyBorder="1" applyAlignment="1">
      <alignment horizontal="center"/>
    </xf>
    <xf numFmtId="0" fontId="34" fillId="12" borderId="19" xfId="0" applyFont="1" applyFill="1" applyBorder="1" applyAlignment="1">
      <alignment horizontal="center"/>
    </xf>
    <xf numFmtId="0" fontId="34" fillId="12" borderId="14" xfId="0" applyFont="1" applyFill="1" applyBorder="1" applyAlignment="1">
      <alignment horizontal="center"/>
    </xf>
    <xf numFmtId="0" fontId="34" fillId="12" borderId="12" xfId="0" applyFont="1" applyFill="1" applyBorder="1" applyAlignment="1">
      <alignment horizontal="center"/>
    </xf>
    <xf numFmtId="166" fontId="35" fillId="0" borderId="20" xfId="0" applyNumberFormat="1" applyFont="1" applyFill="1" applyBorder="1"/>
    <xf numFmtId="165" fontId="35" fillId="0" borderId="21" xfId="0" applyNumberFormat="1" applyFont="1" applyFill="1" applyBorder="1"/>
    <xf numFmtId="166" fontId="35" fillId="0" borderId="15" xfId="0" applyNumberFormat="1" applyFont="1" applyFill="1" applyBorder="1"/>
    <xf numFmtId="165" fontId="35" fillId="0" borderId="13" xfId="0" applyNumberFormat="1" applyFont="1" applyFill="1" applyBorder="1"/>
    <xf numFmtId="165" fontId="35" fillId="0" borderId="10" xfId="0" applyNumberFormat="1" applyFont="1" applyFill="1" applyBorder="1"/>
    <xf numFmtId="166" fontId="35" fillId="14" borderId="2" xfId="0" applyNumberFormat="1" applyFont="1" applyFill="1" applyBorder="1"/>
    <xf numFmtId="0" fontId="34" fillId="12" borderId="11" xfId="0" applyFont="1" applyFill="1" applyBorder="1" applyAlignment="1">
      <alignment horizontal="left"/>
    </xf>
    <xf numFmtId="166" fontId="35" fillId="0" borderId="2" xfId="0" applyNumberFormat="1" applyFont="1" applyFill="1" applyBorder="1"/>
    <xf numFmtId="166" fontId="35" fillId="0" borderId="8" xfId="0" applyNumberFormat="1" applyFont="1" applyFill="1" applyBorder="1"/>
    <xf numFmtId="0" fontId="34" fillId="12" borderId="11" xfId="0" applyFont="1" applyFill="1" applyBorder="1"/>
    <xf numFmtId="0" fontId="35" fillId="0" borderId="10" xfId="0" applyFont="1" applyFill="1" applyBorder="1" applyAlignment="1">
      <alignment wrapText="1"/>
    </xf>
    <xf numFmtId="166" fontId="35" fillId="0" borderId="10" xfId="0" applyNumberFormat="1" applyFont="1" applyFill="1" applyBorder="1"/>
    <xf numFmtId="0" fontId="35" fillId="0" borderId="8" xfId="0" applyFont="1" applyFill="1" applyBorder="1" applyAlignment="1">
      <alignment wrapText="1"/>
    </xf>
    <xf numFmtId="0" fontId="35" fillId="0" borderId="2" xfId="0" applyFont="1" applyFill="1" applyBorder="1" applyAlignment="1">
      <alignment wrapText="1"/>
    </xf>
    <xf numFmtId="0" fontId="34" fillId="12" borderId="11" xfId="0" applyFont="1" applyFill="1" applyBorder="1" applyAlignment="1">
      <alignment vertical="center"/>
    </xf>
    <xf numFmtId="0" fontId="36" fillId="12" borderId="11" xfId="0" applyFont="1" applyFill="1" applyBorder="1" applyAlignment="1">
      <alignment vertical="center"/>
    </xf>
    <xf numFmtId="0" fontId="34" fillId="12" borderId="11" xfId="0" applyFont="1" applyFill="1" applyBorder="1" applyAlignment="1">
      <alignment horizontal="center" vertical="center" wrapText="1"/>
    </xf>
    <xf numFmtId="0" fontId="35" fillId="14" borderId="10" xfId="0" applyFont="1" applyFill="1" applyBorder="1" applyAlignment="1">
      <alignment wrapText="1"/>
    </xf>
    <xf numFmtId="168" fontId="35" fillId="0" borderId="10" xfId="0" applyNumberFormat="1" applyFont="1" applyFill="1" applyBorder="1" applyAlignment="1">
      <alignment horizontal="right"/>
    </xf>
    <xf numFmtId="0" fontId="13" fillId="10" borderId="0" xfId="9" applyFont="1" applyFill="1"/>
    <xf numFmtId="0" fontId="13" fillId="0" borderId="0" xfId="9" applyFont="1"/>
    <xf numFmtId="0" fontId="9" fillId="10" borderId="0" xfId="9" applyFont="1" applyFill="1"/>
    <xf numFmtId="0" fontId="10" fillId="10" borderId="0" xfId="9" applyFont="1" applyFill="1"/>
    <xf numFmtId="1" fontId="13" fillId="10" borderId="0" xfId="9" applyNumberFormat="1" applyFont="1" applyFill="1"/>
    <xf numFmtId="0" fontId="35" fillId="14" borderId="10" xfId="9" applyFont="1" applyFill="1" applyBorder="1"/>
    <xf numFmtId="0" fontId="35" fillId="14" borderId="2" xfId="9" applyFont="1" applyFill="1" applyBorder="1"/>
    <xf numFmtId="0" fontId="35" fillId="10" borderId="8" xfId="9" applyFont="1" applyFill="1" applyBorder="1"/>
    <xf numFmtId="0" fontId="35" fillId="10" borderId="8" xfId="9" applyFont="1" applyFill="1" applyBorder="1" applyAlignment="1">
      <alignment wrapText="1"/>
    </xf>
    <xf numFmtId="167" fontId="35" fillId="10" borderId="8" xfId="9" applyNumberFormat="1" applyFont="1" applyFill="1" applyBorder="1"/>
    <xf numFmtId="0" fontId="13" fillId="15" borderId="0" xfId="9" applyFont="1" applyFill="1"/>
    <xf numFmtId="0" fontId="9" fillId="15" borderId="0" xfId="9" applyFont="1" applyFill="1"/>
    <xf numFmtId="0" fontId="10" fillId="15" borderId="0" xfId="9" applyFont="1" applyFill="1"/>
    <xf numFmtId="1" fontId="13" fillId="15" borderId="0" xfId="9" applyNumberFormat="1" applyFont="1" applyFill="1"/>
    <xf numFmtId="0" fontId="35" fillId="15" borderId="8" xfId="9" applyFont="1" applyFill="1" applyBorder="1"/>
    <xf numFmtId="0" fontId="35" fillId="15" borderId="8" xfId="9" applyFont="1" applyFill="1" applyBorder="1" applyAlignment="1">
      <alignment wrapText="1"/>
    </xf>
    <xf numFmtId="167" fontId="35" fillId="15" borderId="8" xfId="9" applyNumberFormat="1" applyFont="1" applyFill="1" applyBorder="1"/>
    <xf numFmtId="0" fontId="34" fillId="12" borderId="11" xfId="9" applyFont="1" applyFill="1" applyBorder="1"/>
    <xf numFmtId="0" fontId="34" fillId="12" borderId="11" xfId="9" applyFont="1" applyFill="1" applyBorder="1" applyAlignment="1"/>
    <xf numFmtId="0" fontId="35" fillId="0" borderId="10" xfId="9" applyFont="1" applyFill="1" applyBorder="1"/>
    <xf numFmtId="0" fontId="35" fillId="0" borderId="10" xfId="9" applyFont="1" applyFill="1" applyBorder="1" applyAlignment="1">
      <alignment wrapText="1"/>
    </xf>
    <xf numFmtId="0" fontId="35" fillId="0" borderId="8" xfId="9" applyFont="1" applyFill="1" applyBorder="1"/>
    <xf numFmtId="0" fontId="35" fillId="0" borderId="8" xfId="9" applyFont="1" applyFill="1" applyBorder="1" applyAlignment="1">
      <alignment wrapText="1"/>
    </xf>
    <xf numFmtId="169" fontId="35" fillId="14" borderId="2" xfId="9" applyNumberFormat="1" applyFont="1" applyFill="1" applyBorder="1"/>
    <xf numFmtId="169" fontId="35" fillId="0" borderId="2" xfId="9" applyNumberFormat="1" applyFont="1" applyFill="1" applyBorder="1"/>
    <xf numFmtId="169" fontId="35" fillId="0" borderId="10" xfId="9" applyNumberFormat="1" applyFont="1" applyFill="1" applyBorder="1"/>
    <xf numFmtId="169" fontId="35" fillId="0" borderId="8" xfId="9" applyNumberFormat="1" applyFont="1" applyFill="1" applyBorder="1"/>
    <xf numFmtId="169" fontId="35" fillId="14" borderId="10" xfId="9" applyNumberFormat="1" applyFont="1" applyFill="1" applyBorder="1"/>
    <xf numFmtId="0" fontId="28" fillId="14" borderId="0" xfId="0" applyFont="1" applyFill="1" applyAlignment="1">
      <alignment horizontal="center" vertical="top" readingOrder="1"/>
    </xf>
    <xf numFmtId="0" fontId="9" fillId="0" borderId="0" xfId="0" applyFont="1" applyAlignment="1">
      <alignment horizontal="right"/>
    </xf>
    <xf numFmtId="0" fontId="28" fillId="14" borderId="0" xfId="9" applyFont="1" applyFill="1" applyAlignment="1">
      <alignment horizontal="center" vertical="top" readingOrder="1"/>
    </xf>
    <xf numFmtId="0" fontId="0" fillId="16" borderId="0" xfId="0" applyFill="1"/>
    <xf numFmtId="0" fontId="0" fillId="17" borderId="0" xfId="0" applyFill="1"/>
    <xf numFmtId="0" fontId="21" fillId="10" borderId="0" xfId="0" applyFont="1" applyFill="1" applyBorder="1" applyAlignment="1">
      <alignment horizontal="center"/>
    </xf>
    <xf numFmtId="0" fontId="0" fillId="0" borderId="0" xfId="0" applyFill="1"/>
    <xf numFmtId="0" fontId="37" fillId="5" borderId="7" xfId="11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9" fillId="0" borderId="0" xfId="0" applyFont="1" applyFill="1" applyBorder="1"/>
    <xf numFmtId="0" fontId="10" fillId="12" borderId="0" xfId="0" applyFont="1" applyFill="1" applyAlignment="1">
      <alignment horizontal="center"/>
    </xf>
    <xf numFmtId="0" fontId="0" fillId="14" borderId="22" xfId="0" applyFill="1" applyBorder="1"/>
    <xf numFmtId="0" fontId="29" fillId="14" borderId="23" xfId="0" applyFont="1" applyFill="1" applyBorder="1"/>
    <xf numFmtId="0" fontId="26" fillId="14" borderId="23" xfId="0" applyFont="1" applyFill="1" applyBorder="1"/>
    <xf numFmtId="0" fontId="24" fillId="14" borderId="23" xfId="0" applyFont="1" applyFill="1" applyBorder="1"/>
    <xf numFmtId="0" fontId="27" fillId="14" borderId="23" xfId="0" applyFont="1" applyFill="1" applyBorder="1"/>
    <xf numFmtId="0" fontId="24" fillId="14" borderId="23" xfId="0" applyFont="1" applyFill="1" applyBorder="1" applyAlignment="1">
      <alignment horizontal="right"/>
    </xf>
    <xf numFmtId="0" fontId="24" fillId="14" borderId="24" xfId="0" applyFont="1" applyFill="1" applyBorder="1"/>
    <xf numFmtId="0" fontId="24" fillId="14" borderId="0" xfId="0" applyFont="1" applyFill="1" applyBorder="1"/>
    <xf numFmtId="0" fontId="0" fillId="14" borderId="25" xfId="0" applyFill="1" applyBorder="1"/>
    <xf numFmtId="0" fontId="0" fillId="14" borderId="0" xfId="0" applyFill="1" applyBorder="1"/>
    <xf numFmtId="0" fontId="0" fillId="14" borderId="26" xfId="0" applyFill="1" applyBorder="1"/>
    <xf numFmtId="1" fontId="17" fillId="14" borderId="0" xfId="5" applyNumberFormat="1" applyFont="1" applyFill="1" applyBorder="1"/>
    <xf numFmtId="1" fontId="17" fillId="14" borderId="0" xfId="0" applyNumberFormat="1" applyFont="1" applyFill="1" applyBorder="1"/>
    <xf numFmtId="1" fontId="16" fillId="14" borderId="0" xfId="0" applyNumberFormat="1" applyFont="1" applyFill="1" applyBorder="1"/>
    <xf numFmtId="0" fontId="0" fillId="14" borderId="27" xfId="0" applyFill="1" applyBorder="1"/>
    <xf numFmtId="0" fontId="0" fillId="14" borderId="28" xfId="0" applyFill="1" applyBorder="1"/>
    <xf numFmtId="1" fontId="16" fillId="14" borderId="28" xfId="0" applyNumberFormat="1" applyFont="1" applyFill="1" applyBorder="1"/>
    <xf numFmtId="0" fontId="0" fillId="14" borderId="29" xfId="0" applyFill="1" applyBorder="1"/>
    <xf numFmtId="1" fontId="10" fillId="14" borderId="0" xfId="0" applyNumberFormat="1" applyFont="1" applyFill="1" applyBorder="1"/>
    <xf numFmtId="0" fontId="26" fillId="14" borderId="0" xfId="0" applyFont="1" applyFill="1"/>
    <xf numFmtId="0" fontId="24" fillId="14" borderId="0" xfId="0" applyFont="1" applyFill="1"/>
    <xf numFmtId="0" fontId="10" fillId="14" borderId="0" xfId="0" applyFont="1" applyFill="1"/>
    <xf numFmtId="0" fontId="33" fillId="14" borderId="37" xfId="0" applyFont="1" applyFill="1" applyBorder="1" applyAlignment="1">
      <alignment horizontal="right" vertical="center" wrapText="1"/>
    </xf>
    <xf numFmtId="0" fontId="32" fillId="14" borderId="37" xfId="0" applyFont="1" applyFill="1" applyBorder="1" applyAlignment="1">
      <alignment horizontal="left" vertical="center" wrapText="1"/>
    </xf>
    <xf numFmtId="0" fontId="32" fillId="14" borderId="37" xfId="0" applyFont="1" applyFill="1" applyBorder="1" applyAlignment="1">
      <alignment horizontal="right" vertical="center" wrapText="1"/>
    </xf>
    <xf numFmtId="0" fontId="0" fillId="12" borderId="0" xfId="0" applyFill="1" applyBorder="1"/>
    <xf numFmtId="0" fontId="9" fillId="12" borderId="0" xfId="0" applyFont="1" applyFill="1"/>
    <xf numFmtId="0" fontId="26" fillId="12" borderId="0" xfId="0" applyFont="1" applyFill="1"/>
    <xf numFmtId="0" fontId="24" fillId="12" borderId="0" xfId="0" applyFont="1" applyFill="1"/>
    <xf numFmtId="0" fontId="10" fillId="12" borderId="0" xfId="0" applyFont="1" applyFill="1"/>
    <xf numFmtId="0" fontId="0" fillId="12" borderId="42" xfId="0" applyFill="1" applyBorder="1"/>
    <xf numFmtId="0" fontId="0" fillId="12" borderId="34" xfId="0" applyFill="1" applyBorder="1"/>
    <xf numFmtId="0" fontId="0" fillId="12" borderId="35" xfId="0" applyFill="1" applyBorder="1"/>
    <xf numFmtId="9" fontId="0" fillId="12" borderId="0" xfId="4" applyFont="1" applyFill="1" applyBorder="1"/>
    <xf numFmtId="1" fontId="16" fillId="12" borderId="0" xfId="0" applyNumberFormat="1" applyFont="1" applyFill="1" applyBorder="1"/>
    <xf numFmtId="1" fontId="16" fillId="12" borderId="35" xfId="0" applyNumberFormat="1" applyFont="1" applyFill="1" applyBorder="1"/>
    <xf numFmtId="0" fontId="0" fillId="12" borderId="13" xfId="0" applyFill="1" applyBorder="1"/>
    <xf numFmtId="0" fontId="0" fillId="12" borderId="33" xfId="0" applyFill="1" applyBorder="1"/>
    <xf numFmtId="1" fontId="10" fillId="12" borderId="33" xfId="0" applyNumberFormat="1" applyFont="1" applyFill="1" applyBorder="1"/>
    <xf numFmtId="1" fontId="10" fillId="12" borderId="15" xfId="0" applyNumberFormat="1" applyFont="1" applyFill="1" applyBorder="1"/>
    <xf numFmtId="0" fontId="16" fillId="12" borderId="34" xfId="0" applyFont="1" applyFill="1" applyBorder="1"/>
    <xf numFmtId="0" fontId="16" fillId="12" borderId="0" xfId="0" applyFont="1" applyFill="1" applyBorder="1"/>
    <xf numFmtId="9" fontId="0" fillId="12" borderId="34" xfId="4" applyFont="1" applyFill="1" applyBorder="1"/>
    <xf numFmtId="0" fontId="9" fillId="12" borderId="0" xfId="0" applyFont="1" applyFill="1" applyAlignment="1">
      <alignment horizontal="right"/>
    </xf>
    <xf numFmtId="0" fontId="9" fillId="12" borderId="0" xfId="4" applyNumberFormat="1" applyFont="1" applyFill="1"/>
    <xf numFmtId="0" fontId="24" fillId="12" borderId="0" xfId="0" applyFont="1" applyFill="1" applyAlignment="1">
      <alignment horizontal="right"/>
    </xf>
    <xf numFmtId="0" fontId="9" fillId="12" borderId="0" xfId="0" applyFont="1" applyFill="1" applyBorder="1" applyAlignment="1">
      <alignment horizontal="right"/>
    </xf>
    <xf numFmtId="1" fontId="9" fillId="12" borderId="0" xfId="0" applyNumberFormat="1" applyFont="1" applyFill="1" applyBorder="1" applyAlignment="1">
      <alignment horizontal="right"/>
    </xf>
    <xf numFmtId="0" fontId="10" fillId="12" borderId="0" xfId="0" applyFont="1" applyFill="1" applyAlignment="1">
      <alignment horizontal="right"/>
    </xf>
    <xf numFmtId="0" fontId="9" fillId="18" borderId="0" xfId="0" applyFont="1" applyFill="1"/>
    <xf numFmtId="0" fontId="0" fillId="18" borderId="0" xfId="0" applyFill="1"/>
    <xf numFmtId="0" fontId="9" fillId="18" borderId="0" xfId="0" applyFont="1" applyFill="1" applyAlignment="1">
      <alignment horizontal="right"/>
    </xf>
    <xf numFmtId="0" fontId="10" fillId="18" borderId="0" xfId="0" applyFont="1" applyFill="1"/>
    <xf numFmtId="0" fontId="21" fillId="18" borderId="0" xfId="0" applyFont="1" applyFill="1" applyBorder="1" applyAlignment="1">
      <alignment horizontal="center"/>
    </xf>
    <xf numFmtId="1" fontId="9" fillId="18" borderId="0" xfId="0" applyNumberFormat="1" applyFont="1" applyFill="1" applyAlignment="1">
      <alignment horizontal="right"/>
    </xf>
    <xf numFmtId="167" fontId="13" fillId="18" borderId="0" xfId="0" applyNumberFormat="1" applyFont="1" applyFill="1" applyBorder="1"/>
    <xf numFmtId="0" fontId="34" fillId="11" borderId="11" xfId="0" applyFont="1" applyFill="1" applyBorder="1" applyAlignment="1">
      <alignment horizontal="center"/>
    </xf>
    <xf numFmtId="0" fontId="35" fillId="18" borderId="10" xfId="0" applyFont="1" applyFill="1" applyBorder="1"/>
    <xf numFmtId="166" fontId="35" fillId="18" borderId="2" xfId="0" applyNumberFormat="1" applyFont="1" applyFill="1" applyBorder="1" applyAlignment="1">
      <alignment horizontal="right"/>
    </xf>
    <xf numFmtId="167" fontId="35" fillId="18" borderId="10" xfId="0" applyNumberFormat="1" applyFont="1" applyFill="1" applyBorder="1" applyAlignment="1">
      <alignment horizontal="right"/>
    </xf>
    <xf numFmtId="167" fontId="35" fillId="18" borderId="10" xfId="0" applyNumberFormat="1" applyFont="1" applyFill="1" applyBorder="1"/>
    <xf numFmtId="167" fontId="35" fillId="18" borderId="2" xfId="0" applyNumberFormat="1" applyFont="1" applyFill="1" applyBorder="1" applyAlignment="1">
      <alignment horizontal="right"/>
    </xf>
    <xf numFmtId="167" fontId="35" fillId="18" borderId="2" xfId="0" applyNumberFormat="1" applyFont="1" applyFill="1" applyBorder="1"/>
    <xf numFmtId="0" fontId="35" fillId="18" borderId="8" xfId="0" applyFont="1" applyFill="1" applyBorder="1"/>
    <xf numFmtId="166" fontId="35" fillId="18" borderId="8" xfId="0" applyNumberFormat="1" applyFont="1" applyFill="1" applyBorder="1" applyAlignment="1">
      <alignment horizontal="right"/>
    </xf>
    <xf numFmtId="167" fontId="35" fillId="18" borderId="8" xfId="0" applyNumberFormat="1" applyFont="1" applyFill="1" applyBorder="1" applyAlignment="1">
      <alignment horizontal="right"/>
    </xf>
    <xf numFmtId="167" fontId="35" fillId="18" borderId="8" xfId="0" applyNumberFormat="1" applyFont="1" applyFill="1" applyBorder="1"/>
    <xf numFmtId="0" fontId="35" fillId="15" borderId="2" xfId="0" applyFont="1" applyFill="1" applyBorder="1"/>
    <xf numFmtId="0" fontId="35" fillId="15" borderId="10" xfId="0" applyFont="1" applyFill="1" applyBorder="1"/>
    <xf numFmtId="166" fontId="35" fillId="15" borderId="2" xfId="0" applyNumberFormat="1" applyFont="1" applyFill="1" applyBorder="1" applyAlignment="1">
      <alignment horizontal="right"/>
    </xf>
    <xf numFmtId="167" fontId="35" fillId="15" borderId="2" xfId="0" applyNumberFormat="1" applyFont="1" applyFill="1" applyBorder="1" applyAlignment="1">
      <alignment horizontal="right"/>
    </xf>
    <xf numFmtId="167" fontId="35" fillId="15" borderId="2" xfId="0" applyNumberFormat="1" applyFont="1" applyFill="1" applyBorder="1"/>
    <xf numFmtId="0" fontId="35" fillId="15" borderId="8" xfId="0" applyFont="1" applyFill="1" applyBorder="1"/>
    <xf numFmtId="166" fontId="35" fillId="15" borderId="8" xfId="0" applyNumberFormat="1" applyFont="1" applyFill="1" applyBorder="1" applyAlignment="1">
      <alignment horizontal="right"/>
    </xf>
    <xf numFmtId="167" fontId="35" fillId="15" borderId="8" xfId="0" applyNumberFormat="1" applyFont="1" applyFill="1" applyBorder="1" applyAlignment="1">
      <alignment horizontal="right"/>
    </xf>
    <xf numFmtId="167" fontId="35" fillId="15" borderId="8" xfId="0" applyNumberFormat="1" applyFont="1" applyFill="1" applyBorder="1"/>
    <xf numFmtId="1" fontId="9" fillId="0" borderId="0" xfId="12" applyNumberFormat="1" applyFont="1"/>
    <xf numFmtId="1" fontId="10" fillId="0" borderId="0" xfId="12" applyNumberFormat="1" applyFont="1"/>
    <xf numFmtId="1" fontId="9" fillId="0" borderId="0" xfId="12" applyNumberFormat="1" applyFont="1"/>
    <xf numFmtId="1" fontId="10" fillId="0" borderId="0" xfId="12" applyNumberFormat="1" applyFont="1"/>
    <xf numFmtId="0" fontId="38" fillId="0" borderId="0" xfId="0" applyFont="1"/>
    <xf numFmtId="0" fontId="5" fillId="0" borderId="0" xfId="14"/>
    <xf numFmtId="0" fontId="4" fillId="0" borderId="0" xfId="15"/>
    <xf numFmtId="0" fontId="4" fillId="0" borderId="0" xfId="15"/>
    <xf numFmtId="0" fontId="3" fillId="0" borderId="0" xfId="16"/>
    <xf numFmtId="0" fontId="0" fillId="0" borderId="0" xfId="0" applyAlignment="1" applyProtection="1">
      <alignment horizontal="right"/>
      <protection locked="0"/>
    </xf>
    <xf numFmtId="0" fontId="3" fillId="0" borderId="0" xfId="16"/>
    <xf numFmtId="0" fontId="39" fillId="0" borderId="0" xfId="0" applyFont="1" applyAlignment="1" applyProtection="1">
      <alignment horizontal="right"/>
      <protection locked="0"/>
    </xf>
    <xf numFmtId="0" fontId="9" fillId="14" borderId="0" xfId="0" applyFont="1" applyFill="1"/>
    <xf numFmtId="1" fontId="40" fillId="10" borderId="0" xfId="9" applyNumberFormat="1" applyFont="1" applyFill="1"/>
    <xf numFmtId="0" fontId="41" fillId="10" borderId="0" xfId="9" applyFont="1" applyFill="1"/>
    <xf numFmtId="0" fontId="42" fillId="0" borderId="0" xfId="0" applyFont="1" applyAlignment="1">
      <alignment horizontal="right"/>
    </xf>
    <xf numFmtId="0" fontId="42" fillId="0" borderId="0" xfId="0" applyFont="1"/>
    <xf numFmtId="0" fontId="44" fillId="0" borderId="0" xfId="0" applyFont="1"/>
    <xf numFmtId="0" fontId="45" fillId="0" borderId="0" xfId="0" applyFont="1"/>
    <xf numFmtId="0" fontId="43" fillId="0" borderId="0" xfId="0" applyFont="1"/>
    <xf numFmtId="0" fontId="45" fillId="0" borderId="0" xfId="0" applyFont="1" applyAlignment="1">
      <alignment horizontal="right"/>
    </xf>
    <xf numFmtId="0" fontId="42" fillId="0" borderId="0" xfId="0" applyFont="1" applyAlignment="1">
      <alignment horizontal="left"/>
    </xf>
    <xf numFmtId="1" fontId="42" fillId="0" borderId="0" xfId="0" applyNumberFormat="1" applyFont="1"/>
    <xf numFmtId="0" fontId="42" fillId="0" borderId="0" xfId="7" applyFont="1" applyAlignment="1">
      <alignment horizontal="right"/>
    </xf>
    <xf numFmtId="0" fontId="42" fillId="0" borderId="0" xfId="0" applyFont="1" applyBorder="1" applyAlignment="1">
      <alignment horizontal="right"/>
    </xf>
    <xf numFmtId="1" fontId="42" fillId="0" borderId="0" xfId="0" applyNumberFormat="1" applyFont="1" applyAlignment="1">
      <alignment horizontal="right"/>
    </xf>
    <xf numFmtId="1" fontId="42" fillId="0" borderId="0" xfId="0" applyNumberFormat="1" applyFont="1" applyBorder="1" applyAlignment="1">
      <alignment horizontal="right"/>
    </xf>
    <xf numFmtId="0" fontId="44" fillId="0" borderId="3" xfId="0" applyNumberFormat="1" applyFont="1" applyBorder="1" applyAlignment="1">
      <alignment horizontal="center" wrapText="1"/>
    </xf>
    <xf numFmtId="0" fontId="44" fillId="0" borderId="3" xfId="0" quotePrefix="1" applyNumberFormat="1" applyFont="1" applyBorder="1" applyAlignment="1">
      <alignment horizontal="center" wrapText="1"/>
    </xf>
    <xf numFmtId="0" fontId="44" fillId="0" borderId="0" xfId="0" applyFont="1" applyAlignment="1">
      <alignment horizontal="right"/>
    </xf>
    <xf numFmtId="164" fontId="42" fillId="0" borderId="0" xfId="6" applyFont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left"/>
    </xf>
    <xf numFmtId="1" fontId="46" fillId="0" borderId="0" xfId="0" applyNumberFormat="1" applyFont="1"/>
    <xf numFmtId="0" fontId="46" fillId="0" borderId="0" xfId="7" applyFont="1" applyAlignment="1">
      <alignment horizontal="right"/>
    </xf>
    <xf numFmtId="164" fontId="46" fillId="0" borderId="0" xfId="6" applyFont="1" applyAlignment="1">
      <alignment horizontal="center"/>
    </xf>
    <xf numFmtId="0" fontId="42" fillId="0" borderId="0" xfId="0" applyFont="1" applyFill="1" applyAlignment="1">
      <alignment horizontal="right"/>
    </xf>
    <xf numFmtId="0" fontId="42" fillId="14" borderId="0" xfId="0" applyFont="1" applyFill="1" applyAlignment="1">
      <alignment horizontal="right"/>
    </xf>
    <xf numFmtId="164" fontId="46" fillId="14" borderId="0" xfId="6" applyFont="1" applyFill="1" applyAlignment="1">
      <alignment horizontal="center"/>
    </xf>
    <xf numFmtId="1" fontId="46" fillId="14" borderId="0" xfId="0" applyNumberFormat="1" applyFont="1" applyFill="1"/>
    <xf numFmtId="0" fontId="42" fillId="0" borderId="0" xfId="9" applyFont="1"/>
    <xf numFmtId="9" fontId="42" fillId="0" borderId="0" xfId="4" applyFont="1"/>
    <xf numFmtId="0" fontId="42" fillId="0" borderId="0" xfId="9" applyFont="1" applyAlignment="1">
      <alignment horizontal="right"/>
    </xf>
    <xf numFmtId="0" fontId="42" fillId="0" borderId="0" xfId="4" applyNumberFormat="1" applyFont="1"/>
    <xf numFmtId="0" fontId="42" fillId="0" borderId="0" xfId="9" applyFont="1" applyFill="1"/>
    <xf numFmtId="9" fontId="42" fillId="0" borderId="0" xfId="9" applyNumberFormat="1" applyFont="1"/>
    <xf numFmtId="0" fontId="42" fillId="14" borderId="0" xfId="9" applyFont="1" applyFill="1"/>
    <xf numFmtId="0" fontId="42" fillId="14" borderId="0" xfId="9" applyFont="1" applyFill="1" applyAlignment="1">
      <alignment horizontal="center"/>
    </xf>
    <xf numFmtId="0" fontId="42" fillId="14" borderId="0" xfId="9" applyFont="1" applyFill="1" applyAlignment="1">
      <alignment horizontal="right" vertical="center"/>
    </xf>
    <xf numFmtId="0" fontId="49" fillId="12" borderId="0" xfId="0" applyFont="1" applyFill="1"/>
    <xf numFmtId="0" fontId="50" fillId="12" borderId="0" xfId="0" applyFont="1" applyFill="1"/>
    <xf numFmtId="0" fontId="51" fillId="12" borderId="0" xfId="0" applyFont="1" applyFill="1"/>
    <xf numFmtId="0" fontId="48" fillId="12" borderId="0" xfId="0" applyFont="1" applyFill="1"/>
    <xf numFmtId="1" fontId="49" fillId="12" borderId="0" xfId="0" applyNumberFormat="1" applyFont="1" applyFill="1"/>
    <xf numFmtId="0" fontId="49" fillId="12" borderId="0" xfId="7" applyFont="1" applyFill="1" applyAlignment="1">
      <alignment horizontal="right"/>
    </xf>
    <xf numFmtId="164" fontId="49" fillId="12" borderId="0" xfId="6" applyFont="1" applyFill="1" applyAlignment="1">
      <alignment horizontal="center"/>
    </xf>
    <xf numFmtId="0" fontId="49" fillId="0" borderId="0" xfId="0" applyFont="1"/>
    <xf numFmtId="0" fontId="49" fillId="14" borderId="0" xfId="0" applyFont="1" applyFill="1" applyAlignment="1">
      <alignment horizontal="right"/>
    </xf>
    <xf numFmtId="0" fontId="51" fillId="14" borderId="0" xfId="0" applyFont="1" applyFill="1" applyAlignment="1">
      <alignment horizontal="right"/>
    </xf>
    <xf numFmtId="0" fontId="49" fillId="14" borderId="0" xfId="0" applyFont="1" applyFill="1" applyBorder="1" applyAlignment="1">
      <alignment horizontal="right"/>
    </xf>
    <xf numFmtId="1" fontId="49" fillId="14" borderId="0" xfId="0" applyNumberFormat="1" applyFont="1" applyFill="1" applyBorder="1" applyAlignment="1">
      <alignment horizontal="right"/>
    </xf>
    <xf numFmtId="0" fontId="50" fillId="14" borderId="0" xfId="0" applyFont="1" applyFill="1" applyBorder="1" applyAlignment="1">
      <alignment horizontal="right"/>
    </xf>
    <xf numFmtId="0" fontId="50" fillId="14" borderId="0" xfId="0" applyFont="1" applyFill="1" applyAlignment="1">
      <alignment horizontal="right"/>
    </xf>
    <xf numFmtId="0" fontId="49" fillId="12" borderId="0" xfId="0" applyFont="1" applyFill="1" applyAlignment="1">
      <alignment horizontal="right"/>
    </xf>
    <xf numFmtId="9" fontId="49" fillId="12" borderId="0" xfId="4" applyFont="1" applyFill="1"/>
    <xf numFmtId="0" fontId="49" fillId="12" borderId="0" xfId="4" applyNumberFormat="1" applyFont="1" applyFill="1"/>
    <xf numFmtId="0" fontId="42" fillId="0" borderId="0" xfId="0" applyFont="1" applyFill="1" applyBorder="1"/>
    <xf numFmtId="0" fontId="54" fillId="0" borderId="0" xfId="0" applyFont="1" applyFill="1" applyBorder="1" applyAlignment="1">
      <alignment wrapText="1"/>
    </xf>
    <xf numFmtId="0" fontId="49" fillId="12" borderId="0" xfId="0" applyFont="1" applyFill="1" applyAlignment="1">
      <alignment horizontal="right"/>
    </xf>
    <xf numFmtId="0" fontId="42" fillId="0" borderId="0" xfId="0" applyFont="1" applyAlignment="1">
      <alignment horizontal="right"/>
    </xf>
    <xf numFmtId="0" fontId="17" fillId="0" borderId="0" xfId="0" applyFont="1"/>
    <xf numFmtId="0" fontId="56" fillId="19" borderId="45" xfId="8" applyNumberFormat="1" applyFont="1" applyFill="1" applyBorder="1" applyAlignment="1" applyProtection="1">
      <alignment horizontal="right" vertical="center" wrapText="1"/>
    </xf>
    <xf numFmtId="0" fontId="56" fillId="19" borderId="45" xfId="0" applyNumberFormat="1" applyFont="1" applyFill="1" applyBorder="1" applyAlignment="1" applyProtection="1">
      <alignment horizontal="right" vertical="center" wrapText="1"/>
    </xf>
    <xf numFmtId="0" fontId="57" fillId="0" borderId="0" xfId="0" applyFont="1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9" fontId="49" fillId="12" borderId="0" xfId="0" applyNumberFormat="1" applyFont="1" applyFill="1"/>
    <xf numFmtId="0" fontId="55" fillId="12" borderId="0" xfId="0" applyFont="1" applyFill="1"/>
    <xf numFmtId="0" fontId="55" fillId="0" borderId="0" xfId="0" applyFont="1"/>
    <xf numFmtId="9" fontId="35" fillId="0" borderId="10" xfId="4" applyFont="1" applyFill="1" applyBorder="1" applyAlignment="1">
      <alignment horizontal="right"/>
    </xf>
    <xf numFmtId="2" fontId="0" fillId="0" borderId="0" xfId="4" applyNumberFormat="1" applyFont="1"/>
    <xf numFmtId="2" fontId="9" fillId="0" borderId="0" xfId="4" applyNumberFormat="1" applyFont="1"/>
    <xf numFmtId="9" fontId="35" fillId="0" borderId="10" xfId="4" applyNumberFormat="1" applyFont="1" applyFill="1" applyBorder="1" applyAlignment="1">
      <alignment horizontal="right"/>
    </xf>
    <xf numFmtId="170" fontId="9" fillId="0" borderId="0" xfId="4" applyNumberFormat="1" applyFont="1"/>
    <xf numFmtId="168" fontId="0" fillId="0" borderId="0" xfId="6" applyNumberFormat="1" applyFont="1"/>
    <xf numFmtId="168" fontId="0" fillId="0" borderId="0" xfId="0" applyNumberFormat="1"/>
    <xf numFmtId="168" fontId="0" fillId="0" borderId="0" xfId="4" applyNumberFormat="1" applyFont="1"/>
    <xf numFmtId="0" fontId="49" fillId="12" borderId="0" xfId="0" applyFont="1" applyFill="1" applyAlignment="1">
      <alignment horizontal="right"/>
    </xf>
    <xf numFmtId="0" fontId="42" fillId="0" borderId="0" xfId="0" applyFont="1" applyAlignment="1">
      <alignment horizontal="right"/>
    </xf>
    <xf numFmtId="0" fontId="10" fillId="7" borderId="2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5" xfId="9" applyFont="1" applyFill="1" applyBorder="1" applyAlignment="1">
      <alignment horizontal="center"/>
    </xf>
    <xf numFmtId="0" fontId="10" fillId="3" borderId="8" xfId="9" applyFont="1" applyFill="1" applyBorder="1" applyAlignment="1">
      <alignment horizontal="center"/>
    </xf>
    <xf numFmtId="0" fontId="10" fillId="3" borderId="9" xfId="9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12" borderId="43" xfId="0" applyFont="1" applyFill="1" applyBorder="1" applyAlignment="1">
      <alignment horizontal="center"/>
    </xf>
    <xf numFmtId="0" fontId="10" fillId="12" borderId="44" xfId="0" applyFont="1" applyFill="1" applyBorder="1" applyAlignment="1">
      <alignment horizontal="center"/>
    </xf>
    <xf numFmtId="0" fontId="10" fillId="12" borderId="42" xfId="0" applyFont="1" applyFill="1" applyBorder="1" applyAlignment="1">
      <alignment horizontal="center"/>
    </xf>
    <xf numFmtId="0" fontId="31" fillId="14" borderId="38" xfId="0" applyFont="1" applyFill="1" applyBorder="1" applyAlignment="1">
      <alignment horizontal="center" vertical="center" wrapText="1"/>
    </xf>
    <xf numFmtId="0" fontId="31" fillId="14" borderId="39" xfId="0" applyFont="1" applyFill="1" applyBorder="1" applyAlignment="1">
      <alignment horizontal="center" vertical="center" wrapText="1"/>
    </xf>
    <xf numFmtId="0" fontId="33" fillId="14" borderId="40" xfId="0" applyFont="1" applyFill="1" applyBorder="1" applyAlignment="1">
      <alignment horizontal="center" vertical="center" wrapText="1"/>
    </xf>
    <xf numFmtId="0" fontId="33" fillId="14" borderId="41" xfId="0" applyFont="1" applyFill="1" applyBorder="1" applyAlignment="1">
      <alignment horizontal="center" vertical="center" wrapText="1"/>
    </xf>
    <xf numFmtId="0" fontId="10" fillId="12" borderId="0" xfId="0" applyFont="1" applyFill="1" applyAlignment="1">
      <alignment horizontal="center"/>
    </xf>
    <xf numFmtId="0" fontId="28" fillId="14" borderId="0" xfId="0" applyFont="1" applyFill="1" applyAlignment="1">
      <alignment horizontal="center" vertical="top" readingOrder="1"/>
    </xf>
    <xf numFmtId="0" fontId="50" fillId="12" borderId="0" xfId="0" applyFont="1" applyFill="1" applyAlignment="1">
      <alignment horizontal="center"/>
    </xf>
    <xf numFmtId="9" fontId="50" fillId="12" borderId="0" xfId="0" applyNumberFormat="1" applyFont="1" applyFill="1" applyAlignment="1">
      <alignment horizontal="center"/>
    </xf>
    <xf numFmtId="0" fontId="48" fillId="12" borderId="0" xfId="0" applyFont="1" applyFill="1" applyAlignment="1">
      <alignment horizontal="center"/>
    </xf>
    <xf numFmtId="0" fontId="34" fillId="11" borderId="3" xfId="0" applyFont="1" applyFill="1" applyBorder="1" applyAlignment="1">
      <alignment horizontal="left" vertical="center"/>
    </xf>
    <xf numFmtId="0" fontId="34" fillId="11" borderId="30" xfId="0" applyFont="1" applyFill="1" applyBorder="1" applyAlignment="1">
      <alignment horizontal="left" vertical="center"/>
    </xf>
    <xf numFmtId="0" fontId="34" fillId="11" borderId="2" xfId="0" applyFont="1" applyFill="1" applyBorder="1" applyAlignment="1">
      <alignment horizontal="center"/>
    </xf>
    <xf numFmtId="0" fontId="34" fillId="11" borderId="3" xfId="0" applyNumberFormat="1" applyFont="1" applyFill="1" applyBorder="1" applyAlignment="1">
      <alignment horizontal="center" vertical="center"/>
    </xf>
    <xf numFmtId="0" fontId="34" fillId="11" borderId="30" xfId="0" applyNumberFormat="1" applyFont="1" applyFill="1" applyBorder="1" applyAlignment="1">
      <alignment horizontal="center" vertical="center"/>
    </xf>
    <xf numFmtId="0" fontId="34" fillId="11" borderId="3" xfId="0" applyFont="1" applyFill="1" applyBorder="1" applyAlignment="1">
      <alignment horizontal="center" vertical="center"/>
    </xf>
    <xf numFmtId="0" fontId="34" fillId="11" borderId="30" xfId="0" applyFont="1" applyFill="1" applyBorder="1" applyAlignment="1">
      <alignment horizontal="center" vertical="center"/>
    </xf>
    <xf numFmtId="0" fontId="49" fillId="12" borderId="0" xfId="0" applyFont="1" applyFill="1" applyAlignment="1">
      <alignment horizontal="right"/>
    </xf>
    <xf numFmtId="0" fontId="34" fillId="11" borderId="5" xfId="0" applyFont="1" applyFill="1" applyBorder="1" applyAlignment="1">
      <alignment horizontal="center"/>
    </xf>
    <xf numFmtId="0" fontId="34" fillId="11" borderId="9" xfId="0" applyFont="1" applyFill="1" applyBorder="1" applyAlignment="1">
      <alignment horizontal="center"/>
    </xf>
    <xf numFmtId="0" fontId="34" fillId="12" borderId="3" xfId="0" applyFont="1" applyFill="1" applyBorder="1" applyAlignment="1">
      <alignment horizontal="left" vertical="center"/>
    </xf>
    <xf numFmtId="0" fontId="34" fillId="12" borderId="30" xfId="0" applyFont="1" applyFill="1" applyBorder="1" applyAlignment="1">
      <alignment horizontal="left" vertical="center"/>
    </xf>
    <xf numFmtId="0" fontId="34" fillId="12" borderId="31" xfId="0" applyFont="1" applyFill="1" applyBorder="1" applyAlignment="1">
      <alignment horizontal="left" vertical="center"/>
    </xf>
    <xf numFmtId="0" fontId="34" fillId="12" borderId="32" xfId="0" applyFont="1" applyFill="1" applyBorder="1" applyAlignment="1">
      <alignment horizontal="left" vertical="center"/>
    </xf>
    <xf numFmtId="0" fontId="34" fillId="12" borderId="9" xfId="0" applyFont="1" applyFill="1" applyBorder="1" applyAlignment="1">
      <alignment horizontal="center"/>
    </xf>
    <xf numFmtId="0" fontId="34" fillId="12" borderId="5" xfId="0" applyFont="1" applyFill="1" applyBorder="1" applyAlignment="1">
      <alignment horizontal="center"/>
    </xf>
    <xf numFmtId="0" fontId="34" fillId="12" borderId="16" xfId="0" applyFont="1" applyFill="1" applyBorder="1" applyAlignment="1">
      <alignment horizontal="center"/>
    </xf>
    <xf numFmtId="0" fontId="34" fillId="12" borderId="2" xfId="0" applyFont="1" applyFill="1" applyBorder="1" applyAlignment="1">
      <alignment horizontal="center"/>
    </xf>
    <xf numFmtId="0" fontId="34" fillId="12" borderId="17" xfId="0" applyFont="1" applyFill="1" applyBorder="1" applyAlignment="1">
      <alignment horizontal="center"/>
    </xf>
    <xf numFmtId="0" fontId="34" fillId="12" borderId="8" xfId="0" applyFont="1" applyFill="1" applyBorder="1" applyAlignment="1">
      <alignment horizontal="center"/>
    </xf>
    <xf numFmtId="0" fontId="36" fillId="12" borderId="3" xfId="0" applyFont="1" applyFill="1" applyBorder="1" applyAlignment="1">
      <alignment horizontal="center" vertical="center"/>
    </xf>
    <xf numFmtId="0" fontId="36" fillId="12" borderId="30" xfId="0" applyFont="1" applyFill="1" applyBorder="1" applyAlignment="1">
      <alignment horizontal="center" vertical="center"/>
    </xf>
    <xf numFmtId="0" fontId="34" fillId="12" borderId="3" xfId="9" applyFont="1" applyFill="1" applyBorder="1" applyAlignment="1">
      <alignment horizontal="left" vertical="center"/>
    </xf>
    <xf numFmtId="0" fontId="34" fillId="12" borderId="30" xfId="9" applyFont="1" applyFill="1" applyBorder="1" applyAlignment="1">
      <alignment horizontal="left" vertical="center"/>
    </xf>
    <xf numFmtId="0" fontId="34" fillId="12" borderId="5" xfId="9" applyFont="1" applyFill="1" applyBorder="1" applyAlignment="1">
      <alignment horizontal="center"/>
    </xf>
    <xf numFmtId="0" fontId="34" fillId="12" borderId="8" xfId="9" applyFont="1" applyFill="1" applyBorder="1" applyAlignment="1">
      <alignment horizontal="center"/>
    </xf>
    <xf numFmtId="0" fontId="34" fillId="12" borderId="9" xfId="9" applyFont="1" applyFill="1" applyBorder="1" applyAlignment="1">
      <alignment horizontal="center"/>
    </xf>
    <xf numFmtId="0" fontId="36" fillId="12" borderId="3" xfId="9" applyFont="1" applyFill="1" applyBorder="1" applyAlignment="1">
      <alignment horizontal="center" vertical="center"/>
    </xf>
    <xf numFmtId="0" fontId="36" fillId="12" borderId="30" xfId="9" applyFont="1" applyFill="1" applyBorder="1" applyAlignment="1">
      <alignment horizontal="center" vertical="center"/>
    </xf>
    <xf numFmtId="0" fontId="45" fillId="14" borderId="0" xfId="9" applyFont="1" applyFill="1" applyAlignment="1">
      <alignment horizontal="center" vertical="top" readingOrder="1"/>
    </xf>
    <xf numFmtId="0" fontId="44" fillId="0" borderId="0" xfId="9" applyFont="1" applyAlignment="1">
      <alignment horizontal="center"/>
    </xf>
    <xf numFmtId="0" fontId="28" fillId="14" borderId="0" xfId="9" applyFont="1" applyFill="1" applyAlignment="1">
      <alignment horizontal="center" vertical="top" readingOrder="1"/>
    </xf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right"/>
    </xf>
    <xf numFmtId="0" fontId="34" fillId="12" borderId="2" xfId="0" applyFont="1" applyFill="1" applyBorder="1" applyAlignment="1">
      <alignment horizontal="left" vertical="center"/>
    </xf>
    <xf numFmtId="0" fontId="34" fillId="12" borderId="11" xfId="0" applyFont="1" applyFill="1" applyBorder="1" applyAlignment="1">
      <alignment horizontal="left" vertical="center"/>
    </xf>
    <xf numFmtId="0" fontId="34" fillId="12" borderId="2" xfId="0" applyNumberFormat="1" applyFont="1" applyFill="1" applyBorder="1" applyAlignment="1">
      <alignment horizontal="center" vertical="center"/>
    </xf>
    <xf numFmtId="0" fontId="34" fillId="12" borderId="11" xfId="0" applyNumberFormat="1" applyFont="1" applyFill="1" applyBorder="1" applyAlignment="1">
      <alignment horizontal="center" vertical="center"/>
    </xf>
    <xf numFmtId="0" fontId="34" fillId="12" borderId="2" xfId="0" applyFont="1" applyFill="1" applyBorder="1" applyAlignment="1">
      <alignment horizontal="center" vertical="center"/>
    </xf>
    <xf numFmtId="0" fontId="34" fillId="12" borderId="11" xfId="0" applyFont="1" applyFill="1" applyBorder="1" applyAlignment="1">
      <alignment horizontal="center" vertical="center"/>
    </xf>
    <xf numFmtId="0" fontId="34" fillId="12" borderId="3" xfId="0" applyNumberFormat="1" applyFont="1" applyFill="1" applyBorder="1" applyAlignment="1">
      <alignment horizontal="center" vertical="center"/>
    </xf>
    <xf numFmtId="0" fontId="34" fillId="12" borderId="30" xfId="0" applyNumberFormat="1" applyFont="1" applyFill="1" applyBorder="1" applyAlignment="1">
      <alignment horizontal="center" vertical="center"/>
    </xf>
    <xf numFmtId="0" fontId="34" fillId="12" borderId="3" xfId="0" applyFont="1" applyFill="1" applyBorder="1" applyAlignment="1">
      <alignment horizontal="center" vertical="center"/>
    </xf>
    <xf numFmtId="0" fontId="34" fillId="12" borderId="30" xfId="0" applyFont="1" applyFill="1" applyBorder="1" applyAlignment="1">
      <alignment horizontal="center" vertical="center"/>
    </xf>
    <xf numFmtId="0" fontId="58" fillId="18" borderId="0" xfId="0" applyFont="1" applyFill="1" applyAlignment="1">
      <alignment horizontal="center"/>
    </xf>
    <xf numFmtId="0" fontId="58" fillId="18" borderId="0" xfId="0" applyFont="1" applyFill="1"/>
    <xf numFmtId="0" fontId="59" fillId="18" borderId="0" xfId="0" applyFont="1" applyFill="1"/>
    <xf numFmtId="0" fontId="59" fillId="18" borderId="0" xfId="0" applyFont="1" applyFill="1" applyAlignment="1">
      <alignment horizontal="left"/>
    </xf>
    <xf numFmtId="0" fontId="60" fillId="18" borderId="0" xfId="0" applyFont="1" applyFill="1"/>
    <xf numFmtId="0" fontId="61" fillId="10" borderId="0" xfId="0" applyFont="1" applyFill="1" applyAlignment="1">
      <alignment horizontal="center"/>
    </xf>
    <xf numFmtId="0" fontId="61" fillId="10" borderId="0" xfId="0" applyFont="1" applyFill="1"/>
    <xf numFmtId="0" fontId="62" fillId="10" borderId="0" xfId="0" applyFont="1" applyFill="1"/>
    <xf numFmtId="0" fontId="62" fillId="10" borderId="0" xfId="0" applyFont="1" applyFill="1" applyAlignment="1">
      <alignment horizontal="left"/>
    </xf>
    <xf numFmtId="0" fontId="41" fillId="10" borderId="0" xfId="0" applyFont="1" applyFill="1"/>
    <xf numFmtId="0" fontId="45" fillId="14" borderId="0" xfId="0" applyFont="1" applyFill="1" applyAlignment="1">
      <alignment horizontal="right"/>
    </xf>
    <xf numFmtId="0" fontId="42" fillId="14" borderId="0" xfId="0" applyFont="1" applyFill="1" applyBorder="1" applyAlignment="1">
      <alignment horizontal="right"/>
    </xf>
    <xf numFmtId="1" fontId="42" fillId="14" borderId="0" xfId="0" applyNumberFormat="1" applyFont="1" applyFill="1" applyBorder="1" applyAlignment="1">
      <alignment horizontal="right"/>
    </xf>
    <xf numFmtId="0" fontId="44" fillId="14" borderId="0" xfId="0" applyFont="1" applyFill="1" applyBorder="1" applyAlignment="1">
      <alignment horizontal="right"/>
    </xf>
    <xf numFmtId="0" fontId="44" fillId="14" borderId="0" xfId="0" applyFont="1" applyFill="1" applyAlignment="1">
      <alignment horizontal="right"/>
    </xf>
    <xf numFmtId="0" fontId="49" fillId="12" borderId="0" xfId="0" applyFont="1" applyFill="1" applyBorder="1" applyAlignment="1">
      <alignment horizontal="left"/>
    </xf>
    <xf numFmtId="1" fontId="49" fillId="12" borderId="0" xfId="0" applyNumberFormat="1" applyFont="1" applyFill="1" applyBorder="1"/>
    <xf numFmtId="0" fontId="49" fillId="12" borderId="0" xfId="7" applyFont="1" applyFill="1" applyBorder="1" applyAlignment="1">
      <alignment horizontal="right"/>
    </xf>
    <xf numFmtId="0" fontId="49" fillId="12" borderId="0" xfId="0" applyFont="1" applyFill="1" applyBorder="1"/>
    <xf numFmtId="0" fontId="0" fillId="0" borderId="0" xfId="0" applyBorder="1"/>
    <xf numFmtId="1" fontId="49" fillId="12" borderId="0" xfId="0" applyNumberFormat="1" applyFont="1" applyFill="1" applyBorder="1" applyAlignment="1">
      <alignment horizontal="right"/>
    </xf>
    <xf numFmtId="0" fontId="50" fillId="12" borderId="0" xfId="0" applyFont="1" applyFill="1" applyBorder="1"/>
    <xf numFmtId="0" fontId="50" fillId="12" borderId="0" xfId="0" applyNumberFormat="1" applyFont="1" applyFill="1" applyBorder="1" applyAlignment="1">
      <alignment horizontal="center" wrapText="1"/>
    </xf>
    <xf numFmtId="0" fontId="50" fillId="12" borderId="0" xfId="0" quotePrefix="1" applyNumberFormat="1" applyFont="1" applyFill="1" applyBorder="1" applyAlignment="1">
      <alignment horizontal="center" wrapText="1"/>
    </xf>
    <xf numFmtId="164" fontId="49" fillId="12" borderId="0" xfId="6" applyFont="1" applyFill="1" applyBorder="1" applyAlignment="1">
      <alignment horizontal="center"/>
    </xf>
    <xf numFmtId="0" fontId="63" fillId="15" borderId="0" xfId="0" applyFont="1" applyFill="1" applyAlignment="1">
      <alignment horizontal="center"/>
    </xf>
    <xf numFmtId="0" fontId="63" fillId="15" borderId="0" xfId="0" applyFont="1" applyFill="1"/>
    <xf numFmtId="0" fontId="64" fillId="15" borderId="0" xfId="0" applyFont="1" applyFill="1"/>
    <xf numFmtId="0" fontId="64" fillId="15" borderId="0" xfId="0" applyFont="1" applyFill="1" applyAlignment="1">
      <alignment horizontal="right"/>
    </xf>
    <xf numFmtId="0" fontId="65" fillId="15" borderId="0" xfId="0" applyFont="1" applyFill="1"/>
    <xf numFmtId="0" fontId="40" fillId="10" borderId="0" xfId="0" applyFont="1" applyFill="1"/>
    <xf numFmtId="0" fontId="66" fillId="15" borderId="0" xfId="0" applyFont="1" applyFill="1"/>
    <xf numFmtId="0" fontId="41" fillId="10" borderId="0" xfId="0" applyFont="1" applyFill="1" applyAlignment="1">
      <alignment horizontal="center"/>
    </xf>
    <xf numFmtId="0" fontId="63" fillId="15" borderId="0" xfId="0" applyFont="1" applyFill="1" applyAlignment="1">
      <alignment horizontal="center"/>
    </xf>
    <xf numFmtId="0" fontId="65" fillId="15" borderId="0" xfId="0" applyFont="1" applyFill="1" applyAlignment="1">
      <alignment horizontal="center"/>
    </xf>
    <xf numFmtId="0" fontId="61" fillId="10" borderId="0" xfId="9" applyFont="1" applyFill="1"/>
    <xf numFmtId="0" fontId="40" fillId="10" borderId="0" xfId="9" applyFont="1" applyFill="1"/>
    <xf numFmtId="0" fontId="62" fillId="10" borderId="0" xfId="9" applyFont="1" applyFill="1"/>
    <xf numFmtId="0" fontId="63" fillId="15" borderId="0" xfId="9" applyFont="1" applyFill="1"/>
    <xf numFmtId="0" fontId="66" fillId="15" borderId="0" xfId="9" applyFont="1" applyFill="1"/>
    <xf numFmtId="0" fontId="64" fillId="15" borderId="0" xfId="9" applyFont="1" applyFill="1"/>
    <xf numFmtId="0" fontId="65" fillId="15" borderId="0" xfId="9" applyFont="1" applyFill="1"/>
    <xf numFmtId="1" fontId="66" fillId="15" borderId="0" xfId="9" applyNumberFormat="1" applyFont="1" applyFill="1"/>
    <xf numFmtId="0" fontId="45" fillId="0" borderId="0" xfId="9" applyFont="1"/>
    <xf numFmtId="0" fontId="44" fillId="0" borderId="0" xfId="9" applyFont="1"/>
    <xf numFmtId="0" fontId="45" fillId="0" borderId="0" xfId="9" applyFont="1" applyFill="1"/>
    <xf numFmtId="0" fontId="9" fillId="0" borderId="0" xfId="9" applyFont="1" applyFill="1"/>
    <xf numFmtId="9" fontId="9" fillId="0" borderId="0" xfId="4" applyFont="1"/>
    <xf numFmtId="0" fontId="9" fillId="14" borderId="0" xfId="9" applyFont="1" applyFill="1"/>
    <xf numFmtId="0" fontId="10" fillId="0" borderId="0" xfId="9" applyFont="1" applyAlignment="1">
      <alignment horizontal="center"/>
    </xf>
    <xf numFmtId="0" fontId="48" fillId="12" borderId="0" xfId="0" applyFont="1" applyFill="1" applyBorder="1" applyAlignment="1">
      <alignment horizontal="center"/>
    </xf>
    <xf numFmtId="0" fontId="49" fillId="12" borderId="0" xfId="0" applyFont="1" applyFill="1" applyBorder="1" applyAlignment="1">
      <alignment horizontal="center"/>
    </xf>
    <xf numFmtId="0" fontId="51" fillId="12" borderId="0" xfId="0" applyFont="1" applyFill="1" applyBorder="1"/>
    <xf numFmtId="0" fontId="52" fillId="12" borderId="0" xfId="0" applyFont="1" applyFill="1" applyBorder="1"/>
    <xf numFmtId="0" fontId="52" fillId="12" borderId="0" xfId="0" applyFont="1" applyFill="1" applyBorder="1" applyAlignment="1">
      <alignment horizontal="left"/>
    </xf>
    <xf numFmtId="1" fontId="52" fillId="12" borderId="0" xfId="0" applyNumberFormat="1" applyFont="1" applyFill="1" applyBorder="1"/>
    <xf numFmtId="0" fontId="52" fillId="12" borderId="0" xfId="7" applyFont="1" applyFill="1" applyBorder="1" applyAlignment="1">
      <alignment horizontal="right"/>
    </xf>
    <xf numFmtId="1" fontId="52" fillId="12" borderId="0" xfId="0" applyNumberFormat="1" applyFont="1" applyFill="1" applyBorder="1" applyAlignment="1">
      <alignment horizontal="right"/>
    </xf>
    <xf numFmtId="0" fontId="53" fillId="12" borderId="0" xfId="0" applyFont="1" applyFill="1" applyBorder="1"/>
    <xf numFmtId="0" fontId="53" fillId="12" borderId="0" xfId="0" applyNumberFormat="1" applyFont="1" applyFill="1" applyBorder="1" applyAlignment="1">
      <alignment horizontal="center" wrapText="1"/>
    </xf>
    <xf numFmtId="0" fontId="53" fillId="12" borderId="0" xfId="0" quotePrefix="1" applyNumberFormat="1" applyFont="1" applyFill="1" applyBorder="1" applyAlignment="1">
      <alignment horizontal="center" wrapText="1"/>
    </xf>
    <xf numFmtId="0" fontId="53" fillId="12" borderId="0" xfId="0" applyFont="1" applyFill="1" applyBorder="1" applyAlignment="1">
      <alignment horizontal="center" wrapText="1"/>
    </xf>
    <xf numFmtId="0" fontId="53" fillId="12" borderId="0" xfId="0" quotePrefix="1" applyFont="1" applyFill="1" applyBorder="1" applyAlignment="1">
      <alignment horizontal="center" wrapText="1"/>
    </xf>
    <xf numFmtId="164" fontId="52" fillId="12" borderId="0" xfId="6" applyFont="1" applyFill="1" applyBorder="1" applyAlignment="1">
      <alignment horizontal="center"/>
    </xf>
    <xf numFmtId="0" fontId="49" fillId="12" borderId="0" xfId="0" applyFont="1" applyFill="1" applyBorder="1" applyAlignment="1">
      <alignment horizontal="right"/>
    </xf>
    <xf numFmtId="0" fontId="43" fillId="14" borderId="0" xfId="0" applyFont="1" applyFill="1" applyBorder="1" applyAlignment="1">
      <alignment horizontal="center"/>
    </xf>
    <xf numFmtId="0" fontId="42" fillId="14" borderId="0" xfId="0" applyFont="1" applyFill="1" applyBorder="1"/>
    <xf numFmtId="0" fontId="42" fillId="0" borderId="0" xfId="0" applyFont="1" applyBorder="1"/>
    <xf numFmtId="0" fontId="44" fillId="14" borderId="0" xfId="0" applyFont="1" applyFill="1" applyBorder="1"/>
    <xf numFmtId="0" fontId="42" fillId="14" borderId="0" xfId="0" applyFont="1" applyFill="1" applyBorder="1" applyAlignment="1"/>
    <xf numFmtId="0" fontId="45" fillId="14" borderId="0" xfId="0" applyFont="1" applyFill="1" applyBorder="1"/>
    <xf numFmtId="0" fontId="42" fillId="14" borderId="0" xfId="0" applyFont="1" applyFill="1" applyBorder="1" applyAlignment="1">
      <alignment horizontal="left"/>
    </xf>
    <xf numFmtId="1" fontId="42" fillId="14" borderId="0" xfId="0" applyNumberFormat="1" applyFont="1" applyFill="1" applyBorder="1"/>
    <xf numFmtId="0" fontId="42" fillId="14" borderId="0" xfId="7" applyFont="1" applyFill="1" applyBorder="1" applyAlignment="1">
      <alignment horizontal="right"/>
    </xf>
    <xf numFmtId="0" fontId="44" fillId="14" borderId="0" xfId="0" applyNumberFormat="1" applyFont="1" applyFill="1" applyBorder="1" applyAlignment="1">
      <alignment horizontal="center" wrapText="1"/>
    </xf>
    <xf numFmtId="0" fontId="44" fillId="14" borderId="0" xfId="0" quotePrefix="1" applyNumberFormat="1" applyFont="1" applyFill="1" applyBorder="1" applyAlignment="1">
      <alignment horizontal="center" wrapText="1"/>
    </xf>
    <xf numFmtId="0" fontId="44" fillId="14" borderId="0" xfId="0" applyFont="1" applyFill="1" applyBorder="1" applyAlignment="1">
      <alignment horizontal="center" wrapText="1"/>
    </xf>
    <xf numFmtId="0" fontId="44" fillId="14" borderId="0" xfId="0" quotePrefix="1" applyFont="1" applyFill="1" applyBorder="1" applyAlignment="1">
      <alignment horizontal="center" wrapText="1"/>
    </xf>
    <xf numFmtId="164" fontId="42" fillId="14" borderId="0" xfId="6" applyFont="1" applyFill="1" applyBorder="1" applyAlignment="1">
      <alignment horizontal="center"/>
    </xf>
    <xf numFmtId="1" fontId="46" fillId="0" borderId="0" xfId="0" applyNumberFormat="1" applyFont="1" applyBorder="1"/>
    <xf numFmtId="0" fontId="46" fillId="0" borderId="0" xfId="7" applyFont="1" applyBorder="1" applyAlignment="1">
      <alignment horizontal="right"/>
    </xf>
    <xf numFmtId="0" fontId="46" fillId="0" borderId="0" xfId="0" applyFont="1" applyBorder="1" applyAlignment="1">
      <alignment horizontal="left"/>
    </xf>
    <xf numFmtId="0" fontId="46" fillId="0" borderId="0" xfId="0" applyFont="1" applyBorder="1"/>
    <xf numFmtId="1" fontId="46" fillId="0" borderId="0" xfId="0" applyNumberFormat="1" applyFont="1" applyBorder="1" applyAlignment="1">
      <alignment horizontal="right"/>
    </xf>
    <xf numFmtId="0" fontId="47" fillId="0" borderId="0" xfId="0" applyFont="1" applyBorder="1"/>
    <xf numFmtId="0" fontId="47" fillId="0" borderId="0" xfId="0" applyNumberFormat="1" applyFont="1" applyBorder="1" applyAlignment="1">
      <alignment horizontal="center" wrapText="1"/>
    </xf>
    <xf numFmtId="0" fontId="47" fillId="0" borderId="0" xfId="0" quotePrefix="1" applyNumberFormat="1" applyFont="1" applyBorder="1" applyAlignment="1">
      <alignment horizontal="center" wrapText="1"/>
    </xf>
    <xf numFmtId="164" fontId="46" fillId="0" borderId="0" xfId="6" applyFont="1" applyBorder="1" applyAlignment="1">
      <alignment horizontal="center"/>
    </xf>
    <xf numFmtId="0" fontId="35" fillId="20" borderId="2" xfId="0" applyFont="1" applyFill="1" applyBorder="1"/>
    <xf numFmtId="0" fontId="35" fillId="20" borderId="10" xfId="0" applyFont="1" applyFill="1" applyBorder="1"/>
    <xf numFmtId="166" fontId="35" fillId="20" borderId="10" xfId="0" applyNumberFormat="1" applyFont="1" applyFill="1" applyBorder="1" applyAlignment="1">
      <alignment horizontal="right"/>
    </xf>
    <xf numFmtId="167" fontId="35" fillId="20" borderId="2" xfId="0" applyNumberFormat="1" applyFont="1" applyFill="1" applyBorder="1" applyAlignment="1">
      <alignment horizontal="right"/>
    </xf>
    <xf numFmtId="167" fontId="35" fillId="20" borderId="2" xfId="0" applyNumberFormat="1" applyFont="1" applyFill="1" applyBorder="1"/>
    <xf numFmtId="167" fontId="35" fillId="20" borderId="10" xfId="0" applyNumberFormat="1" applyFont="1" applyFill="1" applyBorder="1"/>
    <xf numFmtId="0" fontId="67" fillId="10" borderId="0" xfId="0" applyFont="1" applyFill="1"/>
    <xf numFmtId="0" fontId="68" fillId="10" borderId="0" xfId="0" applyFont="1" applyFill="1"/>
    <xf numFmtId="0" fontId="69" fillId="10" borderId="0" xfId="0" applyFont="1" applyFill="1"/>
    <xf numFmtId="0" fontId="70" fillId="10" borderId="0" xfId="0" applyFont="1" applyFill="1"/>
    <xf numFmtId="0" fontId="67" fillId="10" borderId="0" xfId="9" applyFont="1" applyFill="1"/>
    <xf numFmtId="0" fontId="68" fillId="10" borderId="0" xfId="9" applyFont="1" applyFill="1"/>
    <xf numFmtId="0" fontId="70" fillId="10" borderId="0" xfId="9" applyFont="1" applyFill="1"/>
    <xf numFmtId="1" fontId="68" fillId="10" borderId="0" xfId="9" applyNumberFormat="1" applyFont="1" applyFill="1"/>
    <xf numFmtId="0" fontId="69" fillId="10" borderId="0" xfId="9" applyFont="1" applyFill="1"/>
    <xf numFmtId="0" fontId="10" fillId="15" borderId="33" xfId="9" applyFont="1" applyFill="1" applyBorder="1" applyAlignment="1">
      <alignment horizontal="center"/>
    </xf>
    <xf numFmtId="0" fontId="67" fillId="10" borderId="0" xfId="0" applyFont="1" applyFill="1" applyAlignment="1"/>
    <xf numFmtId="0" fontId="9" fillId="0" borderId="0" xfId="0" applyFont="1" applyFill="1"/>
    <xf numFmtId="0" fontId="63" fillId="15" borderId="0" xfId="0" applyFont="1" applyFill="1" applyAlignment="1"/>
  </cellXfs>
  <cellStyles count="19">
    <cellStyle name="Comma" xfId="6" builtinId="3"/>
    <cellStyle name="Normal" xfId="0" builtinId="0"/>
    <cellStyle name="Normal 10" xfId="17"/>
    <cellStyle name="Normal 11" xfId="18"/>
    <cellStyle name="Normal 2" xfId="8"/>
    <cellStyle name="Normal 3" xfId="9"/>
    <cellStyle name="Normal 4" xfId="10"/>
    <cellStyle name="Normal 5" xfId="12"/>
    <cellStyle name="Normal 6" xfId="13"/>
    <cellStyle name="Normal 7" xfId="14"/>
    <cellStyle name="Normal 8" xfId="15"/>
    <cellStyle name="Normal 9" xfId="16"/>
    <cellStyle name="Normal_Data" xfId="1"/>
    <cellStyle name="Normal_Data_2" xfId="11"/>
    <cellStyle name="Normal_LOK" xfId="2"/>
    <cellStyle name="Normal_LOK-Data" xfId="3"/>
    <cellStyle name="Normal_Lt7801pop" xfId="5"/>
    <cellStyle name="Normal_mot_ASR" xfId="7"/>
    <cellStyle name="Percent" xfId="4" builtinId="5"/>
  </cellStyles>
  <dxfs count="0"/>
  <tableStyles count="0" defaultTableStyle="TableStyleMedium2" defaultPivotStyle="PivotStyleLight16"/>
  <colors>
    <mruColors>
      <color rgb="FFFFCCCC"/>
      <color rgb="FFCCECFF"/>
      <color rgb="FF020232"/>
      <color rgb="FF99CCFF"/>
      <color rgb="FFF2DCDB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800"/>
            </a:pPr>
            <a:r>
              <a:rPr lang="lt-LT" sz="800" b="0">
                <a:solidFill>
                  <a:schemeClr val="accent1"/>
                </a:solidFill>
              </a:rPr>
              <a:t>1978</a:t>
            </a:r>
            <a:br>
              <a:rPr lang="lt-LT" sz="800" b="0">
                <a:solidFill>
                  <a:schemeClr val="accent1"/>
                </a:solidFill>
              </a:rPr>
            </a:br>
            <a:r>
              <a:rPr lang="en-US" sz="800" b="0">
                <a:solidFill>
                  <a:schemeClr val="accent1"/>
                </a:solidFill>
              </a:rPr>
              <a:t>Vyrai    </a:t>
            </a:r>
            <a:r>
              <a:rPr lang="en-US" sz="800" b="0"/>
              <a:t>                                                                  </a:t>
            </a:r>
            <a:r>
              <a:rPr lang="en-US" sz="800" b="0" baseline="0"/>
              <a:t> </a:t>
            </a:r>
            <a:r>
              <a:rPr lang="en-US" sz="800" b="0"/>
              <a:t>                    </a:t>
            </a:r>
            <a:r>
              <a:rPr lang="en-US" sz="800" b="0">
                <a:solidFill>
                  <a:schemeClr val="accent2"/>
                </a:solidFill>
              </a:rPr>
              <a:t>Moterys</a:t>
            </a:r>
            <a:endParaRPr lang="lt-LT" sz="800" b="0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0.1300569823138305"/>
          <c:y val="2.15053763440860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09951881014874"/>
          <c:y val="0.12502525252525254"/>
          <c:w val="0.85922003499562549"/>
          <c:h val="0.782142929292929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'Kiti grafikai'!$X$4</c:f>
              <c:strCache>
                <c:ptCount val="1"/>
                <c:pt idx="0">
                  <c:v>Vyrai</c:v>
                </c:pt>
              </c:strCache>
            </c:strRef>
          </c:tx>
          <c:spPr>
            <a:ln>
              <a:solidFill>
                <a:schemeClr val="tx1">
                  <a:alpha val="70000"/>
                </a:schemeClr>
              </a:solidFill>
            </a:ln>
          </c:spPr>
          <c:invertIfNegative val="0"/>
          <c:cat>
            <c:strRef>
              <c:f>'Kiti grafikai'!$W$5:$W$22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'Kiti grafikai'!$X$5:$X$22</c:f>
              <c:numCache>
                <c:formatCode>0%</c:formatCode>
                <c:ptCount val="18"/>
                <c:pt idx="0">
                  <c:v>-8.2632851090317663E-2</c:v>
                </c:pt>
                <c:pt idx="1">
                  <c:v>-8.7398598449861448E-2</c:v>
                </c:pt>
                <c:pt idx="2">
                  <c:v>-8.7034657242681016E-2</c:v>
                </c:pt>
                <c:pt idx="3">
                  <c:v>-9.7385019677924581E-2</c:v>
                </c:pt>
                <c:pt idx="4">
                  <c:v>-8.4350904582145295E-2</c:v>
                </c:pt>
                <c:pt idx="5">
                  <c:v>-7.6778417533432397E-2</c:v>
                </c:pt>
                <c:pt idx="6">
                  <c:v>-6.6259889161077862E-2</c:v>
                </c:pt>
                <c:pt idx="7">
                  <c:v>-7.2633880165455203E-2</c:v>
                </c:pt>
                <c:pt idx="8">
                  <c:v>-6.9465709208465523E-2</c:v>
                </c:pt>
                <c:pt idx="9">
                  <c:v>-6.7709379141399947E-2</c:v>
                </c:pt>
                <c:pt idx="10">
                  <c:v>-5.2772102526002972E-2</c:v>
                </c:pt>
                <c:pt idx="11">
                  <c:v>-3.8180570057427414E-2</c:v>
                </c:pt>
                <c:pt idx="12">
                  <c:v>-2.6195609614071726E-2</c:v>
                </c:pt>
                <c:pt idx="13">
                  <c:v>-2.9547633629171521E-2</c:v>
                </c:pt>
                <c:pt idx="14">
                  <c:v>-3.1029125336331873E-2</c:v>
                </c:pt>
                <c:pt idx="15">
                  <c:v>-1.6705528894421912E-2</c:v>
                </c:pt>
                <c:pt idx="16">
                  <c:v>-8.6065820649773098E-3</c:v>
                </c:pt>
                <c:pt idx="17">
                  <c:v>-5.3135416248343437E-3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4-483F-BC6D-423232D095B6}"/>
            </c:ext>
          </c:extLst>
        </c:ser>
        <c:ser>
          <c:idx val="1"/>
          <c:order val="1"/>
          <c:tx>
            <c:strRef>
              <c:f>'Kiti grafikai'!$Y$4</c:f>
              <c:strCache>
                <c:ptCount val="1"/>
                <c:pt idx="0">
                  <c:v>Moterys</c:v>
                </c:pt>
              </c:strCache>
            </c:strRef>
          </c:tx>
          <c:spPr>
            <a:ln>
              <a:solidFill>
                <a:schemeClr val="tx1">
                  <a:alpha val="70000"/>
                </a:schemeClr>
              </a:solidFill>
            </a:ln>
          </c:spPr>
          <c:invertIfNegative val="0"/>
          <c:cat>
            <c:strRef>
              <c:f>'Kiti grafikai'!$W$5:$W$22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'Kiti grafikai'!$Y$5:$Y$22</c:f>
              <c:numCache>
                <c:formatCode>0%</c:formatCode>
                <c:ptCount val="18"/>
                <c:pt idx="0">
                  <c:v>7.1721005088609679E-2</c:v>
                </c:pt>
                <c:pt idx="1">
                  <c:v>7.5527802557240564E-2</c:v>
                </c:pt>
                <c:pt idx="2">
                  <c:v>7.5403485252439728E-2</c:v>
                </c:pt>
                <c:pt idx="3">
                  <c:v>8.0916005740995542E-2</c:v>
                </c:pt>
                <c:pt idx="4">
                  <c:v>7.2295552632418936E-2</c:v>
                </c:pt>
                <c:pt idx="5">
                  <c:v>6.8426596511387633E-2</c:v>
                </c:pt>
                <c:pt idx="6">
                  <c:v>6.1934097268771214E-2</c:v>
                </c:pt>
                <c:pt idx="7">
                  <c:v>6.8853867248158063E-2</c:v>
                </c:pt>
                <c:pt idx="8">
                  <c:v>6.9882004958132501E-2</c:v>
                </c:pt>
                <c:pt idx="9">
                  <c:v>6.9309137377901647E-2</c:v>
                </c:pt>
                <c:pt idx="10">
                  <c:v>6.5330423636415558E-2</c:v>
                </c:pt>
                <c:pt idx="11">
                  <c:v>5.0318269099925914E-2</c:v>
                </c:pt>
                <c:pt idx="12">
                  <c:v>3.6549287611444582E-2</c:v>
                </c:pt>
                <c:pt idx="13">
                  <c:v>4.3674573135254427E-2</c:v>
                </c:pt>
                <c:pt idx="14">
                  <c:v>3.7367429874120332E-2</c:v>
                </c:pt>
                <c:pt idx="15">
                  <c:v>2.7591721811471126E-2</c:v>
                </c:pt>
                <c:pt idx="16">
                  <c:v>1.4568084163935326E-2</c:v>
                </c:pt>
                <c:pt idx="17">
                  <c:v>1.033065603137724E-2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04-483F-BC6D-423232D09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360256"/>
        <c:axId val="47263744"/>
      </c:barChart>
      <c:catAx>
        <c:axId val="47360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crossAx val="47263744"/>
        <c:crosses val="autoZero"/>
        <c:auto val="1"/>
        <c:lblAlgn val="ctr"/>
        <c:lblOffset val="100"/>
        <c:tickLblSkip val="1"/>
        <c:noMultiLvlLbl val="0"/>
      </c:catAx>
      <c:valAx>
        <c:axId val="47263744"/>
        <c:scaling>
          <c:orientation val="minMax"/>
          <c:max val="0.1"/>
          <c:min val="-0.1"/>
        </c:scaling>
        <c:delete val="0"/>
        <c:axPos val="b"/>
        <c:numFmt formatCode="0%;0%" sourceLinked="0"/>
        <c:majorTickMark val="out"/>
        <c:minorTickMark val="none"/>
        <c:tickLblPos val="nextTo"/>
        <c:crossAx val="47360256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1675813250625E-4"/>
          <c:y val="0"/>
          <c:w val="0.76583105996854928"/>
          <c:h val="0.999950535029275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GrafikaiSerg!$W$28:$W$38</c:f>
              <c:strCache>
                <c:ptCount val="11"/>
                <c:pt idx="0">
                  <c:v>Kiti</c:v>
                </c:pt>
                <c:pt idx="1">
                  <c:v>Skrandžio</c:v>
                </c:pt>
                <c:pt idx="2">
                  <c:v>Kaulų ir jungiamojo audinio</c:v>
                </c:pt>
                <c:pt idx="3">
                  <c:v>Odos melanoma</c:v>
                </c:pt>
                <c:pt idx="4">
                  <c:v>Skydliaukės</c:v>
                </c:pt>
                <c:pt idx="5">
                  <c:v>Ne Hodžkino limfomos</c:v>
                </c:pt>
                <c:pt idx="6">
                  <c:v>Kiti odos piktybiniai navikai</c:v>
                </c:pt>
                <c:pt idx="7">
                  <c:v>Leukemijos</c:v>
                </c:pt>
                <c:pt idx="8">
                  <c:v>Hodžkino limfomos</c:v>
                </c:pt>
                <c:pt idx="9">
                  <c:v>Smegenų</c:v>
                </c:pt>
                <c:pt idx="10">
                  <c:v>Sėklidžių</c:v>
                </c:pt>
              </c:strCache>
            </c:strRef>
          </c:cat>
          <c:val>
            <c:numRef>
              <c:f>GrafikaiSerg!$Y$28:$Y$38</c:f>
              <c:numCache>
                <c:formatCode>0%</c:formatCode>
                <c:ptCount val="11"/>
                <c:pt idx="0">
                  <c:v>0.16483516483516483</c:v>
                </c:pt>
                <c:pt idx="1">
                  <c:v>2.197802197802198E-2</c:v>
                </c:pt>
                <c:pt idx="2">
                  <c:v>3.2967032967032968E-2</c:v>
                </c:pt>
                <c:pt idx="3">
                  <c:v>5.4945054945054944E-2</c:v>
                </c:pt>
                <c:pt idx="4">
                  <c:v>5.4945054945054944E-2</c:v>
                </c:pt>
                <c:pt idx="5">
                  <c:v>5.4945054945054944E-2</c:v>
                </c:pt>
                <c:pt idx="6">
                  <c:v>6.5934065934065936E-2</c:v>
                </c:pt>
                <c:pt idx="7">
                  <c:v>9.8901098901098897E-2</c:v>
                </c:pt>
                <c:pt idx="8">
                  <c:v>0.13186813186813187</c:v>
                </c:pt>
                <c:pt idx="9">
                  <c:v>0.15384615384615385</c:v>
                </c:pt>
                <c:pt idx="10">
                  <c:v>0.16483516483516483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E-4C1E-BD9F-518D5638E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69968640"/>
        <c:axId val="69970176"/>
      </c:barChart>
      <c:catAx>
        <c:axId val="69968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997017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9970176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9968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19239557627272E-4"/>
          <c:y val="0"/>
          <c:w val="0.7683053795063739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GrafikaiSerg!$W$41:$W$51</c:f>
              <c:strCache>
                <c:ptCount val="11"/>
                <c:pt idx="0">
                  <c:v>Kiti</c:v>
                </c:pt>
                <c:pt idx="1">
                  <c:v>Gaubtinės žarnos</c:v>
                </c:pt>
                <c:pt idx="2">
                  <c:v>Kasos</c:v>
                </c:pt>
                <c:pt idx="3">
                  <c:v>Smegenų</c:v>
                </c:pt>
                <c:pt idx="4">
                  <c:v>Tiesiosios žarnos, išangės</c:v>
                </c:pt>
                <c:pt idx="5">
                  <c:v>Burnos ertmės ir ryklės</c:v>
                </c:pt>
                <c:pt idx="6">
                  <c:v>Skrandžio</c:v>
                </c:pt>
                <c:pt idx="7">
                  <c:v>Inkstų</c:v>
                </c:pt>
                <c:pt idx="8">
                  <c:v>Kiti odos piktybiniai navikai</c:v>
                </c:pt>
                <c:pt idx="9">
                  <c:v>Plaučių, trachėjos, bronchų</c:v>
                </c:pt>
                <c:pt idx="10">
                  <c:v>Priešinės liaukos</c:v>
                </c:pt>
              </c:strCache>
            </c:strRef>
          </c:cat>
          <c:val>
            <c:numRef>
              <c:f>GrafikaiSerg!$Y$41:$Y$51</c:f>
              <c:numCache>
                <c:formatCode>0%</c:formatCode>
                <c:ptCount val="11"/>
                <c:pt idx="0">
                  <c:v>0.2756598240469208</c:v>
                </c:pt>
                <c:pt idx="1">
                  <c:v>2.932551319648094E-2</c:v>
                </c:pt>
                <c:pt idx="2">
                  <c:v>3.2991202346041054E-2</c:v>
                </c:pt>
                <c:pt idx="3">
                  <c:v>3.2991202346041054E-2</c:v>
                </c:pt>
                <c:pt idx="4">
                  <c:v>3.7390029325513198E-2</c:v>
                </c:pt>
                <c:pt idx="5">
                  <c:v>4.5454545454545456E-2</c:v>
                </c:pt>
                <c:pt idx="6">
                  <c:v>6.0117302052785926E-2</c:v>
                </c:pt>
                <c:pt idx="7">
                  <c:v>6.5249266862170086E-2</c:v>
                </c:pt>
                <c:pt idx="8">
                  <c:v>8.5777126099706738E-2</c:v>
                </c:pt>
                <c:pt idx="9">
                  <c:v>8.7243401759530798E-2</c:v>
                </c:pt>
                <c:pt idx="10">
                  <c:v>0.24780058651026393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1-433B-982A-76D703340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69986176"/>
        <c:axId val="69987712"/>
      </c:barChart>
      <c:catAx>
        <c:axId val="6998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699877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9987712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9986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44729593985939"/>
          <c:h val="0.999396325459317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GrafikaiSerg!$W$54:$W$64</c:f>
              <c:strCache>
                <c:ptCount val="11"/>
                <c:pt idx="0">
                  <c:v>Kiti</c:v>
                </c:pt>
                <c:pt idx="1">
                  <c:v>Šlapimo pūslės</c:v>
                </c:pt>
                <c:pt idx="2">
                  <c:v>Kasos</c:v>
                </c:pt>
                <c:pt idx="3">
                  <c:v>Burnos ertmės ir ryklės</c:v>
                </c:pt>
                <c:pt idx="4">
                  <c:v>Inkstų</c:v>
                </c:pt>
                <c:pt idx="5">
                  <c:v>Tiesiosios žarnos, išangės</c:v>
                </c:pt>
                <c:pt idx="6">
                  <c:v>Gaubtinės žarnos</c:v>
                </c:pt>
                <c:pt idx="7">
                  <c:v>Skrandžio</c:v>
                </c:pt>
                <c:pt idx="8">
                  <c:v>Kiti odos piktybiniai navikai</c:v>
                </c:pt>
                <c:pt idx="9">
                  <c:v>Plaučių, trachėjos, bronchų</c:v>
                </c:pt>
                <c:pt idx="10">
                  <c:v>Priešinės liaukos</c:v>
                </c:pt>
              </c:strCache>
            </c:strRef>
          </c:cat>
          <c:val>
            <c:numRef>
              <c:f>GrafikaiSerg!$Y$54:$Y$64</c:f>
              <c:numCache>
                <c:formatCode>0%</c:formatCode>
                <c:ptCount val="11"/>
                <c:pt idx="0">
                  <c:v>0.15146178231771751</c:v>
                </c:pt>
                <c:pt idx="1">
                  <c:v>2.2014793941528707E-2</c:v>
                </c:pt>
                <c:pt idx="2">
                  <c:v>2.3423740753786546E-2</c:v>
                </c:pt>
                <c:pt idx="3">
                  <c:v>2.8883409651285663E-2</c:v>
                </c:pt>
                <c:pt idx="4">
                  <c:v>3.3638605142655861E-2</c:v>
                </c:pt>
                <c:pt idx="5">
                  <c:v>3.7513208876364917E-2</c:v>
                </c:pt>
                <c:pt idx="6">
                  <c:v>4.5086297992250793E-2</c:v>
                </c:pt>
                <c:pt idx="7">
                  <c:v>4.6143008101444172E-2</c:v>
                </c:pt>
                <c:pt idx="8">
                  <c:v>7.4850299401197598E-2</c:v>
                </c:pt>
                <c:pt idx="9">
                  <c:v>0.12733356815780203</c:v>
                </c:pt>
                <c:pt idx="10">
                  <c:v>0.40965128566396619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9-4129-BC16-FB021D36D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70040576"/>
        <c:axId val="70042368"/>
      </c:barChart>
      <c:catAx>
        <c:axId val="70040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7004236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70042368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70040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42712912419681E-4"/>
          <c:y val="0"/>
          <c:w val="0.76605197498460842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GrafikaiSerg!$AA$2:$AA$12</c:f>
              <c:strCache>
                <c:ptCount val="11"/>
                <c:pt idx="0">
                  <c:v>Kiti</c:v>
                </c:pt>
                <c:pt idx="1">
                  <c:v>Plaučių, trachėjos, bronchų</c:v>
                </c:pt>
                <c:pt idx="2">
                  <c:v>Skydliaukės</c:v>
                </c:pt>
                <c:pt idx="3">
                  <c:v>Tiesiosios žarnos, išangės</c:v>
                </c:pt>
                <c:pt idx="4">
                  <c:v>Skrandžio</c:v>
                </c:pt>
                <c:pt idx="5">
                  <c:v>Kiaušidžių</c:v>
                </c:pt>
                <c:pt idx="6">
                  <c:v>Gimdos kaklelio</c:v>
                </c:pt>
                <c:pt idx="7">
                  <c:v>Gaubtinės žarnos</c:v>
                </c:pt>
                <c:pt idx="8">
                  <c:v>Gimdos kūno</c:v>
                </c:pt>
                <c:pt idx="9">
                  <c:v>Kiti odos piktybiniai navikai</c:v>
                </c:pt>
                <c:pt idx="10">
                  <c:v>Krūties</c:v>
                </c:pt>
              </c:strCache>
            </c:strRef>
          </c:cat>
          <c:val>
            <c:numRef>
              <c:f>GrafikaiSerg!$AC$2:$AC$12</c:f>
              <c:numCache>
                <c:formatCode>0%</c:formatCode>
                <c:ptCount val="11"/>
                <c:pt idx="0">
                  <c:v>0.26607271851673486</c:v>
                </c:pt>
                <c:pt idx="1">
                  <c:v>3.4914519624367923E-2</c:v>
                </c:pt>
                <c:pt idx="2">
                  <c:v>3.551649410065013E-2</c:v>
                </c:pt>
                <c:pt idx="3">
                  <c:v>3.9007946063086926E-2</c:v>
                </c:pt>
                <c:pt idx="4">
                  <c:v>4.0211895015651339E-2</c:v>
                </c:pt>
                <c:pt idx="5">
                  <c:v>4.3703346978088128E-2</c:v>
                </c:pt>
                <c:pt idx="6">
                  <c:v>4.7796773416807124E-2</c:v>
                </c:pt>
                <c:pt idx="7">
                  <c:v>5.6585600770527329E-2</c:v>
                </c:pt>
                <c:pt idx="8">
                  <c:v>7.7173127859378757E-2</c:v>
                </c:pt>
                <c:pt idx="9">
                  <c:v>0.17433180833132675</c:v>
                </c:pt>
                <c:pt idx="10">
                  <c:v>0.18468576932338068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6-4500-93A6-CF99E1967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052736"/>
        <c:axId val="94054272"/>
      </c:barChart>
      <c:catAx>
        <c:axId val="94052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05427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054272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4052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518839360557497E-3"/>
          <c:y val="3.0351975233864291E-4"/>
          <c:w val="0.76795995983281173"/>
          <c:h val="0.998128407026044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GrafikaiSerg!$AA$15:$AA$25</c:f>
              <c:strCache>
                <c:ptCount val="11"/>
                <c:pt idx="0">
                  <c:v>Kiti</c:v>
                </c:pt>
                <c:pt idx="1">
                  <c:v>Kepenų</c:v>
                </c:pt>
                <c:pt idx="2">
                  <c:v>Kitų kvėpavimo sistemos organų</c:v>
                </c:pt>
                <c:pt idx="3">
                  <c:v>Šlapimo pūslės</c:v>
                </c:pt>
                <c:pt idx="4">
                  <c:v>Kiti odos piktybiniai navikai</c:v>
                </c:pt>
                <c:pt idx="5">
                  <c:v>Hodžkino limfomos</c:v>
                </c:pt>
                <c:pt idx="6">
                  <c:v>Kitų virškinimo sistemos organų</c:v>
                </c:pt>
                <c:pt idx="7">
                  <c:v>Inkstų</c:v>
                </c:pt>
                <c:pt idx="8">
                  <c:v>Kaulų ir jungiamojo audinio</c:v>
                </c:pt>
                <c:pt idx="9">
                  <c:v>Smegenų</c:v>
                </c:pt>
                <c:pt idx="10">
                  <c:v>Leukemijos</c:v>
                </c:pt>
              </c:strCache>
            </c:strRef>
          </c:cat>
          <c:val>
            <c:numRef>
              <c:f>GrafikaiSerg!$AC$15:$AC$25</c:f>
              <c:numCache>
                <c:formatCode>0%</c:formatCode>
                <c:ptCount val="11"/>
                <c:pt idx="0">
                  <c:v>3.0303030303030304E-2</c:v>
                </c:pt>
                <c:pt idx="1">
                  <c:v>3.0303030303030304E-2</c:v>
                </c:pt>
                <c:pt idx="2">
                  <c:v>3.0303030303030304E-2</c:v>
                </c:pt>
                <c:pt idx="3">
                  <c:v>3.0303030303030304E-2</c:v>
                </c:pt>
                <c:pt idx="4">
                  <c:v>6.0606060606060608E-2</c:v>
                </c:pt>
                <c:pt idx="5">
                  <c:v>6.0606060606060608E-2</c:v>
                </c:pt>
                <c:pt idx="6">
                  <c:v>9.0909090909090912E-2</c:v>
                </c:pt>
                <c:pt idx="7">
                  <c:v>9.0909090909090912E-2</c:v>
                </c:pt>
                <c:pt idx="8">
                  <c:v>0.12121212121212122</c:v>
                </c:pt>
                <c:pt idx="9">
                  <c:v>0.18181818181818182</c:v>
                </c:pt>
                <c:pt idx="1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5-458E-9F59-900B250B2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095232"/>
        <c:axId val="94096768"/>
      </c:barChart>
      <c:catAx>
        <c:axId val="94095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09676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096768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409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GrafikaiSerg!$AA$28:$AA$38</c:f>
              <c:strCache>
                <c:ptCount val="11"/>
                <c:pt idx="0">
                  <c:v>Kiti</c:v>
                </c:pt>
                <c:pt idx="1">
                  <c:v>Odos melanoma</c:v>
                </c:pt>
                <c:pt idx="2">
                  <c:v>Kaulų ir jungiamojo audinio</c:v>
                </c:pt>
                <c:pt idx="3">
                  <c:v>Kiaušidžių</c:v>
                </c:pt>
                <c:pt idx="4">
                  <c:v>Ne Hodžkino limfomos</c:v>
                </c:pt>
                <c:pt idx="5">
                  <c:v>Smegenų</c:v>
                </c:pt>
                <c:pt idx="6">
                  <c:v>Hodžkino limfomos</c:v>
                </c:pt>
                <c:pt idx="7">
                  <c:v>Kiti odos piktybiniai navikai</c:v>
                </c:pt>
                <c:pt idx="8">
                  <c:v>Gimdos kaklelio</c:v>
                </c:pt>
                <c:pt idx="9">
                  <c:v>Krūties</c:v>
                </c:pt>
                <c:pt idx="10">
                  <c:v>Skydliaukės</c:v>
                </c:pt>
              </c:strCache>
            </c:strRef>
          </c:cat>
          <c:val>
            <c:numRef>
              <c:f>GrafikaiSerg!$AC$28:$AC$38</c:f>
              <c:numCache>
                <c:formatCode>0%</c:formatCode>
                <c:ptCount val="11"/>
                <c:pt idx="0">
                  <c:v>0.11578947368421053</c:v>
                </c:pt>
                <c:pt idx="1">
                  <c:v>3.1578947368421054E-2</c:v>
                </c:pt>
                <c:pt idx="2">
                  <c:v>5.2631578947368418E-2</c:v>
                </c:pt>
                <c:pt idx="3">
                  <c:v>6.3157894736842107E-2</c:v>
                </c:pt>
                <c:pt idx="4">
                  <c:v>7.3684210526315783E-2</c:v>
                </c:pt>
                <c:pt idx="5">
                  <c:v>8.4210526315789472E-2</c:v>
                </c:pt>
                <c:pt idx="6">
                  <c:v>8.4210526315789472E-2</c:v>
                </c:pt>
                <c:pt idx="7">
                  <c:v>0.10526315789473684</c:v>
                </c:pt>
                <c:pt idx="8">
                  <c:v>0.10526315789473684</c:v>
                </c:pt>
                <c:pt idx="9">
                  <c:v>0.1368421052631579</c:v>
                </c:pt>
                <c:pt idx="10">
                  <c:v>0.14736842105263157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BAB-B890-C8F0E5058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2748800"/>
        <c:axId val="92762880"/>
      </c:barChart>
      <c:catAx>
        <c:axId val="927488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276288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762880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2748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GrafikaiSerg!$AA$41:$AA$51</c:f>
              <c:strCache>
                <c:ptCount val="11"/>
                <c:pt idx="0">
                  <c:v>Kiti</c:v>
                </c:pt>
                <c:pt idx="1">
                  <c:v>Skrandžio</c:v>
                </c:pt>
                <c:pt idx="2">
                  <c:v>Tiesiosios žarnos, išangės</c:v>
                </c:pt>
                <c:pt idx="3">
                  <c:v>Odos melanoma</c:v>
                </c:pt>
                <c:pt idx="4">
                  <c:v>Gaubtinės žarnos</c:v>
                </c:pt>
                <c:pt idx="5">
                  <c:v>Kiaušidžių</c:v>
                </c:pt>
                <c:pt idx="6">
                  <c:v>Skydliaukės</c:v>
                </c:pt>
                <c:pt idx="7">
                  <c:v>Gimdos kūno</c:v>
                </c:pt>
                <c:pt idx="8">
                  <c:v>Kiti odos piktybiniai navikai</c:v>
                </c:pt>
                <c:pt idx="9">
                  <c:v>Gimdos kaklelio</c:v>
                </c:pt>
                <c:pt idx="10">
                  <c:v>Krūties</c:v>
                </c:pt>
              </c:strCache>
            </c:strRef>
          </c:cat>
          <c:val>
            <c:numRef>
              <c:f>GrafikaiSerg!$AC$41:$AC$51</c:f>
              <c:numCache>
                <c:formatCode>0%</c:formatCode>
                <c:ptCount val="11"/>
                <c:pt idx="0">
                  <c:v>0.17488532110091742</c:v>
                </c:pt>
                <c:pt idx="1">
                  <c:v>2.3509174311926607E-2</c:v>
                </c:pt>
                <c:pt idx="2">
                  <c:v>2.6949541284403671E-2</c:v>
                </c:pt>
                <c:pt idx="3">
                  <c:v>2.8669724770642203E-2</c:v>
                </c:pt>
                <c:pt idx="4">
                  <c:v>3.0389908256880736E-2</c:v>
                </c:pt>
                <c:pt idx="5">
                  <c:v>5.8486238532110095E-2</c:v>
                </c:pt>
                <c:pt idx="6">
                  <c:v>6.9954128440366969E-2</c:v>
                </c:pt>
                <c:pt idx="7">
                  <c:v>7.8555045871559634E-2</c:v>
                </c:pt>
                <c:pt idx="8">
                  <c:v>0.11525229357798165</c:v>
                </c:pt>
                <c:pt idx="9">
                  <c:v>0.11811926605504587</c:v>
                </c:pt>
                <c:pt idx="10">
                  <c:v>0.27522935779816515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D-4520-A31B-7854FAE35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2795264"/>
        <c:axId val="92796800"/>
      </c:barChart>
      <c:catAx>
        <c:axId val="92795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279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796800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27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3598392793493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GrafikaiSerg!$AA$54:$AA$64</c:f>
              <c:strCache>
                <c:ptCount val="11"/>
                <c:pt idx="0">
                  <c:v>Kiti</c:v>
                </c:pt>
                <c:pt idx="1">
                  <c:v>Gimdos kaklelio</c:v>
                </c:pt>
                <c:pt idx="2">
                  <c:v>Tiesiosios žarnos, išangės</c:v>
                </c:pt>
                <c:pt idx="3">
                  <c:v>Skydliaukės</c:v>
                </c:pt>
                <c:pt idx="4">
                  <c:v>Plaučių, trachėjos, bronchų</c:v>
                </c:pt>
                <c:pt idx="5">
                  <c:v>Inkstų</c:v>
                </c:pt>
                <c:pt idx="6">
                  <c:v>Kiaušidžių</c:v>
                </c:pt>
                <c:pt idx="7">
                  <c:v>Gaubtinės žarnos</c:v>
                </c:pt>
                <c:pt idx="8">
                  <c:v>Gimdos kūno</c:v>
                </c:pt>
                <c:pt idx="9">
                  <c:v>Kiti odos piktybiniai navikai</c:v>
                </c:pt>
                <c:pt idx="10">
                  <c:v>Krūties</c:v>
                </c:pt>
              </c:strCache>
            </c:strRef>
          </c:cat>
          <c:val>
            <c:numRef>
              <c:f>GrafikaiSerg!$AC$54:$AC$64</c:f>
              <c:numCache>
                <c:formatCode>0%</c:formatCode>
                <c:ptCount val="11"/>
                <c:pt idx="0">
                  <c:v>0.24588394062078273</c:v>
                </c:pt>
                <c:pt idx="1">
                  <c:v>3.4547908232118757E-2</c:v>
                </c:pt>
                <c:pt idx="2">
                  <c:v>3.643724696356275E-2</c:v>
                </c:pt>
                <c:pt idx="3">
                  <c:v>3.7786774628879895E-2</c:v>
                </c:pt>
                <c:pt idx="4">
                  <c:v>3.832658569500675E-2</c:v>
                </c:pt>
                <c:pt idx="5">
                  <c:v>3.8866396761133605E-2</c:v>
                </c:pt>
                <c:pt idx="6">
                  <c:v>4.0755735492577598E-2</c:v>
                </c:pt>
                <c:pt idx="7">
                  <c:v>5.128205128205128E-2</c:v>
                </c:pt>
                <c:pt idx="8">
                  <c:v>9.8245614035087719E-2</c:v>
                </c:pt>
                <c:pt idx="9">
                  <c:v>0.17759784075573548</c:v>
                </c:pt>
                <c:pt idx="10">
                  <c:v>0.20026990553306342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7-4969-8BB7-6BB31198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2808704"/>
        <c:axId val="92810240"/>
      </c:barChart>
      <c:catAx>
        <c:axId val="92808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28102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810240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2808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715012475292443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GrafikaiSerg!$AA$67:$AA$77</c:f>
              <c:strCache>
                <c:ptCount val="11"/>
                <c:pt idx="0">
                  <c:v>Kiti</c:v>
                </c:pt>
                <c:pt idx="1">
                  <c:v>Kiaušidžių</c:v>
                </c:pt>
                <c:pt idx="2">
                  <c:v>Kasos</c:v>
                </c:pt>
                <c:pt idx="3">
                  <c:v>Plaučių, trachėjos, bronchų</c:v>
                </c:pt>
                <c:pt idx="4">
                  <c:v>Nepatikslintos lokalizacijos</c:v>
                </c:pt>
                <c:pt idx="5">
                  <c:v>Gimdos kūno</c:v>
                </c:pt>
                <c:pt idx="6">
                  <c:v>Tiesiosios žarnos, išangės</c:v>
                </c:pt>
                <c:pt idx="7">
                  <c:v>Skrandžio</c:v>
                </c:pt>
                <c:pt idx="8">
                  <c:v>Gaubtinės žarnos</c:v>
                </c:pt>
                <c:pt idx="9">
                  <c:v>Krūties</c:v>
                </c:pt>
                <c:pt idx="10">
                  <c:v>Kiti odos piktybiniai navikai</c:v>
                </c:pt>
              </c:strCache>
            </c:strRef>
          </c:cat>
          <c:val>
            <c:numRef>
              <c:f>GrafikaiSerg!$AC$67:$AC$77</c:f>
              <c:numCache>
                <c:formatCode>0%</c:formatCode>
                <c:ptCount val="11"/>
                <c:pt idx="0">
                  <c:v>0.25906925613777942</c:v>
                </c:pt>
                <c:pt idx="1">
                  <c:v>3.8109197508244777E-2</c:v>
                </c:pt>
                <c:pt idx="2">
                  <c:v>4.2872847196775372E-2</c:v>
                </c:pt>
                <c:pt idx="3">
                  <c:v>4.3605716379626236E-2</c:v>
                </c:pt>
                <c:pt idx="4">
                  <c:v>4.8002931476731403E-2</c:v>
                </c:pt>
                <c:pt idx="5">
                  <c:v>5.1300842799560278E-2</c:v>
                </c:pt>
                <c:pt idx="6">
                  <c:v>5.1667277390985707E-2</c:v>
                </c:pt>
                <c:pt idx="7">
                  <c:v>6.1561011359472333E-2</c:v>
                </c:pt>
                <c:pt idx="8">
                  <c:v>8.2814217662147305E-2</c:v>
                </c:pt>
                <c:pt idx="9">
                  <c:v>0.10956394283620374</c:v>
                </c:pt>
                <c:pt idx="10">
                  <c:v>0.21143275925247343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B-4346-80AF-D2E283A3D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2830336"/>
        <c:axId val="92840320"/>
      </c:barChart>
      <c:catAx>
        <c:axId val="92830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284032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840320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29662032986623"/>
          <c:h val="0.998316172016959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GrafikaiSerg!$W$67:$W$77</c:f>
              <c:strCache>
                <c:ptCount val="11"/>
                <c:pt idx="0">
                  <c:v>Kiti</c:v>
                </c:pt>
                <c:pt idx="1">
                  <c:v>Nepatikslintos lokalizacijos</c:v>
                </c:pt>
                <c:pt idx="2">
                  <c:v>Leukemijos</c:v>
                </c:pt>
                <c:pt idx="3">
                  <c:v>Inkstų</c:v>
                </c:pt>
                <c:pt idx="4">
                  <c:v>Tiesiosios žarnos, išangės</c:v>
                </c:pt>
                <c:pt idx="5">
                  <c:v>Šlapimo pūslės</c:v>
                </c:pt>
                <c:pt idx="6">
                  <c:v>Gaubtinės žarnos</c:v>
                </c:pt>
                <c:pt idx="7">
                  <c:v>Skrandžio</c:v>
                </c:pt>
                <c:pt idx="8">
                  <c:v>Plaučių, trachėjos, bronchų</c:v>
                </c:pt>
                <c:pt idx="9">
                  <c:v>Kiti odos piktybiniai navikai</c:v>
                </c:pt>
                <c:pt idx="10">
                  <c:v>Priešinės liaukos</c:v>
                </c:pt>
              </c:strCache>
            </c:strRef>
          </c:cat>
          <c:val>
            <c:numRef>
              <c:f>GrafikaiSerg!$Y$67:$Y$77</c:f>
              <c:numCache>
                <c:formatCode>0%</c:formatCode>
                <c:ptCount val="11"/>
                <c:pt idx="0">
                  <c:v>0.1602536997885835</c:v>
                </c:pt>
                <c:pt idx="1">
                  <c:v>3.1289640591966171E-2</c:v>
                </c:pt>
                <c:pt idx="2">
                  <c:v>3.4672304439746303E-2</c:v>
                </c:pt>
                <c:pt idx="3">
                  <c:v>3.5095137420718819E-2</c:v>
                </c:pt>
                <c:pt idx="4">
                  <c:v>5.1162790697674418E-2</c:v>
                </c:pt>
                <c:pt idx="5">
                  <c:v>5.1162790697674418E-2</c:v>
                </c:pt>
                <c:pt idx="6">
                  <c:v>6.13107822410148E-2</c:v>
                </c:pt>
                <c:pt idx="7">
                  <c:v>6.9344608879492606E-2</c:v>
                </c:pt>
                <c:pt idx="8">
                  <c:v>0.12854122621564482</c:v>
                </c:pt>
                <c:pt idx="9">
                  <c:v>0.1412262156448203</c:v>
                </c:pt>
                <c:pt idx="10">
                  <c:v>0.23594080338266385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D-420E-94DD-F43384281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2860416"/>
        <c:axId val="92861952"/>
      </c:barChart>
      <c:catAx>
        <c:axId val="92860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286195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861952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2860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>
                <a:solidFill>
                  <a:schemeClr val="accent1"/>
                </a:solidFill>
              </a:rPr>
              <a:t>Vyrai  </a:t>
            </a:r>
            <a:r>
              <a:rPr lang="en-US" sz="1000" b="1"/>
              <a:t>                                                </a:t>
            </a:r>
            <a:r>
              <a:rPr lang="en-US" sz="1000" b="1" baseline="0"/>
              <a:t> </a:t>
            </a:r>
            <a:r>
              <a:rPr lang="en-US" sz="1000" b="1"/>
              <a:t>                    </a:t>
            </a:r>
            <a:r>
              <a:rPr lang="en-US" sz="1000" b="1">
                <a:solidFill>
                  <a:schemeClr val="accent2"/>
                </a:solidFill>
              </a:rPr>
              <a:t>Moterys</a:t>
            </a:r>
            <a:endParaRPr lang="lt-LT" sz="1000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0.13005707619880849"/>
          <c:y val="8.0142156143525438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09951881014874"/>
          <c:y val="7.4005966645473653E-2"/>
          <c:w val="0.82123179047063566"/>
          <c:h val="0.833162485124142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'Kiti grafikai'!$AB$4</c:f>
              <c:strCache>
                <c:ptCount val="1"/>
                <c:pt idx="0">
                  <c:v>Vyrai</c:v>
                </c:pt>
              </c:strCache>
            </c:strRef>
          </c:tx>
          <c:spPr>
            <a:ln>
              <a:solidFill>
                <a:schemeClr val="tx1">
                  <a:alpha val="70000"/>
                </a:schemeClr>
              </a:solidFill>
            </a:ln>
          </c:spPr>
          <c:invertIfNegative val="0"/>
          <c:cat>
            <c:strRef>
              <c:f>'Kiti grafikai'!$W$5:$W$22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'Kiti grafikai'!$AB$5:$AB$22</c:f>
              <c:numCache>
                <c:formatCode>0%</c:formatCode>
                <c:ptCount val="18"/>
                <c:pt idx="0">
                  <c:v>-5.6278116350736554E-2</c:v>
                </c:pt>
                <c:pt idx="1">
                  <c:v>-5.0140931448240479E-2</c:v>
                </c:pt>
                <c:pt idx="2">
                  <c:v>-5.5076257029314755E-2</c:v>
                </c:pt>
                <c:pt idx="3">
                  <c:v>-6.8016227280753322E-2</c:v>
                </c:pt>
                <c:pt idx="4">
                  <c:v>-7.9961430052732124E-2</c:v>
                </c:pt>
                <c:pt idx="5">
                  <c:v>-7.2296851986010768E-2</c:v>
                </c:pt>
                <c:pt idx="6">
                  <c:v>-6.4318366285157469E-2</c:v>
                </c:pt>
                <c:pt idx="7">
                  <c:v>-6.6293368483237552E-2</c:v>
                </c:pt>
                <c:pt idx="8">
                  <c:v>-7.3460926129250009E-2</c:v>
                </c:pt>
                <c:pt idx="9">
                  <c:v>-7.4442614123954282E-2</c:v>
                </c:pt>
                <c:pt idx="10">
                  <c:v>-8.0230286128261788E-2</c:v>
                </c:pt>
                <c:pt idx="11">
                  <c:v>-6.4224629977743072E-2</c:v>
                </c:pt>
                <c:pt idx="12">
                  <c:v>-5.2692157613604407E-2</c:v>
                </c:pt>
                <c:pt idx="13">
                  <c:v>-3.8997210436556871E-2</c:v>
                </c:pt>
                <c:pt idx="14">
                  <c:v>-3.7251825859739962E-2</c:v>
                </c:pt>
                <c:pt idx="15">
                  <c:v>-2.8371582348799339E-2</c:v>
                </c:pt>
                <c:pt idx="16">
                  <c:v>-1.8206642779652102E-2</c:v>
                </c:pt>
                <c:pt idx="17">
                  <c:v>-9.7434895048034414E-3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A-4259-A646-CDCB0696F375}"/>
            </c:ext>
          </c:extLst>
        </c:ser>
        <c:ser>
          <c:idx val="1"/>
          <c:order val="1"/>
          <c:tx>
            <c:strRef>
              <c:f>'Kiti grafikai'!$AC$4</c:f>
              <c:strCache>
                <c:ptCount val="1"/>
                <c:pt idx="0">
                  <c:v>Moterys</c:v>
                </c:pt>
              </c:strCache>
            </c:strRef>
          </c:tx>
          <c:spPr>
            <a:ln>
              <a:solidFill>
                <a:schemeClr val="tx1">
                  <a:alpha val="70000"/>
                </a:schemeClr>
              </a:solidFill>
            </a:ln>
          </c:spPr>
          <c:invertIfNegative val="0"/>
          <c:cat>
            <c:strRef>
              <c:f>'Kiti grafikai'!$W$5:$W$22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'Kiti grafikai'!$AC$5:$AC$22</c:f>
              <c:numCache>
                <c:formatCode>0%</c:formatCode>
                <c:ptCount val="18"/>
                <c:pt idx="0">
                  <c:v>4.5677140084340012E-2</c:v>
                </c:pt>
                <c:pt idx="1">
                  <c:v>4.0937668313919574E-2</c:v>
                </c:pt>
                <c:pt idx="2">
                  <c:v>4.4364756895751478E-2</c:v>
                </c:pt>
                <c:pt idx="3">
                  <c:v>5.5130022115052878E-2</c:v>
                </c:pt>
                <c:pt idx="4">
                  <c:v>6.4487345275296412E-2</c:v>
                </c:pt>
                <c:pt idx="5">
                  <c:v>5.8984023053267241E-2</c:v>
                </c:pt>
                <c:pt idx="6">
                  <c:v>5.4224694894177861E-2</c:v>
                </c:pt>
                <c:pt idx="7">
                  <c:v>5.9157145941974666E-2</c:v>
                </c:pt>
                <c:pt idx="8">
                  <c:v>6.7283373004743199E-2</c:v>
                </c:pt>
                <c:pt idx="9">
                  <c:v>6.9658072987120651E-2</c:v>
                </c:pt>
                <c:pt idx="10">
                  <c:v>7.8254648256484968E-2</c:v>
                </c:pt>
                <c:pt idx="11">
                  <c:v>6.6932783642307009E-2</c:v>
                </c:pt>
                <c:pt idx="12">
                  <c:v>6.1378579424313649E-2</c:v>
                </c:pt>
                <c:pt idx="13">
                  <c:v>5.1655774610132217E-2</c:v>
                </c:pt>
                <c:pt idx="14">
                  <c:v>5.5887046933056669E-2</c:v>
                </c:pt>
                <c:pt idx="15">
                  <c:v>4.9947504672456455E-2</c:v>
                </c:pt>
                <c:pt idx="16">
                  <c:v>3.7724035910278911E-2</c:v>
                </c:pt>
                <c:pt idx="17">
                  <c:v>2.818490269128528E-2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A-4259-A646-CDCB0696F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412160"/>
        <c:axId val="46413696"/>
      </c:barChart>
      <c:catAx>
        <c:axId val="46412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crossAx val="46413696"/>
        <c:crosses val="autoZero"/>
        <c:auto val="1"/>
        <c:lblAlgn val="ctr"/>
        <c:lblOffset val="100"/>
        <c:tickLblSkip val="1"/>
        <c:noMultiLvlLbl val="0"/>
      </c:catAx>
      <c:valAx>
        <c:axId val="46413696"/>
        <c:scaling>
          <c:orientation val="minMax"/>
          <c:max val="0.1"/>
          <c:min val="-0.1"/>
        </c:scaling>
        <c:delete val="0"/>
        <c:axPos val="b"/>
        <c:numFmt formatCode="0%;0%" sourceLinked="0"/>
        <c:majorTickMark val="out"/>
        <c:minorTickMark val="none"/>
        <c:tickLblPos val="nextTo"/>
        <c:crossAx val="46412160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812578983182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GrafikaiSerg!$W$2:$W$12</c:f>
              <c:strCache>
                <c:ptCount val="11"/>
                <c:pt idx="0">
                  <c:v>Kiti</c:v>
                </c:pt>
                <c:pt idx="1">
                  <c:v>Kasos</c:v>
                </c:pt>
                <c:pt idx="2">
                  <c:v>Burnos ertmės ir ryklės</c:v>
                </c:pt>
                <c:pt idx="3">
                  <c:v>Šlapimo pūslės</c:v>
                </c:pt>
                <c:pt idx="4">
                  <c:v>Inkstų</c:v>
                </c:pt>
                <c:pt idx="5">
                  <c:v>Tiesiosios žarnos, išangės</c:v>
                </c:pt>
                <c:pt idx="6">
                  <c:v>Gaubtinės žarnos</c:v>
                </c:pt>
                <c:pt idx="7">
                  <c:v>Skrandžio</c:v>
                </c:pt>
                <c:pt idx="8">
                  <c:v>Kiti odos piktybiniai navikai</c:v>
                </c:pt>
                <c:pt idx="9">
                  <c:v>Plaučių, trachėjos, bronchų</c:v>
                </c:pt>
                <c:pt idx="10">
                  <c:v>Priešinės liaukos</c:v>
                </c:pt>
              </c:strCache>
            </c:strRef>
          </c:cat>
          <c:val>
            <c:numRef>
              <c:f>GrafikaiSerg!$Y$2:$Y$12</c:f>
              <c:numCache>
                <c:formatCode>0%</c:formatCode>
                <c:ptCount val="11"/>
                <c:pt idx="0">
                  <c:v>0.18910693671948789</c:v>
                </c:pt>
                <c:pt idx="1">
                  <c:v>2.5501101899464793E-2</c:v>
                </c:pt>
                <c:pt idx="2">
                  <c:v>2.6550529961171163E-2</c:v>
                </c:pt>
                <c:pt idx="3">
                  <c:v>2.8859271696925176E-2</c:v>
                </c:pt>
                <c:pt idx="4">
                  <c:v>3.8409067058453143E-2</c:v>
                </c:pt>
                <c:pt idx="5">
                  <c:v>4.0507923181865885E-2</c:v>
                </c:pt>
                <c:pt idx="6">
                  <c:v>4.6384720327421552E-2</c:v>
                </c:pt>
                <c:pt idx="7">
                  <c:v>5.3520831147024869E-2</c:v>
                </c:pt>
                <c:pt idx="8">
                  <c:v>9.2559555042501837E-2</c:v>
                </c:pt>
                <c:pt idx="9">
                  <c:v>0.12036939867772065</c:v>
                </c:pt>
                <c:pt idx="10">
                  <c:v>0.33823066428796306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1-4C51-BDE7-5BC6422AE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151808"/>
        <c:axId val="94153344"/>
      </c:barChart>
      <c:catAx>
        <c:axId val="94151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15334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153344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4151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603447717183504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GrafikaiMirtVM!$W$15:$W$25</c:f>
              <c:strCache>
                <c:ptCount val="11"/>
                <c:pt idx="6">
                  <c:v>Kiti</c:v>
                </c:pt>
                <c:pt idx="7">
                  <c:v>Kitų virškinimo sistemos organų</c:v>
                </c:pt>
                <c:pt idx="8">
                  <c:v>Kepenų</c:v>
                </c:pt>
                <c:pt idx="9">
                  <c:v>Kaulų ir jungiamojo audinio</c:v>
                </c:pt>
                <c:pt idx="10">
                  <c:v>Smegenų</c:v>
                </c:pt>
              </c:strCache>
            </c:strRef>
          </c:cat>
          <c:val>
            <c:numRef>
              <c:f>GrafikaiMirtVM!$Y$15:$Y$25</c:f>
              <c:numCache>
                <c:formatCode>General</c:formatCode>
                <c:ptCount val="11"/>
                <c:pt idx="6" formatCode="0%">
                  <c:v>1.0000000000000001E-5</c:v>
                </c:pt>
                <c:pt idx="7" formatCode="0%">
                  <c:v>8.3333333333333329E-2</c:v>
                </c:pt>
                <c:pt idx="8" formatCode="0%">
                  <c:v>0.25</c:v>
                </c:pt>
                <c:pt idx="9" formatCode="0%">
                  <c:v>0.25</c:v>
                </c:pt>
                <c:pt idx="10" formatCode="0%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9-4C9D-8795-604668E33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326144"/>
        <c:axId val="94352512"/>
      </c:barChart>
      <c:catAx>
        <c:axId val="94326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3525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352512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4326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1675813250625E-4"/>
          <c:y val="0"/>
          <c:w val="0.76583105996854928"/>
          <c:h val="0.999950535029275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GrafikaiMirtVM!$W$28:$W$38</c:f>
              <c:strCache>
                <c:ptCount val="11"/>
                <c:pt idx="0">
                  <c:v>Kiti</c:v>
                </c:pt>
                <c:pt idx="1">
                  <c:v>Tiesiosios žarnos, išangės</c:v>
                </c:pt>
                <c:pt idx="2">
                  <c:v>Krūties</c:v>
                </c:pt>
                <c:pt idx="3">
                  <c:v>Plaučių, trachėjos, bronchų</c:v>
                </c:pt>
                <c:pt idx="4">
                  <c:v>Odos melanoma</c:v>
                </c:pt>
                <c:pt idx="5">
                  <c:v>Gimdos kaklelio</c:v>
                </c:pt>
                <c:pt idx="6">
                  <c:v>Nepatikslintos lokalizacijos</c:v>
                </c:pt>
                <c:pt idx="7">
                  <c:v>Skrandžio</c:v>
                </c:pt>
                <c:pt idx="8">
                  <c:v>Leukemijos</c:v>
                </c:pt>
                <c:pt idx="9">
                  <c:v>Kaulų ir jungiamojo audinio</c:v>
                </c:pt>
                <c:pt idx="10">
                  <c:v>Smegenų</c:v>
                </c:pt>
              </c:strCache>
            </c:strRef>
          </c:cat>
          <c:val>
            <c:numRef>
              <c:f>GrafikaiMirtVM!$Y$28:$Y$38</c:f>
              <c:numCache>
                <c:formatCode>0%</c:formatCode>
                <c:ptCount val="11"/>
                <c:pt idx="0">
                  <c:v>0.11428571428571428</c:v>
                </c:pt>
                <c:pt idx="1">
                  <c:v>2.8571428571428571E-2</c:v>
                </c:pt>
                <c:pt idx="2">
                  <c:v>2.8571428571428571E-2</c:v>
                </c:pt>
                <c:pt idx="3">
                  <c:v>5.7142857142857141E-2</c:v>
                </c:pt>
                <c:pt idx="4">
                  <c:v>5.7142857142857141E-2</c:v>
                </c:pt>
                <c:pt idx="5">
                  <c:v>5.7142857142857141E-2</c:v>
                </c:pt>
                <c:pt idx="6">
                  <c:v>5.7142857142857141E-2</c:v>
                </c:pt>
                <c:pt idx="7">
                  <c:v>8.5714285714285715E-2</c:v>
                </c:pt>
                <c:pt idx="8">
                  <c:v>0.14285714285714285</c:v>
                </c:pt>
                <c:pt idx="9">
                  <c:v>0.17142857142857143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F-4FB2-BD20-4722B32D4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823168"/>
        <c:axId val="94824704"/>
      </c:barChart>
      <c:catAx>
        <c:axId val="94823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482470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824704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4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19239557627272E-4"/>
          <c:y val="0"/>
          <c:w val="0.7683053795063739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GrafikaiMirtVM!$W$41:$W$51</c:f>
              <c:numCache>
                <c:formatCode>General</c:formatCode>
                <c:ptCount val="11"/>
              </c:numCache>
            </c:numRef>
          </c:cat>
          <c:val>
            <c:numRef>
              <c:f>GrafikaiMirtVM!$Y$41:$Y$51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EEBC-4FC9-B7B9-43AD60AA9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394240"/>
        <c:axId val="94395776"/>
      </c:barChart>
      <c:catAx>
        <c:axId val="94394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39577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395776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4394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44729593985939"/>
          <c:h val="0.999396325459317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GrafikaiMirtVM!$W$54:$W$64</c:f>
              <c:numCache>
                <c:formatCode>General</c:formatCode>
                <c:ptCount val="11"/>
              </c:numCache>
            </c:numRef>
          </c:cat>
          <c:val>
            <c:numRef>
              <c:f>GrafikaiMirtVM!$Y$54:$Y$64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A95F-4F71-A509-3D60F7CC0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415872"/>
        <c:axId val="94425856"/>
      </c:barChart>
      <c:catAx>
        <c:axId val="94415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425856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94425856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4415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42712912419681E-4"/>
          <c:y val="0"/>
          <c:w val="0.76605197498460842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GrafikaiMirtVM!$AA$2:$AA$12</c:f>
              <c:strCache>
                <c:ptCount val="11"/>
                <c:pt idx="0">
                  <c:v>Kiti</c:v>
                </c:pt>
                <c:pt idx="1">
                  <c:v>Tiesiosios žarnos, išangės</c:v>
                </c:pt>
                <c:pt idx="2">
                  <c:v>Nepatikslintos lokalizacijos</c:v>
                </c:pt>
                <c:pt idx="3">
                  <c:v>Kasos</c:v>
                </c:pt>
                <c:pt idx="4">
                  <c:v>Kiaušidžių</c:v>
                </c:pt>
                <c:pt idx="5">
                  <c:v>Burnos ertmės ir ryklės</c:v>
                </c:pt>
                <c:pt idx="6">
                  <c:v>Gimdos kaklelio</c:v>
                </c:pt>
                <c:pt idx="7">
                  <c:v>Smegenų</c:v>
                </c:pt>
                <c:pt idx="8">
                  <c:v>Skrandžio</c:v>
                </c:pt>
                <c:pt idx="9">
                  <c:v>Krūties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GrafikaiMirtVM!$AC$2:$AC$12</c:f>
              <c:numCache>
                <c:formatCode>0%</c:formatCode>
                <c:ptCount val="11"/>
                <c:pt idx="0">
                  <c:v>0.29988974641675853</c:v>
                </c:pt>
                <c:pt idx="1">
                  <c:v>3.6383682469680267E-2</c:v>
                </c:pt>
                <c:pt idx="2">
                  <c:v>3.7486218302094816E-2</c:v>
                </c:pt>
                <c:pt idx="3">
                  <c:v>4.6306504961411248E-2</c:v>
                </c:pt>
                <c:pt idx="4">
                  <c:v>5.4024255788313123E-2</c:v>
                </c:pt>
                <c:pt idx="5">
                  <c:v>5.7331863285556783E-2</c:v>
                </c:pt>
                <c:pt idx="6">
                  <c:v>6.8357221609702312E-2</c:v>
                </c:pt>
                <c:pt idx="7">
                  <c:v>7.3869900771775077E-2</c:v>
                </c:pt>
                <c:pt idx="8">
                  <c:v>9.9228224917309815E-2</c:v>
                </c:pt>
                <c:pt idx="9">
                  <c:v>0.10253583241455347</c:v>
                </c:pt>
                <c:pt idx="10">
                  <c:v>0.12458654906284454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D-407F-B19B-5D472BDC8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466432"/>
        <c:axId val="94467968"/>
      </c:barChart>
      <c:catAx>
        <c:axId val="94466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46796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46796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4466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518839360557497E-3"/>
          <c:y val="3.0351975233864291E-4"/>
          <c:w val="0.76795995983281173"/>
          <c:h val="0.998128407026044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GrafikaiMirtVM!$AA$15:$AA$25</c:f>
              <c:strCache>
                <c:ptCount val="11"/>
                <c:pt idx="0">
                  <c:v>Kiti</c:v>
                </c:pt>
                <c:pt idx="1">
                  <c:v>Inkstų</c:v>
                </c:pt>
                <c:pt idx="2">
                  <c:v>Burnos ertmės ir ryklės</c:v>
                </c:pt>
                <c:pt idx="3">
                  <c:v>Tiesiosios žarnos, išangės</c:v>
                </c:pt>
                <c:pt idx="4">
                  <c:v>Nepatikslintos lokalizacijos</c:v>
                </c:pt>
                <c:pt idx="5">
                  <c:v>Priešinės liaukos</c:v>
                </c:pt>
                <c:pt idx="6">
                  <c:v>Gaubtinės žarnos</c:v>
                </c:pt>
                <c:pt idx="7">
                  <c:v>Kasos</c:v>
                </c:pt>
                <c:pt idx="8">
                  <c:v>Krūties</c:v>
                </c:pt>
                <c:pt idx="9">
                  <c:v>Skrandžio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GrafikaiMirtVM!$AC$15:$AC$25</c:f>
              <c:numCache>
                <c:formatCode>0%</c:formatCode>
                <c:ptCount val="11"/>
                <c:pt idx="0">
                  <c:v>0.30725806451612903</c:v>
                </c:pt>
                <c:pt idx="1">
                  <c:v>3.2795698924731186E-2</c:v>
                </c:pt>
                <c:pt idx="2">
                  <c:v>4.2204301075268819E-2</c:v>
                </c:pt>
                <c:pt idx="3">
                  <c:v>4.8118279569892473E-2</c:v>
                </c:pt>
                <c:pt idx="4">
                  <c:v>4.8118279569892473E-2</c:v>
                </c:pt>
                <c:pt idx="5">
                  <c:v>5.1612903225806452E-2</c:v>
                </c:pt>
                <c:pt idx="6">
                  <c:v>5.3763440860215055E-2</c:v>
                </c:pt>
                <c:pt idx="7">
                  <c:v>5.9677419354838709E-2</c:v>
                </c:pt>
                <c:pt idx="8">
                  <c:v>6.7204301075268813E-2</c:v>
                </c:pt>
                <c:pt idx="9">
                  <c:v>7.3655913978494622E-2</c:v>
                </c:pt>
                <c:pt idx="10">
                  <c:v>0.21559139784946235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7-48CA-B560-AD473B749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488448"/>
        <c:axId val="94489984"/>
      </c:barChart>
      <c:catAx>
        <c:axId val="94488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48998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489984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4488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GrafikaiMirtVM!$AA$28:$AA$38</c:f>
              <c:strCache>
                <c:ptCount val="11"/>
                <c:pt idx="0">
                  <c:v>Kiti</c:v>
                </c:pt>
                <c:pt idx="1">
                  <c:v>Leukemijos</c:v>
                </c:pt>
                <c:pt idx="2">
                  <c:v>Šlapimo pūslės</c:v>
                </c:pt>
                <c:pt idx="3">
                  <c:v>Nepatikslintos lokalizacijos</c:v>
                </c:pt>
                <c:pt idx="4">
                  <c:v>Kasos</c:v>
                </c:pt>
                <c:pt idx="5">
                  <c:v>Tiesiosios žarnos, išangės</c:v>
                </c:pt>
                <c:pt idx="6">
                  <c:v>Krūties</c:v>
                </c:pt>
                <c:pt idx="7">
                  <c:v>Skrandžio</c:v>
                </c:pt>
                <c:pt idx="8">
                  <c:v>Gaubtinės žarnos</c:v>
                </c:pt>
                <c:pt idx="9">
                  <c:v>Priešinės liaukos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GrafikaiMirtVM!$AC$28:$AC$38</c:f>
              <c:numCache>
                <c:formatCode>0%</c:formatCode>
                <c:ptCount val="11"/>
                <c:pt idx="0">
                  <c:v>0.27869878010634969</c:v>
                </c:pt>
                <c:pt idx="1">
                  <c:v>3.753518923991242E-2</c:v>
                </c:pt>
                <c:pt idx="2">
                  <c:v>3.9411948701908041E-2</c:v>
                </c:pt>
                <c:pt idx="3">
                  <c:v>5.2862058179543321E-2</c:v>
                </c:pt>
                <c:pt idx="4">
                  <c:v>5.5051610885204882E-2</c:v>
                </c:pt>
                <c:pt idx="5">
                  <c:v>6.7563340631842356E-2</c:v>
                </c:pt>
                <c:pt idx="6">
                  <c:v>7.0378479824835777E-2</c:v>
                </c:pt>
                <c:pt idx="7">
                  <c:v>8.6018142008132625E-2</c:v>
                </c:pt>
                <c:pt idx="8">
                  <c:v>8.7269314982796373E-2</c:v>
                </c:pt>
                <c:pt idx="9">
                  <c:v>0.10290897716609321</c:v>
                </c:pt>
                <c:pt idx="10">
                  <c:v>0.1223021582733813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4-433D-8E91-9EAB72154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5312896"/>
        <c:axId val="95318784"/>
      </c:barChart>
      <c:catAx>
        <c:axId val="95312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531878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5318784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5312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GrafikaiMirtVM!$AA$41:$AA$51</c:f>
              <c:numCache>
                <c:formatCode>General</c:formatCode>
                <c:ptCount val="11"/>
              </c:numCache>
            </c:numRef>
          </c:cat>
          <c:val>
            <c:numRef>
              <c:f>GrafikaiMirtVM!$AC$41:$AC$51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8589-4770-84D3-D83100141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649024"/>
        <c:axId val="97650560"/>
      </c:barChart>
      <c:catAx>
        <c:axId val="97649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765056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7650560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764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3598392793493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GrafikaiMirtVM!$AA$54:$AA$64</c:f>
              <c:numCache>
                <c:formatCode>General</c:formatCode>
                <c:ptCount val="11"/>
              </c:numCache>
            </c:numRef>
          </c:cat>
          <c:val>
            <c:numRef>
              <c:f>GrafikaiMirtVM!$AC$54:$AC$64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4767-4CBF-9D90-6F2C1E68F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674752"/>
        <c:axId val="97676288"/>
      </c:barChart>
      <c:catAx>
        <c:axId val="97674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767628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7676288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767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24020608535046E-4"/>
          <c:y val="0"/>
          <c:w val="0.76603447717183504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GrafikaiSergVM!$W$15:$W$25</c:f>
              <c:strCache>
                <c:ptCount val="11"/>
                <c:pt idx="0">
                  <c:v>Kiti</c:v>
                </c:pt>
                <c:pt idx="1">
                  <c:v>Kitų kvėpavimo sistemos organų</c:v>
                </c:pt>
                <c:pt idx="2">
                  <c:v>Kiti odos piktybiniai navikai</c:v>
                </c:pt>
                <c:pt idx="3">
                  <c:v>Kepenų</c:v>
                </c:pt>
                <c:pt idx="4">
                  <c:v>Ne Hodžkino limfomos</c:v>
                </c:pt>
                <c:pt idx="5">
                  <c:v>Kitų virškinimo sistemos organų</c:v>
                </c:pt>
                <c:pt idx="6">
                  <c:v>Inkstų</c:v>
                </c:pt>
                <c:pt idx="7">
                  <c:v>Hodžkino limfomos</c:v>
                </c:pt>
                <c:pt idx="8">
                  <c:v>Kaulų ir jungiamojo audinio</c:v>
                </c:pt>
                <c:pt idx="9">
                  <c:v>Smegenų</c:v>
                </c:pt>
                <c:pt idx="10">
                  <c:v>Leukemijos</c:v>
                </c:pt>
              </c:strCache>
            </c:strRef>
          </c:cat>
          <c:val>
            <c:numRef>
              <c:f>GrafikaiSergVM!$Y$15:$Y$25</c:f>
              <c:numCache>
                <c:formatCode>0%</c:formatCode>
                <c:ptCount val="11"/>
                <c:pt idx="0">
                  <c:v>0.109375</c:v>
                </c:pt>
                <c:pt idx="1">
                  <c:v>1.5625E-2</c:v>
                </c:pt>
                <c:pt idx="2">
                  <c:v>3.125E-2</c:v>
                </c:pt>
                <c:pt idx="3">
                  <c:v>4.6875E-2</c:v>
                </c:pt>
                <c:pt idx="4">
                  <c:v>4.6875E-2</c:v>
                </c:pt>
                <c:pt idx="5">
                  <c:v>6.25E-2</c:v>
                </c:pt>
                <c:pt idx="6">
                  <c:v>6.25E-2</c:v>
                </c:pt>
                <c:pt idx="7">
                  <c:v>7.8125E-2</c:v>
                </c:pt>
                <c:pt idx="8">
                  <c:v>0.109375</c:v>
                </c:pt>
                <c:pt idx="9">
                  <c:v>0.125</c:v>
                </c:pt>
                <c:pt idx="10">
                  <c:v>0.3125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D-40B0-B11D-5E314ED7B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48115072"/>
        <c:axId val="48120960"/>
      </c:barChart>
      <c:catAx>
        <c:axId val="481150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4812096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8120960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48115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715012475292443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GrafikaiMirtVM!$AA$67:$AA$77</c:f>
              <c:numCache>
                <c:formatCode>General</c:formatCode>
                <c:ptCount val="11"/>
              </c:numCache>
            </c:numRef>
          </c:cat>
          <c:val>
            <c:numRef>
              <c:f>GrafikaiMirtVM!$AC$67:$AC$77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3148-4897-B05F-8B873380D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704576"/>
        <c:axId val="97722752"/>
      </c:barChart>
      <c:catAx>
        <c:axId val="97704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772275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7722752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7704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29662032986623"/>
          <c:h val="0.998316172016959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GrafikaiMirtVM!$W$67:$W$77</c:f>
              <c:numCache>
                <c:formatCode>General</c:formatCode>
                <c:ptCount val="11"/>
              </c:numCache>
            </c:numRef>
          </c:cat>
          <c:val>
            <c:numRef>
              <c:f>GrafikaiMirtVM!$Y$67:$Y$77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8D03-4919-86B4-CB6274734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742848"/>
        <c:axId val="97744384"/>
      </c:barChart>
      <c:catAx>
        <c:axId val="97742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774438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7744384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7742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812578983182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GrafikaiMirtVM!$W$2:$W$12</c:f>
              <c:strCache>
                <c:ptCount val="11"/>
                <c:pt idx="0">
                  <c:v>Kiti</c:v>
                </c:pt>
                <c:pt idx="1">
                  <c:v>Smegenų</c:v>
                </c:pt>
                <c:pt idx="2">
                  <c:v>Leukemijos</c:v>
                </c:pt>
                <c:pt idx="3">
                  <c:v>Nepatikslintos lokalizacijos</c:v>
                </c:pt>
                <c:pt idx="4">
                  <c:v>Tiesiosios žarnos, išangės</c:v>
                </c:pt>
                <c:pt idx="5">
                  <c:v>Kasos</c:v>
                </c:pt>
                <c:pt idx="6">
                  <c:v>Gaubtinės žarnos</c:v>
                </c:pt>
                <c:pt idx="7">
                  <c:v>Priešinės liaukos</c:v>
                </c:pt>
                <c:pt idx="8">
                  <c:v>Krūties</c:v>
                </c:pt>
                <c:pt idx="9">
                  <c:v>Skrandžio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GrafikaiMirtVM!$Y$2:$Y$12</c:f>
              <c:numCache>
                <c:formatCode>0%</c:formatCode>
                <c:ptCount val="11"/>
                <c:pt idx="0">
                  <c:v>0.32346588743488758</c:v>
                </c:pt>
                <c:pt idx="1">
                  <c:v>3.3032651505526617E-2</c:v>
                </c:pt>
                <c:pt idx="2">
                  <c:v>3.3032651505526617E-2</c:v>
                </c:pt>
                <c:pt idx="3">
                  <c:v>4.8786685300470083E-2</c:v>
                </c:pt>
                <c:pt idx="4">
                  <c:v>5.4503874984118919E-2</c:v>
                </c:pt>
                <c:pt idx="5">
                  <c:v>5.590141024012197E-2</c:v>
                </c:pt>
                <c:pt idx="6">
                  <c:v>6.4032524456866982E-2</c:v>
                </c:pt>
                <c:pt idx="7">
                  <c:v>6.7208740947783008E-2</c:v>
                </c:pt>
                <c:pt idx="8">
                  <c:v>7.2290687333248629E-2</c:v>
                </c:pt>
                <c:pt idx="9">
                  <c:v>8.1565239486723409E-2</c:v>
                </c:pt>
                <c:pt idx="10">
                  <c:v>0.16617964680472622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A-40F8-8D8E-914D31B64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780864"/>
        <c:axId val="97782400"/>
      </c:barChart>
      <c:catAx>
        <c:axId val="97780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77824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7782400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7780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603447717183504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GrafikaiMirt!$W$15:$W$25</c:f>
              <c:strCache>
                <c:ptCount val="11"/>
                <c:pt idx="8">
                  <c:v>Kaulų ir jungiamojo audinio</c:v>
                </c:pt>
                <c:pt idx="9">
                  <c:v>Kepenų</c:v>
                </c:pt>
                <c:pt idx="10">
                  <c:v>Smegenų</c:v>
                </c:pt>
              </c:strCache>
            </c:strRef>
          </c:cat>
          <c:val>
            <c:numRef>
              <c:f>GrafikaiMirt!$Y$15:$Y$25</c:f>
              <c:numCache>
                <c:formatCode>General</c:formatCode>
                <c:ptCount val="11"/>
                <c:pt idx="8" formatCode="0%">
                  <c:v>0.2</c:v>
                </c:pt>
                <c:pt idx="9" formatCode="0%">
                  <c:v>0.4</c:v>
                </c:pt>
                <c:pt idx="10" formatCode="0%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B-483E-9163-037EECC6B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979392"/>
        <c:axId val="98022144"/>
      </c:barChart>
      <c:catAx>
        <c:axId val="97979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02214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022144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797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1675813250625E-4"/>
          <c:y val="0"/>
          <c:w val="0.76583105996854928"/>
          <c:h val="0.999950535029275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GrafikaiMirt!$W$28:$W$38</c:f>
              <c:strCache>
                <c:ptCount val="11"/>
                <c:pt idx="0">
                  <c:v>Kiti</c:v>
                </c:pt>
                <c:pt idx="1">
                  <c:v>Tiesiosios žarnos, išangės</c:v>
                </c:pt>
                <c:pt idx="2">
                  <c:v>Plaučių, trachėjos, bronchų</c:v>
                </c:pt>
                <c:pt idx="3">
                  <c:v>Odos melanoma</c:v>
                </c:pt>
                <c:pt idx="4">
                  <c:v>Priešinės liaukos</c:v>
                </c:pt>
                <c:pt idx="5">
                  <c:v>Nepatikslintos lokalizacijos</c:v>
                </c:pt>
                <c:pt idx="6">
                  <c:v>Hodžkino limfomos</c:v>
                </c:pt>
                <c:pt idx="7">
                  <c:v>Skrandžio</c:v>
                </c:pt>
                <c:pt idx="8">
                  <c:v>Kaulų ir jungiamojo audinio</c:v>
                </c:pt>
                <c:pt idx="9">
                  <c:v>Smegenų</c:v>
                </c:pt>
                <c:pt idx="10">
                  <c:v>Leukemijos</c:v>
                </c:pt>
              </c:strCache>
            </c:strRef>
          </c:cat>
          <c:val>
            <c:numRef>
              <c:f>GrafikaiMirt!$Y$28:$Y$38</c:f>
              <c:numCache>
                <c:formatCode>0%</c:formatCode>
                <c:ptCount val="11"/>
                <c:pt idx="0">
                  <c:v>0</c:v>
                </c:pt>
                <c:pt idx="1">
                  <c:v>5.8823529411764705E-2</c:v>
                </c:pt>
                <c:pt idx="2">
                  <c:v>5.8823529411764705E-2</c:v>
                </c:pt>
                <c:pt idx="3">
                  <c:v>5.8823529411764705E-2</c:v>
                </c:pt>
                <c:pt idx="4">
                  <c:v>5.8823529411764705E-2</c:v>
                </c:pt>
                <c:pt idx="5">
                  <c:v>5.8823529411764705E-2</c:v>
                </c:pt>
                <c:pt idx="6">
                  <c:v>5.8823529411764705E-2</c:v>
                </c:pt>
                <c:pt idx="7">
                  <c:v>0.11764705882352941</c:v>
                </c:pt>
                <c:pt idx="8">
                  <c:v>0.11764705882352941</c:v>
                </c:pt>
                <c:pt idx="9">
                  <c:v>0.17647058823529413</c:v>
                </c:pt>
                <c:pt idx="10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A-4D53-8222-53B5B6290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517376"/>
        <c:axId val="98518912"/>
      </c:barChart>
      <c:catAx>
        <c:axId val="98517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85189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518912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517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19239557627272E-4"/>
          <c:y val="0"/>
          <c:w val="0.7683053795063739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GrafikaiMirt!$W$41:$W$51</c:f>
              <c:strCache>
                <c:ptCount val="11"/>
                <c:pt idx="0">
                  <c:v>Kiti</c:v>
                </c:pt>
                <c:pt idx="1">
                  <c:v>Kepenų</c:v>
                </c:pt>
                <c:pt idx="2">
                  <c:v>Inkstų</c:v>
                </c:pt>
                <c:pt idx="3">
                  <c:v>Nepatikslintos lokalizacijos</c:v>
                </c:pt>
                <c:pt idx="4">
                  <c:v>Gerklų</c:v>
                </c:pt>
                <c:pt idx="5">
                  <c:v>Stemplės</c:v>
                </c:pt>
                <c:pt idx="6">
                  <c:v>Kasos</c:v>
                </c:pt>
                <c:pt idx="7">
                  <c:v>Smegenų</c:v>
                </c:pt>
                <c:pt idx="8">
                  <c:v>Burnos ertmės ir ryklės</c:v>
                </c:pt>
                <c:pt idx="9">
                  <c:v>Skrandžio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GrafikaiMirt!$Y$41:$Y$51</c:f>
              <c:numCache>
                <c:formatCode>0%</c:formatCode>
                <c:ptCount val="11"/>
                <c:pt idx="0">
                  <c:v>0.2286902286902287</c:v>
                </c:pt>
                <c:pt idx="1">
                  <c:v>2.9106029106029108E-2</c:v>
                </c:pt>
                <c:pt idx="2">
                  <c:v>3.7422037422037424E-2</c:v>
                </c:pt>
                <c:pt idx="3">
                  <c:v>3.9501039501039503E-2</c:v>
                </c:pt>
                <c:pt idx="4">
                  <c:v>4.9896049896049899E-2</c:v>
                </c:pt>
                <c:pt idx="5">
                  <c:v>5.8212058212058215E-2</c:v>
                </c:pt>
                <c:pt idx="6">
                  <c:v>6.8607068607068611E-2</c:v>
                </c:pt>
                <c:pt idx="7">
                  <c:v>7.2765072765072769E-2</c:v>
                </c:pt>
                <c:pt idx="8">
                  <c:v>9.1476091476091481E-2</c:v>
                </c:pt>
                <c:pt idx="9">
                  <c:v>0.1392931392931393</c:v>
                </c:pt>
                <c:pt idx="10">
                  <c:v>0.18503118503118504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6-4050-AF04-A4C092D43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543104"/>
        <c:axId val="98544640"/>
      </c:barChart>
      <c:catAx>
        <c:axId val="98543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5446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544640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543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44729593985939"/>
          <c:h val="0.999396325459317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GrafikaiMirt!$W$54:$W$64</c:f>
              <c:strCache>
                <c:ptCount val="11"/>
                <c:pt idx="0">
                  <c:v>Kiti</c:v>
                </c:pt>
                <c:pt idx="1">
                  <c:v>Inkstų</c:v>
                </c:pt>
                <c:pt idx="2">
                  <c:v>Stemplės</c:v>
                </c:pt>
                <c:pt idx="3">
                  <c:v>Nepatikslintos lokalizacijos</c:v>
                </c:pt>
                <c:pt idx="4">
                  <c:v>Tiesiosios žarnos, išangės</c:v>
                </c:pt>
                <c:pt idx="5">
                  <c:v>Gaubtinės žarnos</c:v>
                </c:pt>
                <c:pt idx="6">
                  <c:v>Kasos</c:v>
                </c:pt>
                <c:pt idx="7">
                  <c:v>Burnos ertmės ir ryklės</c:v>
                </c:pt>
                <c:pt idx="8">
                  <c:v>Priešinės liaukos</c:v>
                </c:pt>
                <c:pt idx="9">
                  <c:v>Skrandžio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GrafikaiMirt!$Y$54:$Y$64</c:f>
              <c:numCache>
                <c:formatCode>0%</c:formatCode>
                <c:ptCount val="11"/>
                <c:pt idx="0">
                  <c:v>0.19388646288209607</c:v>
                </c:pt>
                <c:pt idx="1">
                  <c:v>3.7554585152838431E-2</c:v>
                </c:pt>
                <c:pt idx="2">
                  <c:v>4.4541484716157202E-2</c:v>
                </c:pt>
                <c:pt idx="3">
                  <c:v>4.5851528384279479E-2</c:v>
                </c:pt>
                <c:pt idx="4">
                  <c:v>4.6288209606986902E-2</c:v>
                </c:pt>
                <c:pt idx="5">
                  <c:v>5.1528384279475981E-2</c:v>
                </c:pt>
                <c:pt idx="6">
                  <c:v>5.458515283842795E-2</c:v>
                </c:pt>
                <c:pt idx="7">
                  <c:v>6.1572052401746728E-2</c:v>
                </c:pt>
                <c:pt idx="8">
                  <c:v>8.3842794759825326E-2</c:v>
                </c:pt>
                <c:pt idx="9">
                  <c:v>8.4716157205240172E-2</c:v>
                </c:pt>
                <c:pt idx="10">
                  <c:v>0.29563318777292574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C-497C-B495-509F8C370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560640"/>
        <c:axId val="98066816"/>
      </c:barChart>
      <c:catAx>
        <c:axId val="98560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066816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98066816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56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42712912419681E-4"/>
          <c:y val="0"/>
          <c:w val="0.76605197498460842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GrafikaiMirt!$AA$2:$AA$12</c:f>
              <c:strCache>
                <c:ptCount val="11"/>
                <c:pt idx="0">
                  <c:v>Kiti</c:v>
                </c:pt>
                <c:pt idx="1">
                  <c:v>Gimdos kūno</c:v>
                </c:pt>
                <c:pt idx="2">
                  <c:v>Gimdos kaklelio</c:v>
                </c:pt>
                <c:pt idx="3">
                  <c:v>Nepatikslintos lokalizacijos</c:v>
                </c:pt>
                <c:pt idx="4">
                  <c:v>Tiesiosios žarnos, išangės</c:v>
                </c:pt>
                <c:pt idx="5">
                  <c:v>Kasos</c:v>
                </c:pt>
                <c:pt idx="6">
                  <c:v>Skrandžio</c:v>
                </c:pt>
                <c:pt idx="7">
                  <c:v>Kiaušidžių</c:v>
                </c:pt>
                <c:pt idx="8">
                  <c:v>Plaučių, trachėjos, bronchų</c:v>
                </c:pt>
                <c:pt idx="9">
                  <c:v>Gaubtinės žarnos</c:v>
                </c:pt>
                <c:pt idx="10">
                  <c:v>Krūties</c:v>
                </c:pt>
              </c:strCache>
            </c:strRef>
          </c:cat>
          <c:val>
            <c:numRef>
              <c:f>GrafikaiMirt!$AC$2:$AC$12</c:f>
              <c:numCache>
                <c:formatCode>0%</c:formatCode>
                <c:ptCount val="11"/>
                <c:pt idx="0">
                  <c:v>0.29031347077096864</c:v>
                </c:pt>
                <c:pt idx="1">
                  <c:v>4.4620163795537987E-2</c:v>
                </c:pt>
                <c:pt idx="2">
                  <c:v>5.111550409488845E-2</c:v>
                </c:pt>
                <c:pt idx="3">
                  <c:v>5.4786783394521324E-2</c:v>
                </c:pt>
                <c:pt idx="4">
                  <c:v>5.7328438294267155E-2</c:v>
                </c:pt>
                <c:pt idx="5">
                  <c:v>6.0152499293984751E-2</c:v>
                </c:pt>
                <c:pt idx="6">
                  <c:v>6.9471900593052804E-2</c:v>
                </c:pt>
                <c:pt idx="7">
                  <c:v>7.0319118892968088E-2</c:v>
                </c:pt>
                <c:pt idx="8">
                  <c:v>7.0601524992939854E-2</c:v>
                </c:pt>
                <c:pt idx="9">
                  <c:v>7.173114939282689E-2</c:v>
                </c:pt>
                <c:pt idx="10">
                  <c:v>0.15955944648404405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9-43BF-843F-5ADD81C06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086912"/>
        <c:axId val="98088448"/>
      </c:barChart>
      <c:catAx>
        <c:axId val="98086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08844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08844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086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518839360557497E-3"/>
          <c:y val="3.0351975233864291E-4"/>
          <c:w val="0.76795995983281173"/>
          <c:h val="0.998128407026044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GrafikaiMirt!$AA$15:$AA$25</c:f>
              <c:strCache>
                <c:ptCount val="11"/>
                <c:pt idx="7">
                  <c:v>Kepenų</c:v>
                </c:pt>
                <c:pt idx="8">
                  <c:v>Kitų virškinimo sistemos organų</c:v>
                </c:pt>
                <c:pt idx="9">
                  <c:v>Kaulų ir jungiamojo audinio</c:v>
                </c:pt>
                <c:pt idx="10">
                  <c:v>Smegenų</c:v>
                </c:pt>
              </c:strCache>
            </c:strRef>
          </c:cat>
          <c:val>
            <c:numRef>
              <c:f>GrafikaiMirt!$AC$15:$AC$25</c:f>
              <c:numCache>
                <c:formatCode>General</c:formatCode>
                <c:ptCount val="11"/>
                <c:pt idx="7" formatCode="0%">
                  <c:v>0.14285714285714285</c:v>
                </c:pt>
                <c:pt idx="8" formatCode="0%">
                  <c:v>0.14285714285714285</c:v>
                </c:pt>
                <c:pt idx="9" formatCode="0%">
                  <c:v>0.2857142857142857</c:v>
                </c:pt>
                <c:pt idx="10" formatCode="0%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3-4608-8788-2425F0D46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579968"/>
        <c:axId val="98581504"/>
      </c:barChart>
      <c:catAx>
        <c:axId val="98579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58150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581504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8579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GrafikaiMirt!$AA$28:$AA$38</c:f>
              <c:strCache>
                <c:ptCount val="11"/>
                <c:pt idx="0">
                  <c:v>Kiti</c:v>
                </c:pt>
                <c:pt idx="1">
                  <c:v>Skrandžio</c:v>
                </c:pt>
                <c:pt idx="2">
                  <c:v>Plaučių, trachėjos, bronchų</c:v>
                </c:pt>
                <c:pt idx="3">
                  <c:v>Odos melanoma</c:v>
                </c:pt>
                <c:pt idx="4">
                  <c:v>Krūties</c:v>
                </c:pt>
                <c:pt idx="5">
                  <c:v>Kitų endokrininių liaukų</c:v>
                </c:pt>
                <c:pt idx="6">
                  <c:v>Nepatikslintos lokalizacijos</c:v>
                </c:pt>
                <c:pt idx="7">
                  <c:v>Ne Hodžkino limfomos</c:v>
                </c:pt>
                <c:pt idx="8">
                  <c:v>Gimdos kaklelio</c:v>
                </c:pt>
                <c:pt idx="9">
                  <c:v>Kaulų ir jungiamojo audinio</c:v>
                </c:pt>
                <c:pt idx="10">
                  <c:v>Smegenų</c:v>
                </c:pt>
              </c:strCache>
            </c:strRef>
          </c:cat>
          <c:val>
            <c:numRef>
              <c:f>GrafikaiMirt!$AC$28:$AC$38</c:f>
              <c:numCache>
                <c:formatCode>0%</c:formatCode>
                <c:ptCount val="11"/>
                <c:pt idx="0">
                  <c:v>5.5555555555555552E-2</c:v>
                </c:pt>
                <c:pt idx="1">
                  <c:v>5.5555555555555552E-2</c:v>
                </c:pt>
                <c:pt idx="2">
                  <c:v>5.5555555555555552E-2</c:v>
                </c:pt>
                <c:pt idx="3">
                  <c:v>5.5555555555555552E-2</c:v>
                </c:pt>
                <c:pt idx="4">
                  <c:v>5.5555555555555552E-2</c:v>
                </c:pt>
                <c:pt idx="5">
                  <c:v>5.5555555555555552E-2</c:v>
                </c:pt>
                <c:pt idx="6">
                  <c:v>5.5555555555555552E-2</c:v>
                </c:pt>
                <c:pt idx="7">
                  <c:v>5.5555555555555552E-2</c:v>
                </c:pt>
                <c:pt idx="8">
                  <c:v>0.1111111111111111</c:v>
                </c:pt>
                <c:pt idx="9">
                  <c:v>0.22222222222222221</c:v>
                </c:pt>
                <c:pt idx="1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B-4C38-877B-AC8B94686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613888"/>
        <c:axId val="98619776"/>
      </c:barChart>
      <c:catAx>
        <c:axId val="98613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61977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619776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613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1675813250625E-4"/>
          <c:y val="0"/>
          <c:w val="0.76583105996854928"/>
          <c:h val="0.999950535029275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GrafikaiSergVM!$W$28:$W$38</c:f>
              <c:strCache>
                <c:ptCount val="11"/>
                <c:pt idx="0">
                  <c:v>Kiti</c:v>
                </c:pt>
                <c:pt idx="1">
                  <c:v>Kaulų ir jungiamojo audinio</c:v>
                </c:pt>
                <c:pt idx="2">
                  <c:v>Gimdos kaklelio</c:v>
                </c:pt>
                <c:pt idx="3">
                  <c:v>Ne Hodžkino limfomos</c:v>
                </c:pt>
                <c:pt idx="4">
                  <c:v>Leukemijos</c:v>
                </c:pt>
                <c:pt idx="5">
                  <c:v>Krūties</c:v>
                </c:pt>
                <c:pt idx="6">
                  <c:v>Sėklidžių</c:v>
                </c:pt>
                <c:pt idx="7">
                  <c:v>Kiti odos piktybiniai navikai</c:v>
                </c:pt>
                <c:pt idx="8">
                  <c:v>Skydliaukės</c:v>
                </c:pt>
                <c:pt idx="9">
                  <c:v>Hodžkino limfomos</c:v>
                </c:pt>
                <c:pt idx="10">
                  <c:v>Smegenų</c:v>
                </c:pt>
              </c:strCache>
            </c:strRef>
          </c:cat>
          <c:val>
            <c:numRef>
              <c:f>GrafikaiSergVM!$Y$28:$Y$38</c:f>
              <c:numCache>
                <c:formatCode>0%</c:formatCode>
                <c:ptCount val="11"/>
                <c:pt idx="0">
                  <c:v>0.20967741935483872</c:v>
                </c:pt>
                <c:pt idx="1">
                  <c:v>4.3010752688172046E-2</c:v>
                </c:pt>
                <c:pt idx="2">
                  <c:v>5.3763440860215055E-2</c:v>
                </c:pt>
                <c:pt idx="3">
                  <c:v>6.4516129032258063E-2</c:v>
                </c:pt>
                <c:pt idx="4">
                  <c:v>6.4516129032258063E-2</c:v>
                </c:pt>
                <c:pt idx="5">
                  <c:v>6.9892473118279563E-2</c:v>
                </c:pt>
                <c:pt idx="6">
                  <c:v>8.0645161290322578E-2</c:v>
                </c:pt>
                <c:pt idx="7">
                  <c:v>8.6021505376344093E-2</c:v>
                </c:pt>
                <c:pt idx="8">
                  <c:v>0.10215053763440861</c:v>
                </c:pt>
                <c:pt idx="9">
                  <c:v>0.10752688172043011</c:v>
                </c:pt>
                <c:pt idx="10">
                  <c:v>0.11827956989247312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A-4EFF-87A2-D191D5AD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48145152"/>
        <c:axId val="48146688"/>
      </c:barChart>
      <c:catAx>
        <c:axId val="48145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14668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814668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4814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GrafikaiMirt!$AA$41:$AA$51</c:f>
              <c:strCache>
                <c:ptCount val="11"/>
                <c:pt idx="0">
                  <c:v>Kiti</c:v>
                </c:pt>
                <c:pt idx="1">
                  <c:v>Gaubtinės žarnos</c:v>
                </c:pt>
                <c:pt idx="2">
                  <c:v>Nepatikslintos lokalizacijos</c:v>
                </c:pt>
                <c:pt idx="3">
                  <c:v>Leukemijos</c:v>
                </c:pt>
                <c:pt idx="4">
                  <c:v>Tiesiosios žarnos, išangės</c:v>
                </c:pt>
                <c:pt idx="5">
                  <c:v>Skrandžio</c:v>
                </c:pt>
                <c:pt idx="6">
                  <c:v>Plaučių, trachėjos, bronchų</c:v>
                </c:pt>
                <c:pt idx="7">
                  <c:v>Smegenų</c:v>
                </c:pt>
                <c:pt idx="8">
                  <c:v>Kiaušidžių</c:v>
                </c:pt>
                <c:pt idx="9">
                  <c:v>Gimdos kaklelio</c:v>
                </c:pt>
                <c:pt idx="10">
                  <c:v>Krūties</c:v>
                </c:pt>
              </c:strCache>
            </c:strRef>
          </c:cat>
          <c:val>
            <c:numRef>
              <c:f>GrafikaiMirt!$AC$41:$AC$51</c:f>
              <c:numCache>
                <c:formatCode>0%</c:formatCode>
                <c:ptCount val="11"/>
                <c:pt idx="0">
                  <c:v>0.18309859154929578</c:v>
                </c:pt>
                <c:pt idx="1">
                  <c:v>3.0516431924882629E-2</c:v>
                </c:pt>
                <c:pt idx="2">
                  <c:v>3.5211267605633804E-2</c:v>
                </c:pt>
                <c:pt idx="3">
                  <c:v>3.9906103286384977E-2</c:v>
                </c:pt>
                <c:pt idx="4">
                  <c:v>4.6948356807511735E-2</c:v>
                </c:pt>
                <c:pt idx="5">
                  <c:v>5.39906103286385E-2</c:v>
                </c:pt>
                <c:pt idx="6">
                  <c:v>5.6338028169014086E-2</c:v>
                </c:pt>
                <c:pt idx="7">
                  <c:v>7.5117370892018781E-2</c:v>
                </c:pt>
                <c:pt idx="8">
                  <c:v>0.11502347417840375</c:v>
                </c:pt>
                <c:pt idx="9">
                  <c:v>0.14553990610328638</c:v>
                </c:pt>
                <c:pt idx="10">
                  <c:v>0.21830985915492956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2-4740-8E63-4DE830B55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328576"/>
        <c:axId val="98330112"/>
      </c:barChart>
      <c:catAx>
        <c:axId val="98328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3301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330112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328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3598392793493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GrafikaiMirt!$AA$54:$AA$64</c:f>
              <c:strCache>
                <c:ptCount val="11"/>
                <c:pt idx="0">
                  <c:v>Kiti</c:v>
                </c:pt>
                <c:pt idx="1">
                  <c:v>Gimdos kaklelio</c:v>
                </c:pt>
                <c:pt idx="2">
                  <c:v>Tiesiosios žarnos, išangės</c:v>
                </c:pt>
                <c:pt idx="3">
                  <c:v>Nepatikslintos lokalizacijos</c:v>
                </c:pt>
                <c:pt idx="4">
                  <c:v>Gimdos kūno</c:v>
                </c:pt>
                <c:pt idx="5">
                  <c:v>Skrandžio</c:v>
                </c:pt>
                <c:pt idx="6">
                  <c:v>Gaubtinės žarnos</c:v>
                </c:pt>
                <c:pt idx="7">
                  <c:v>Kasos</c:v>
                </c:pt>
                <c:pt idx="8">
                  <c:v>Kiaušidžių</c:v>
                </c:pt>
                <c:pt idx="9">
                  <c:v>Plaučių, trachėjos, bronchų</c:v>
                </c:pt>
                <c:pt idx="10">
                  <c:v>Krūties</c:v>
                </c:pt>
              </c:strCache>
            </c:strRef>
          </c:cat>
          <c:val>
            <c:numRef>
              <c:f>GrafikaiMirt!$AC$54:$AC$64</c:f>
              <c:numCache>
                <c:formatCode>0%</c:formatCode>
                <c:ptCount val="11"/>
                <c:pt idx="0">
                  <c:v>0.27202797202797202</c:v>
                </c:pt>
                <c:pt idx="1">
                  <c:v>4.9650349650349652E-2</c:v>
                </c:pt>
                <c:pt idx="2">
                  <c:v>5.1048951048951047E-2</c:v>
                </c:pt>
                <c:pt idx="3">
                  <c:v>5.1748251748251747E-2</c:v>
                </c:pt>
                <c:pt idx="4">
                  <c:v>5.5244755244755243E-2</c:v>
                </c:pt>
                <c:pt idx="5">
                  <c:v>5.5944055944055944E-2</c:v>
                </c:pt>
                <c:pt idx="6">
                  <c:v>5.7342657342657345E-2</c:v>
                </c:pt>
                <c:pt idx="7">
                  <c:v>6.7832167832167833E-2</c:v>
                </c:pt>
                <c:pt idx="8">
                  <c:v>7.8321678321678329E-2</c:v>
                </c:pt>
                <c:pt idx="9">
                  <c:v>8.7412587412587409E-2</c:v>
                </c:pt>
                <c:pt idx="10">
                  <c:v>0.17342657342657342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8-45CF-9A23-32971181B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346112"/>
        <c:axId val="98347648"/>
      </c:barChart>
      <c:catAx>
        <c:axId val="98346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34764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34764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346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715012475292443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GrafikaiMirt!$AA$67:$AA$77</c:f>
              <c:strCache>
                <c:ptCount val="11"/>
                <c:pt idx="0">
                  <c:v>Kiti</c:v>
                </c:pt>
                <c:pt idx="1">
                  <c:v>Gimdos kūno</c:v>
                </c:pt>
                <c:pt idx="2">
                  <c:v>Leukemijos</c:v>
                </c:pt>
                <c:pt idx="3">
                  <c:v>Kiaušidžių</c:v>
                </c:pt>
                <c:pt idx="4">
                  <c:v>Plaučių, trachėjos, bronchų</c:v>
                </c:pt>
                <c:pt idx="5">
                  <c:v>Nepatikslintos lokalizacijos</c:v>
                </c:pt>
                <c:pt idx="6">
                  <c:v>Kasos</c:v>
                </c:pt>
                <c:pt idx="7">
                  <c:v>Tiesiosios žarnos, išangės</c:v>
                </c:pt>
                <c:pt idx="8">
                  <c:v>Skrandžio</c:v>
                </c:pt>
                <c:pt idx="9">
                  <c:v>Gaubtinės žarnos</c:v>
                </c:pt>
                <c:pt idx="10">
                  <c:v>Krūties</c:v>
                </c:pt>
              </c:strCache>
            </c:strRef>
          </c:cat>
          <c:val>
            <c:numRef>
              <c:f>GrafikaiMirt!$AC$67:$AC$77</c:f>
              <c:numCache>
                <c:formatCode>0%</c:formatCode>
                <c:ptCount val="11"/>
                <c:pt idx="0">
                  <c:v>0.29457831325301204</c:v>
                </c:pt>
                <c:pt idx="1">
                  <c:v>4.0963855421686748E-2</c:v>
                </c:pt>
                <c:pt idx="2">
                  <c:v>4.2168674698795178E-2</c:v>
                </c:pt>
                <c:pt idx="3">
                  <c:v>5.3012048192771083E-2</c:v>
                </c:pt>
                <c:pt idx="4">
                  <c:v>6.0240963855421686E-2</c:v>
                </c:pt>
                <c:pt idx="5">
                  <c:v>6.2650602409638559E-2</c:v>
                </c:pt>
                <c:pt idx="6">
                  <c:v>6.445783132530121E-2</c:v>
                </c:pt>
                <c:pt idx="7">
                  <c:v>6.6265060240963861E-2</c:v>
                </c:pt>
                <c:pt idx="8">
                  <c:v>8.5542168674698799E-2</c:v>
                </c:pt>
                <c:pt idx="9">
                  <c:v>9.5783132530120482E-2</c:v>
                </c:pt>
                <c:pt idx="10">
                  <c:v>0.13433734939759037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6-4044-A0FE-495599A23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384128"/>
        <c:axId val="98385920"/>
      </c:barChart>
      <c:catAx>
        <c:axId val="98384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38592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385920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384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29662032986623"/>
          <c:h val="0.998316172016959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GrafikaiMirt!$W$67:$W$77</c:f>
              <c:strCache>
                <c:ptCount val="11"/>
                <c:pt idx="0">
                  <c:v>Kiti</c:v>
                </c:pt>
                <c:pt idx="1">
                  <c:v>Leukemijos</c:v>
                </c:pt>
                <c:pt idx="2">
                  <c:v>Inkstų</c:v>
                </c:pt>
                <c:pt idx="3">
                  <c:v>Nepatikslintos lokalizacijos</c:v>
                </c:pt>
                <c:pt idx="4">
                  <c:v>Kasos</c:v>
                </c:pt>
                <c:pt idx="5">
                  <c:v>Šlapimo pūslės</c:v>
                </c:pt>
                <c:pt idx="6">
                  <c:v>Tiesiosios žarnos, išangės</c:v>
                </c:pt>
                <c:pt idx="7">
                  <c:v>Gaubtinės žarnos</c:v>
                </c:pt>
                <c:pt idx="8">
                  <c:v>Skrandžio</c:v>
                </c:pt>
                <c:pt idx="9">
                  <c:v>Plaučių, trachėjos, bronchų</c:v>
                </c:pt>
                <c:pt idx="10">
                  <c:v>Priešinės liaukos</c:v>
                </c:pt>
              </c:strCache>
            </c:strRef>
          </c:cat>
          <c:val>
            <c:numRef>
              <c:f>GrafikaiMirt!$Y$67:$Y$77</c:f>
              <c:numCache>
                <c:formatCode>0%</c:formatCode>
                <c:ptCount val="11"/>
                <c:pt idx="0">
                  <c:v>0.15549772283669486</c:v>
                </c:pt>
                <c:pt idx="1">
                  <c:v>3.2530904359141181E-2</c:v>
                </c:pt>
                <c:pt idx="2">
                  <c:v>3.9037085230969423E-2</c:v>
                </c:pt>
                <c:pt idx="3">
                  <c:v>4.2290175666883541E-2</c:v>
                </c:pt>
                <c:pt idx="4">
                  <c:v>4.4892648015614836E-2</c:v>
                </c:pt>
                <c:pt idx="5">
                  <c:v>4.8796356538711776E-2</c:v>
                </c:pt>
                <c:pt idx="6">
                  <c:v>6.8965517241379309E-2</c:v>
                </c:pt>
                <c:pt idx="7">
                  <c:v>7.8074170461938847E-2</c:v>
                </c:pt>
                <c:pt idx="8">
                  <c:v>8.6532205595315548E-2</c:v>
                </c:pt>
                <c:pt idx="9">
                  <c:v>0.18932986337020169</c:v>
                </c:pt>
                <c:pt idx="10">
                  <c:v>0.21405335068314899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7-4833-9D94-97B31A007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393472"/>
        <c:axId val="98419840"/>
      </c:barChart>
      <c:catAx>
        <c:axId val="98393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4198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419840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393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812578983182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GrafikaiMirt!$W$2:$W$12</c:f>
              <c:strCache>
                <c:ptCount val="11"/>
                <c:pt idx="0">
                  <c:v>Kiti</c:v>
                </c:pt>
                <c:pt idx="1">
                  <c:v>Stemplės</c:v>
                </c:pt>
                <c:pt idx="2">
                  <c:v>Inkstų</c:v>
                </c:pt>
                <c:pt idx="3">
                  <c:v>Nepatikslintos lokalizacijos</c:v>
                </c:pt>
                <c:pt idx="4">
                  <c:v>Burnos ertmės ir ryklės</c:v>
                </c:pt>
                <c:pt idx="5">
                  <c:v>Tiesiosios žarnos, išangės</c:v>
                </c:pt>
                <c:pt idx="6">
                  <c:v>Kasos</c:v>
                </c:pt>
                <c:pt idx="7">
                  <c:v>Gaubtinės žarnos</c:v>
                </c:pt>
                <c:pt idx="8">
                  <c:v>Skrandžio</c:v>
                </c:pt>
                <c:pt idx="9">
                  <c:v>Priešinės liaukos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GrafikaiMirt!$Y$2:$Y$12</c:f>
              <c:numCache>
                <c:formatCode>0%</c:formatCode>
                <c:ptCount val="11"/>
                <c:pt idx="0">
                  <c:v>0.21362586605080833</c:v>
                </c:pt>
                <c:pt idx="1">
                  <c:v>3.6027713625866049E-2</c:v>
                </c:pt>
                <c:pt idx="2">
                  <c:v>3.7875288683602772E-2</c:v>
                </c:pt>
                <c:pt idx="3">
                  <c:v>4.3879907621247112E-2</c:v>
                </c:pt>
                <c:pt idx="4">
                  <c:v>4.8267898383371824E-2</c:v>
                </c:pt>
                <c:pt idx="5">
                  <c:v>5.2193995381062355E-2</c:v>
                </c:pt>
                <c:pt idx="6">
                  <c:v>5.2424942263279449E-2</c:v>
                </c:pt>
                <c:pt idx="7">
                  <c:v>5.7736720554272515E-2</c:v>
                </c:pt>
                <c:pt idx="8">
                  <c:v>9.1454965357967669E-2</c:v>
                </c:pt>
                <c:pt idx="9">
                  <c:v>0.12217090069284064</c:v>
                </c:pt>
                <c:pt idx="10">
                  <c:v>0.24434180138568129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D-420F-90DD-E32112404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456320"/>
        <c:axId val="98457856"/>
      </c:barChart>
      <c:catAx>
        <c:axId val="98456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45785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457856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456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42712912419681E-4"/>
          <c:y val="0"/>
          <c:w val="0.76605197498460842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GrafikaiSergVM!$AA$2:$AA$12</c:f>
              <c:strCache>
                <c:ptCount val="11"/>
                <c:pt idx="0">
                  <c:v>Kiti</c:v>
                </c:pt>
                <c:pt idx="1">
                  <c:v>Kiaušidžių</c:v>
                </c:pt>
                <c:pt idx="2">
                  <c:v>Skrandžio</c:v>
                </c:pt>
                <c:pt idx="3">
                  <c:v>Inkstų</c:v>
                </c:pt>
                <c:pt idx="4">
                  <c:v>Gimdos kūno</c:v>
                </c:pt>
                <c:pt idx="5">
                  <c:v>Plaučių, trachėjos, bronchų</c:v>
                </c:pt>
                <c:pt idx="6">
                  <c:v>Skydliaukės</c:v>
                </c:pt>
                <c:pt idx="7">
                  <c:v>Gimdos kaklelio</c:v>
                </c:pt>
                <c:pt idx="8">
                  <c:v>Kiti odos piktybiniai navikai</c:v>
                </c:pt>
                <c:pt idx="9">
                  <c:v>Priešinės liaukos</c:v>
                </c:pt>
                <c:pt idx="10">
                  <c:v>Krūties</c:v>
                </c:pt>
              </c:strCache>
            </c:strRef>
          </c:cat>
          <c:val>
            <c:numRef>
              <c:f>GrafikaiSergVM!$AC$2:$AC$12</c:f>
              <c:numCache>
                <c:formatCode>0%</c:formatCode>
                <c:ptCount val="11"/>
                <c:pt idx="0">
                  <c:v>0.31467181467181465</c:v>
                </c:pt>
                <c:pt idx="1">
                  <c:v>3.2818532818532815E-2</c:v>
                </c:pt>
                <c:pt idx="2">
                  <c:v>3.9575289575289573E-2</c:v>
                </c:pt>
                <c:pt idx="3">
                  <c:v>4.0218790218790219E-2</c:v>
                </c:pt>
                <c:pt idx="4">
                  <c:v>4.407979407979408E-2</c:v>
                </c:pt>
                <c:pt idx="5">
                  <c:v>4.72972972972973E-2</c:v>
                </c:pt>
                <c:pt idx="6">
                  <c:v>4.8584298584298587E-2</c:v>
                </c:pt>
                <c:pt idx="7">
                  <c:v>6.6280566280566278E-2</c:v>
                </c:pt>
                <c:pt idx="8">
                  <c:v>0.10231660231660232</c:v>
                </c:pt>
                <c:pt idx="9">
                  <c:v>0.10875160875160875</c:v>
                </c:pt>
                <c:pt idx="10">
                  <c:v>0.1554054054054054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4-47A1-9147-9F841CC40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51788032"/>
        <c:axId val="51802112"/>
      </c:barChart>
      <c:catAx>
        <c:axId val="51788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518021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51802112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51788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518839360557497E-3"/>
          <c:y val="3.0351975233864291E-4"/>
          <c:w val="0.76795995983281173"/>
          <c:h val="0.998128407026044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GrafikaiSergVM!$AA$15:$AA$25</c:f>
              <c:strCache>
                <c:ptCount val="11"/>
                <c:pt idx="0">
                  <c:v>Kiti</c:v>
                </c:pt>
                <c:pt idx="1">
                  <c:v>Kasos</c:v>
                </c:pt>
                <c:pt idx="2">
                  <c:v>Inkstų</c:v>
                </c:pt>
                <c:pt idx="3">
                  <c:v>Tiesiosios žarnos, išangės</c:v>
                </c:pt>
                <c:pt idx="4">
                  <c:v>Gimdos kūno</c:v>
                </c:pt>
                <c:pt idx="5">
                  <c:v>Skrandžio</c:v>
                </c:pt>
                <c:pt idx="6">
                  <c:v>Gaubtinės žarnos</c:v>
                </c:pt>
                <c:pt idx="7">
                  <c:v>Krūties</c:v>
                </c:pt>
                <c:pt idx="8">
                  <c:v>Plaučių, trachėjos, bronchų</c:v>
                </c:pt>
                <c:pt idx="9">
                  <c:v>Kiti odos piktybiniai navikai</c:v>
                </c:pt>
                <c:pt idx="10">
                  <c:v>Priešinės liaukos</c:v>
                </c:pt>
              </c:strCache>
            </c:strRef>
          </c:cat>
          <c:val>
            <c:numRef>
              <c:f>GrafikaiSergVM!$AC$15:$AC$25</c:f>
              <c:numCache>
                <c:formatCode>0%</c:formatCode>
                <c:ptCount val="11"/>
                <c:pt idx="0">
                  <c:v>0.23862304167110732</c:v>
                </c:pt>
                <c:pt idx="1">
                  <c:v>2.6217627624427156E-2</c:v>
                </c:pt>
                <c:pt idx="2">
                  <c:v>3.570286688692316E-2</c:v>
                </c:pt>
                <c:pt idx="3">
                  <c:v>3.708835127357988E-2</c:v>
                </c:pt>
                <c:pt idx="4">
                  <c:v>3.8793562826388149E-2</c:v>
                </c:pt>
                <c:pt idx="5">
                  <c:v>4.1138228711499518E-2</c:v>
                </c:pt>
                <c:pt idx="6">
                  <c:v>4.7532772034530532E-2</c:v>
                </c:pt>
                <c:pt idx="7">
                  <c:v>7.9398912927635082E-2</c:v>
                </c:pt>
                <c:pt idx="8">
                  <c:v>9.218799957369711E-2</c:v>
                </c:pt>
                <c:pt idx="9">
                  <c:v>0.1154215069807098</c:v>
                </c:pt>
                <c:pt idx="10">
                  <c:v>0.24789512948950229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0-4513-9ED9-88A6873F4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51822592"/>
        <c:axId val="51824128"/>
      </c:barChart>
      <c:catAx>
        <c:axId val="51822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5182412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5182412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51822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GrafikaiSergVM!$AA$28:$AA$38</c:f>
              <c:strCache>
                <c:ptCount val="11"/>
                <c:pt idx="0">
                  <c:v>Kiti</c:v>
                </c:pt>
                <c:pt idx="1">
                  <c:v>Leukemijos</c:v>
                </c:pt>
                <c:pt idx="2">
                  <c:v>Kasos</c:v>
                </c:pt>
                <c:pt idx="3">
                  <c:v>Nepatikslintos lokalizacijos</c:v>
                </c:pt>
                <c:pt idx="4">
                  <c:v>Tiesiosios žarnos, išangės</c:v>
                </c:pt>
                <c:pt idx="5">
                  <c:v>Krūties</c:v>
                </c:pt>
                <c:pt idx="6">
                  <c:v>Skrandžio</c:v>
                </c:pt>
                <c:pt idx="7">
                  <c:v>Gaubtinės žarnos</c:v>
                </c:pt>
                <c:pt idx="8">
                  <c:v>Plaučių, trachėjos, bronchų</c:v>
                </c:pt>
                <c:pt idx="9">
                  <c:v>Priešinės liaukos</c:v>
                </c:pt>
                <c:pt idx="10">
                  <c:v>Kiti odos piktybiniai navikai</c:v>
                </c:pt>
              </c:strCache>
            </c:strRef>
          </c:cat>
          <c:val>
            <c:numRef>
              <c:f>GrafikaiSergVM!$AC$28:$AC$38</c:f>
              <c:numCache>
                <c:formatCode>0%</c:formatCode>
                <c:ptCount val="11"/>
                <c:pt idx="0">
                  <c:v>0.26894385551629368</c:v>
                </c:pt>
                <c:pt idx="1">
                  <c:v>3.4746760895170786E-2</c:v>
                </c:pt>
                <c:pt idx="2">
                  <c:v>3.5728307813113466E-2</c:v>
                </c:pt>
                <c:pt idx="3">
                  <c:v>4.0243423635649783E-2</c:v>
                </c:pt>
                <c:pt idx="4">
                  <c:v>5.1433058500196312E-2</c:v>
                </c:pt>
                <c:pt idx="5">
                  <c:v>5.9481743227326266E-2</c:v>
                </c:pt>
                <c:pt idx="6">
                  <c:v>6.5174715351393797E-2</c:v>
                </c:pt>
                <c:pt idx="7">
                  <c:v>7.2830781311346682E-2</c:v>
                </c:pt>
                <c:pt idx="8">
                  <c:v>8.3038869257950523E-2</c:v>
                </c:pt>
                <c:pt idx="9">
                  <c:v>0.10954063604240283</c:v>
                </c:pt>
                <c:pt idx="10">
                  <c:v>0.17883784844915587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E-4B20-B75B-8A8CCCE14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68625152"/>
        <c:axId val="68626688"/>
      </c:barChart>
      <c:catAx>
        <c:axId val="68625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6862668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862668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862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812578983182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EECE1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GrafikaiSergVM!$W$2:$W$12</c:f>
              <c:strCache>
                <c:ptCount val="11"/>
                <c:pt idx="0">
                  <c:v>Kiti</c:v>
                </c:pt>
                <c:pt idx="1">
                  <c:v>Kasos</c:v>
                </c:pt>
                <c:pt idx="2">
                  <c:v>Inkstų</c:v>
                </c:pt>
                <c:pt idx="3">
                  <c:v>Gimdos kūno</c:v>
                </c:pt>
                <c:pt idx="4">
                  <c:v>Tiesiosios žarnos, išangės</c:v>
                </c:pt>
                <c:pt idx="5">
                  <c:v>Skrandžio</c:v>
                </c:pt>
                <c:pt idx="6">
                  <c:v>Gaubtinės žarnos</c:v>
                </c:pt>
                <c:pt idx="7">
                  <c:v>Plaučių, trachėjos, bronchų</c:v>
                </c:pt>
                <c:pt idx="8">
                  <c:v>Krūties</c:v>
                </c:pt>
                <c:pt idx="9">
                  <c:v>Kiti odos piktybiniai navikai</c:v>
                </c:pt>
                <c:pt idx="10">
                  <c:v>Priešinės liaukos</c:v>
                </c:pt>
              </c:strCache>
            </c:strRef>
          </c:cat>
          <c:val>
            <c:numRef>
              <c:f>GrafikaiSergVM!$Y$2:$Y$12</c:f>
              <c:numCache>
                <c:formatCode>0%</c:formatCode>
                <c:ptCount val="11"/>
                <c:pt idx="0">
                  <c:v>0.28376787216148025</c:v>
                </c:pt>
                <c:pt idx="1">
                  <c:v>2.7978693580039248E-2</c:v>
                </c:pt>
                <c:pt idx="2">
                  <c:v>3.5548079618727219E-2</c:v>
                </c:pt>
                <c:pt idx="3">
                  <c:v>3.5940566302214746E-2</c:v>
                </c:pt>
                <c:pt idx="4">
                  <c:v>3.9809363610877488E-2</c:v>
                </c:pt>
                <c:pt idx="5">
                  <c:v>4.7322680123352959E-2</c:v>
                </c:pt>
                <c:pt idx="6">
                  <c:v>5.1135407905803197E-2</c:v>
                </c:pt>
                <c:pt idx="7">
                  <c:v>8.0571909167367534E-2</c:v>
                </c:pt>
                <c:pt idx="8">
                  <c:v>8.6571348472105417E-2</c:v>
                </c:pt>
                <c:pt idx="9">
                  <c:v>0.13064199607513316</c:v>
                </c:pt>
                <c:pt idx="10">
                  <c:v>0.18071208298289879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C-4055-8D0E-500F9A6FA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68679168"/>
        <c:axId val="68680704"/>
      </c:barChart>
      <c:catAx>
        <c:axId val="68679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6868070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8680704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86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603447717183504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GrafikaiSerg!$W$15:$W$25</c:f>
              <c:strCache>
                <c:ptCount val="11"/>
                <c:pt idx="0">
                  <c:v>Kiti</c:v>
                </c:pt>
                <c:pt idx="1">
                  <c:v>Kitų virškinimo sistemos organų</c:v>
                </c:pt>
                <c:pt idx="2">
                  <c:v>Odos melanoma</c:v>
                </c:pt>
                <c:pt idx="3">
                  <c:v>Sėklidžių</c:v>
                </c:pt>
                <c:pt idx="4">
                  <c:v>Kitų lyties organų</c:v>
                </c:pt>
                <c:pt idx="5">
                  <c:v>Kepenų</c:v>
                </c:pt>
                <c:pt idx="6">
                  <c:v>Smegenų</c:v>
                </c:pt>
                <c:pt idx="7">
                  <c:v>Kaulų ir jungiamojo audinio</c:v>
                </c:pt>
                <c:pt idx="8">
                  <c:v>Hodžkino limfomos</c:v>
                </c:pt>
                <c:pt idx="9">
                  <c:v>Ne Hodžkino limfomos</c:v>
                </c:pt>
                <c:pt idx="10">
                  <c:v>Leukemijos</c:v>
                </c:pt>
              </c:strCache>
            </c:strRef>
          </c:cat>
          <c:val>
            <c:numRef>
              <c:f>GrafikaiSerg!$Y$15:$Y$25</c:f>
              <c:numCache>
                <c:formatCode>0%</c:formatCode>
                <c:ptCount val="11"/>
                <c:pt idx="0">
                  <c:v>9.6774193548387094E-2</c:v>
                </c:pt>
                <c:pt idx="1">
                  <c:v>3.2258064516129031E-2</c:v>
                </c:pt>
                <c:pt idx="2">
                  <c:v>3.2258064516129031E-2</c:v>
                </c:pt>
                <c:pt idx="3">
                  <c:v>3.2258064516129031E-2</c:v>
                </c:pt>
                <c:pt idx="4">
                  <c:v>3.2258064516129031E-2</c:v>
                </c:pt>
                <c:pt idx="5">
                  <c:v>6.4516129032258063E-2</c:v>
                </c:pt>
                <c:pt idx="6">
                  <c:v>6.4516129032258063E-2</c:v>
                </c:pt>
                <c:pt idx="7">
                  <c:v>9.6774193548387094E-2</c:v>
                </c:pt>
                <c:pt idx="8">
                  <c:v>9.6774193548387094E-2</c:v>
                </c:pt>
                <c:pt idx="9">
                  <c:v>9.6774193548387094E-2</c:v>
                </c:pt>
                <c:pt idx="10">
                  <c:v>0.35483870967741937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8-40CE-AC48-711B58495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69922176"/>
        <c:axId val="69940352"/>
      </c:barChart>
      <c:catAx>
        <c:axId val="69922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6994035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9940352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9922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12" Type="http://schemas.openxmlformats.org/officeDocument/2006/relationships/chart" Target="../charts/chart20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chart" Target="../charts/chart19.xml"/><Relationship Id="rId5" Type="http://schemas.openxmlformats.org/officeDocument/2006/relationships/chart" Target="../charts/chart13.xml"/><Relationship Id="rId10" Type="http://schemas.openxmlformats.org/officeDocument/2006/relationships/chart" Target="../charts/chart18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12" Type="http://schemas.openxmlformats.org/officeDocument/2006/relationships/chart" Target="../charts/chart44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11" Type="http://schemas.openxmlformats.org/officeDocument/2006/relationships/chart" Target="../charts/chart43.xml"/><Relationship Id="rId5" Type="http://schemas.openxmlformats.org/officeDocument/2006/relationships/chart" Target="../charts/chart37.xml"/><Relationship Id="rId10" Type="http://schemas.openxmlformats.org/officeDocument/2006/relationships/chart" Target="../charts/chart42.xml"/><Relationship Id="rId4" Type="http://schemas.openxmlformats.org/officeDocument/2006/relationships/chart" Target="../charts/chart36.xml"/><Relationship Id="rId9" Type="http://schemas.openxmlformats.org/officeDocument/2006/relationships/chart" Target="../charts/chart4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52</xdr:row>
          <xdr:rowOff>38100</xdr:rowOff>
        </xdr:from>
        <xdr:to>
          <xdr:col>2</xdr:col>
          <xdr:colOff>133350</xdr:colOff>
          <xdr:row>55</xdr:row>
          <xdr:rowOff>152400</xdr:rowOff>
        </xdr:to>
        <xdr:sp macro="" textlink="">
          <xdr:nvSpPr>
            <xdr:cNvPr id="3083" name="Perskaiciuoti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8</xdr:col>
      <xdr:colOff>142425</xdr:colOff>
      <xdr:row>24</xdr:row>
      <xdr:rowOff>19051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66675</xdr:colOff>
      <xdr:row>4</xdr:row>
      <xdr:rowOff>142876</xdr:rowOff>
    </xdr:from>
    <xdr:to>
      <xdr:col>18</xdr:col>
      <xdr:colOff>228600</xdr:colOff>
      <xdr:row>23</xdr:row>
      <xdr:rowOff>104776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2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57149</xdr:colOff>
      <xdr:row>29</xdr:row>
      <xdr:rowOff>0</xdr:rowOff>
    </xdr:from>
    <xdr:to>
      <xdr:col>8</xdr:col>
      <xdr:colOff>0</xdr:colOff>
      <xdr:row>40</xdr:row>
      <xdr:rowOff>0</xdr:rowOff>
    </xdr:to>
    <xdr:graphicFrame macro="">
      <xdr:nvGraphicFramePr>
        <xdr:cNvPr id="3" name="Top vyrai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0</xdr:colOff>
      <xdr:row>14</xdr:row>
      <xdr:rowOff>0</xdr:rowOff>
    </xdr:to>
    <xdr:graphicFrame macro="">
      <xdr:nvGraphicFramePr>
        <xdr:cNvPr id="6" name="Top visos motery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57149</xdr:colOff>
      <xdr:row>16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7" name="Top moterys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</xdr:colOff>
      <xdr:row>29</xdr:row>
      <xdr:rowOff>1</xdr:rowOff>
    </xdr:from>
    <xdr:to>
      <xdr:col>18</xdr:col>
      <xdr:colOff>0</xdr:colOff>
      <xdr:row>40</xdr:row>
      <xdr:rowOff>1</xdr:rowOff>
    </xdr:to>
    <xdr:graphicFrame macro="">
      <xdr:nvGraphicFramePr>
        <xdr:cNvPr id="8" name="Top moterys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3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15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3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57149</xdr:colOff>
      <xdr:row>29</xdr:row>
      <xdr:rowOff>0</xdr:rowOff>
    </xdr:from>
    <xdr:to>
      <xdr:col>8</xdr:col>
      <xdr:colOff>0</xdr:colOff>
      <xdr:row>40</xdr:row>
      <xdr:rowOff>0</xdr:rowOff>
    </xdr:to>
    <xdr:graphicFrame macro="">
      <xdr:nvGraphicFramePr>
        <xdr:cNvPr id="4" name="Top vyrai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57149</xdr:colOff>
      <xdr:row>43</xdr:row>
      <xdr:rowOff>0</xdr:rowOff>
    </xdr:from>
    <xdr:to>
      <xdr:col>8</xdr:col>
      <xdr:colOff>0</xdr:colOff>
      <xdr:row>54</xdr:row>
      <xdr:rowOff>0</xdr:rowOff>
    </xdr:to>
    <xdr:graphicFrame macro="">
      <xdr:nvGraphicFramePr>
        <xdr:cNvPr id="5" name="Top vyrai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6" name="Top vyrai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0</xdr:colOff>
      <xdr:row>14</xdr:row>
      <xdr:rowOff>0</xdr:rowOff>
    </xdr:to>
    <xdr:graphicFrame macro="">
      <xdr:nvGraphicFramePr>
        <xdr:cNvPr id="7" name="Top visos motery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57149</xdr:colOff>
      <xdr:row>16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8" name="Top moterys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</xdr:colOff>
      <xdr:row>29</xdr:row>
      <xdr:rowOff>1</xdr:rowOff>
    </xdr:from>
    <xdr:to>
      <xdr:col>18</xdr:col>
      <xdr:colOff>0</xdr:colOff>
      <xdr:row>40</xdr:row>
      <xdr:rowOff>1</xdr:rowOff>
    </xdr:to>
    <xdr:graphicFrame macro="">
      <xdr:nvGraphicFramePr>
        <xdr:cNvPr id="9" name="Top moterys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</xdr:colOff>
      <xdr:row>43</xdr:row>
      <xdr:rowOff>1</xdr:rowOff>
    </xdr:from>
    <xdr:to>
      <xdr:col>18</xdr:col>
      <xdr:colOff>0</xdr:colOff>
      <xdr:row>54</xdr:row>
      <xdr:rowOff>1</xdr:rowOff>
    </xdr:to>
    <xdr:graphicFrame macro="">
      <xdr:nvGraphicFramePr>
        <xdr:cNvPr id="10" name="Top moterys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</xdr:colOff>
      <xdr:row>56</xdr:row>
      <xdr:rowOff>0</xdr:rowOff>
    </xdr:from>
    <xdr:to>
      <xdr:col>17</xdr:col>
      <xdr:colOff>409575</xdr:colOff>
      <xdr:row>67</xdr:row>
      <xdr:rowOff>0</xdr:rowOff>
    </xdr:to>
    <xdr:graphicFrame macro="">
      <xdr:nvGraphicFramePr>
        <xdr:cNvPr id="11" name="Top moterys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</xdr:colOff>
      <xdr:row>69</xdr:row>
      <xdr:rowOff>0</xdr:rowOff>
    </xdr:from>
    <xdr:to>
      <xdr:col>18</xdr:col>
      <xdr:colOff>0</xdr:colOff>
      <xdr:row>80</xdr:row>
      <xdr:rowOff>0</xdr:rowOff>
    </xdr:to>
    <xdr:graphicFrame macro="">
      <xdr:nvGraphicFramePr>
        <xdr:cNvPr id="12" name="Top moterys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69</xdr:row>
      <xdr:rowOff>1</xdr:rowOff>
    </xdr:from>
    <xdr:to>
      <xdr:col>8</xdr:col>
      <xdr:colOff>0</xdr:colOff>
      <xdr:row>80</xdr:row>
      <xdr:rowOff>1</xdr:rowOff>
    </xdr:to>
    <xdr:graphicFrame macro="">
      <xdr:nvGraphicFramePr>
        <xdr:cNvPr id="13" name="Top vyrai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3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22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2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57149</xdr:colOff>
      <xdr:row>29</xdr:row>
      <xdr:rowOff>0</xdr:rowOff>
    </xdr:from>
    <xdr:to>
      <xdr:col>8</xdr:col>
      <xdr:colOff>0</xdr:colOff>
      <xdr:row>40</xdr:row>
      <xdr:rowOff>0</xdr:rowOff>
    </xdr:to>
    <xdr:graphicFrame macro="">
      <xdr:nvGraphicFramePr>
        <xdr:cNvPr id="3" name="Top vyrai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57149</xdr:colOff>
      <xdr:row>42</xdr:row>
      <xdr:rowOff>0</xdr:rowOff>
    </xdr:from>
    <xdr:to>
      <xdr:col>8</xdr:col>
      <xdr:colOff>0</xdr:colOff>
      <xdr:row>53</xdr:row>
      <xdr:rowOff>0</xdr:rowOff>
    </xdr:to>
    <xdr:graphicFrame macro="">
      <xdr:nvGraphicFramePr>
        <xdr:cNvPr id="4" name="Top vyrai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</xdr:colOff>
      <xdr:row>55</xdr:row>
      <xdr:rowOff>0</xdr:rowOff>
    </xdr:from>
    <xdr:to>
      <xdr:col>8</xdr:col>
      <xdr:colOff>0</xdr:colOff>
      <xdr:row>66</xdr:row>
      <xdr:rowOff>0</xdr:rowOff>
    </xdr:to>
    <xdr:graphicFrame macro="">
      <xdr:nvGraphicFramePr>
        <xdr:cNvPr id="5" name="Top vyrai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0</xdr:colOff>
      <xdr:row>14</xdr:row>
      <xdr:rowOff>0</xdr:rowOff>
    </xdr:to>
    <xdr:graphicFrame macro="">
      <xdr:nvGraphicFramePr>
        <xdr:cNvPr id="6" name="Top visos motery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57149</xdr:colOff>
      <xdr:row>16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7" name="Top moterys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</xdr:colOff>
      <xdr:row>29</xdr:row>
      <xdr:rowOff>1</xdr:rowOff>
    </xdr:from>
    <xdr:to>
      <xdr:col>18</xdr:col>
      <xdr:colOff>0</xdr:colOff>
      <xdr:row>40</xdr:row>
      <xdr:rowOff>1</xdr:rowOff>
    </xdr:to>
    <xdr:graphicFrame macro="">
      <xdr:nvGraphicFramePr>
        <xdr:cNvPr id="8" name="Top moterys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</xdr:colOff>
      <xdr:row>42</xdr:row>
      <xdr:rowOff>1</xdr:rowOff>
    </xdr:from>
    <xdr:to>
      <xdr:col>18</xdr:col>
      <xdr:colOff>0</xdr:colOff>
      <xdr:row>53</xdr:row>
      <xdr:rowOff>1</xdr:rowOff>
    </xdr:to>
    <xdr:graphicFrame macro="">
      <xdr:nvGraphicFramePr>
        <xdr:cNvPr id="9" name="Top moterys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</xdr:colOff>
      <xdr:row>55</xdr:row>
      <xdr:rowOff>0</xdr:rowOff>
    </xdr:from>
    <xdr:to>
      <xdr:col>18</xdr:col>
      <xdr:colOff>1</xdr:colOff>
      <xdr:row>66</xdr:row>
      <xdr:rowOff>0</xdr:rowOff>
    </xdr:to>
    <xdr:graphicFrame macro="">
      <xdr:nvGraphicFramePr>
        <xdr:cNvPr id="10" name="Top moterys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</xdr:colOff>
      <xdr:row>68</xdr:row>
      <xdr:rowOff>0</xdr:rowOff>
    </xdr:from>
    <xdr:to>
      <xdr:col>18</xdr:col>
      <xdr:colOff>0</xdr:colOff>
      <xdr:row>79</xdr:row>
      <xdr:rowOff>0</xdr:rowOff>
    </xdr:to>
    <xdr:graphicFrame macro="">
      <xdr:nvGraphicFramePr>
        <xdr:cNvPr id="11" name="Top moterys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68</xdr:row>
      <xdr:rowOff>1</xdr:rowOff>
    </xdr:from>
    <xdr:to>
      <xdr:col>8</xdr:col>
      <xdr:colOff>0</xdr:colOff>
      <xdr:row>79</xdr:row>
      <xdr:rowOff>1</xdr:rowOff>
    </xdr:to>
    <xdr:graphicFrame macro="">
      <xdr:nvGraphicFramePr>
        <xdr:cNvPr id="12" name="Top vyrai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3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13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2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57149</xdr:colOff>
      <xdr:row>29</xdr:row>
      <xdr:rowOff>0</xdr:rowOff>
    </xdr:from>
    <xdr:to>
      <xdr:col>8</xdr:col>
      <xdr:colOff>0</xdr:colOff>
      <xdr:row>40</xdr:row>
      <xdr:rowOff>0</xdr:rowOff>
    </xdr:to>
    <xdr:graphicFrame macro="">
      <xdr:nvGraphicFramePr>
        <xdr:cNvPr id="3" name="Top vyrai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57149</xdr:colOff>
      <xdr:row>42</xdr:row>
      <xdr:rowOff>0</xdr:rowOff>
    </xdr:from>
    <xdr:to>
      <xdr:col>8</xdr:col>
      <xdr:colOff>0</xdr:colOff>
      <xdr:row>53</xdr:row>
      <xdr:rowOff>0</xdr:rowOff>
    </xdr:to>
    <xdr:graphicFrame macro="">
      <xdr:nvGraphicFramePr>
        <xdr:cNvPr id="4" name="Top vyrai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</xdr:colOff>
      <xdr:row>55</xdr:row>
      <xdr:rowOff>0</xdr:rowOff>
    </xdr:from>
    <xdr:to>
      <xdr:col>8</xdr:col>
      <xdr:colOff>0</xdr:colOff>
      <xdr:row>66</xdr:row>
      <xdr:rowOff>0</xdr:rowOff>
    </xdr:to>
    <xdr:graphicFrame macro="">
      <xdr:nvGraphicFramePr>
        <xdr:cNvPr id="5" name="Top vyrai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0</xdr:colOff>
      <xdr:row>14</xdr:row>
      <xdr:rowOff>0</xdr:rowOff>
    </xdr:to>
    <xdr:graphicFrame macro="">
      <xdr:nvGraphicFramePr>
        <xdr:cNvPr id="6" name="Top visos motery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57149</xdr:colOff>
      <xdr:row>16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7" name="Top moterys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</xdr:colOff>
      <xdr:row>29</xdr:row>
      <xdr:rowOff>1</xdr:rowOff>
    </xdr:from>
    <xdr:to>
      <xdr:col>18</xdr:col>
      <xdr:colOff>0</xdr:colOff>
      <xdr:row>40</xdr:row>
      <xdr:rowOff>1</xdr:rowOff>
    </xdr:to>
    <xdr:graphicFrame macro="">
      <xdr:nvGraphicFramePr>
        <xdr:cNvPr id="8" name="Top moterys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</xdr:colOff>
      <xdr:row>42</xdr:row>
      <xdr:rowOff>1</xdr:rowOff>
    </xdr:from>
    <xdr:to>
      <xdr:col>18</xdr:col>
      <xdr:colOff>0</xdr:colOff>
      <xdr:row>53</xdr:row>
      <xdr:rowOff>1</xdr:rowOff>
    </xdr:to>
    <xdr:graphicFrame macro="">
      <xdr:nvGraphicFramePr>
        <xdr:cNvPr id="9" name="Top moterys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</xdr:colOff>
      <xdr:row>55</xdr:row>
      <xdr:rowOff>0</xdr:rowOff>
    </xdr:from>
    <xdr:to>
      <xdr:col>18</xdr:col>
      <xdr:colOff>1</xdr:colOff>
      <xdr:row>66</xdr:row>
      <xdr:rowOff>0</xdr:rowOff>
    </xdr:to>
    <xdr:graphicFrame macro="">
      <xdr:nvGraphicFramePr>
        <xdr:cNvPr id="10" name="Top moterys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</xdr:colOff>
      <xdr:row>68</xdr:row>
      <xdr:rowOff>0</xdr:rowOff>
    </xdr:from>
    <xdr:to>
      <xdr:col>18</xdr:col>
      <xdr:colOff>0</xdr:colOff>
      <xdr:row>79</xdr:row>
      <xdr:rowOff>0</xdr:rowOff>
    </xdr:to>
    <xdr:graphicFrame macro="">
      <xdr:nvGraphicFramePr>
        <xdr:cNvPr id="11" name="Top moterys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68</xdr:row>
      <xdr:rowOff>1</xdr:rowOff>
    </xdr:from>
    <xdr:to>
      <xdr:col>8</xdr:col>
      <xdr:colOff>0</xdr:colOff>
      <xdr:row>79</xdr:row>
      <xdr:rowOff>1</xdr:rowOff>
    </xdr:to>
    <xdr:graphicFrame macro="">
      <xdr:nvGraphicFramePr>
        <xdr:cNvPr id="12" name="Top vyrai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3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13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4" tint="0.39997558519241921"/>
  </sheetPr>
  <dimension ref="A1:EC71"/>
  <sheetViews>
    <sheetView workbookViewId="0">
      <pane xSplit="3" ySplit="2" topLeftCell="EB3" activePane="bottomRight" state="frozen"/>
      <selection activeCell="DV55" sqref="DV55"/>
      <selection pane="topRight" activeCell="DV55" sqref="DV55"/>
      <selection pane="bottomLeft" activeCell="DV55" sqref="DV55"/>
      <selection pane="bottomRight" activeCell="EB6" sqref="EB6:EC43"/>
    </sheetView>
  </sheetViews>
  <sheetFormatPr defaultRowHeight="12.75"/>
  <cols>
    <col min="1" max="1" width="6.5703125" bestFit="1" customWidth="1"/>
    <col min="2" max="2" width="35.85546875" customWidth="1"/>
    <col min="3" max="3" width="43.28515625" customWidth="1"/>
    <col min="67" max="67" width="12.28515625" bestFit="1" customWidth="1"/>
    <col min="253" max="253" width="6.5703125" bestFit="1" customWidth="1"/>
    <col min="254" max="254" width="35.85546875" customWidth="1"/>
    <col min="255" max="255" width="54.5703125" customWidth="1"/>
    <col min="509" max="509" width="6.5703125" bestFit="1" customWidth="1"/>
    <col min="510" max="510" width="35.85546875" customWidth="1"/>
    <col min="511" max="511" width="54.5703125" customWidth="1"/>
    <col min="765" max="765" width="6.5703125" bestFit="1" customWidth="1"/>
    <col min="766" max="766" width="35.85546875" customWidth="1"/>
    <col min="767" max="767" width="54.5703125" customWidth="1"/>
    <col min="1021" max="1021" width="6.5703125" bestFit="1" customWidth="1"/>
    <col min="1022" max="1022" width="35.85546875" customWidth="1"/>
    <col min="1023" max="1023" width="54.5703125" customWidth="1"/>
    <col min="1277" max="1277" width="6.5703125" bestFit="1" customWidth="1"/>
    <col min="1278" max="1278" width="35.85546875" customWidth="1"/>
    <col min="1279" max="1279" width="54.5703125" customWidth="1"/>
    <col min="1533" max="1533" width="6.5703125" bestFit="1" customWidth="1"/>
    <col min="1534" max="1534" width="35.85546875" customWidth="1"/>
    <col min="1535" max="1535" width="54.5703125" customWidth="1"/>
    <col min="1789" max="1789" width="6.5703125" bestFit="1" customWidth="1"/>
    <col min="1790" max="1790" width="35.85546875" customWidth="1"/>
    <col min="1791" max="1791" width="54.5703125" customWidth="1"/>
    <col min="2045" max="2045" width="6.5703125" bestFit="1" customWidth="1"/>
    <col min="2046" max="2046" width="35.85546875" customWidth="1"/>
    <col min="2047" max="2047" width="54.5703125" customWidth="1"/>
    <col min="2301" max="2301" width="6.5703125" bestFit="1" customWidth="1"/>
    <col min="2302" max="2302" width="35.85546875" customWidth="1"/>
    <col min="2303" max="2303" width="54.5703125" customWidth="1"/>
    <col min="2557" max="2557" width="6.5703125" bestFit="1" customWidth="1"/>
    <col min="2558" max="2558" width="35.85546875" customWidth="1"/>
    <col min="2559" max="2559" width="54.5703125" customWidth="1"/>
    <col min="2813" max="2813" width="6.5703125" bestFit="1" customWidth="1"/>
    <col min="2814" max="2814" width="35.85546875" customWidth="1"/>
    <col min="2815" max="2815" width="54.5703125" customWidth="1"/>
    <col min="3069" max="3069" width="6.5703125" bestFit="1" customWidth="1"/>
    <col min="3070" max="3070" width="35.85546875" customWidth="1"/>
    <col min="3071" max="3071" width="54.5703125" customWidth="1"/>
    <col min="3325" max="3325" width="6.5703125" bestFit="1" customWidth="1"/>
    <col min="3326" max="3326" width="35.85546875" customWidth="1"/>
    <col min="3327" max="3327" width="54.5703125" customWidth="1"/>
    <col min="3581" max="3581" width="6.5703125" bestFit="1" customWidth="1"/>
    <col min="3582" max="3582" width="35.85546875" customWidth="1"/>
    <col min="3583" max="3583" width="54.5703125" customWidth="1"/>
    <col min="3837" max="3837" width="6.5703125" bestFit="1" customWidth="1"/>
    <col min="3838" max="3838" width="35.85546875" customWidth="1"/>
    <col min="3839" max="3839" width="54.5703125" customWidth="1"/>
    <col min="4093" max="4093" width="6.5703125" bestFit="1" customWidth="1"/>
    <col min="4094" max="4094" width="35.85546875" customWidth="1"/>
    <col min="4095" max="4095" width="54.5703125" customWidth="1"/>
    <col min="4349" max="4349" width="6.5703125" bestFit="1" customWidth="1"/>
    <col min="4350" max="4350" width="35.85546875" customWidth="1"/>
    <col min="4351" max="4351" width="54.5703125" customWidth="1"/>
    <col min="4605" max="4605" width="6.5703125" bestFit="1" customWidth="1"/>
    <col min="4606" max="4606" width="35.85546875" customWidth="1"/>
    <col min="4607" max="4607" width="54.5703125" customWidth="1"/>
    <col min="4861" max="4861" width="6.5703125" bestFit="1" customWidth="1"/>
    <col min="4862" max="4862" width="35.85546875" customWidth="1"/>
    <col min="4863" max="4863" width="54.5703125" customWidth="1"/>
    <col min="5117" max="5117" width="6.5703125" bestFit="1" customWidth="1"/>
    <col min="5118" max="5118" width="35.85546875" customWidth="1"/>
    <col min="5119" max="5119" width="54.5703125" customWidth="1"/>
    <col min="5373" max="5373" width="6.5703125" bestFit="1" customWidth="1"/>
    <col min="5374" max="5374" width="35.85546875" customWidth="1"/>
    <col min="5375" max="5375" width="54.5703125" customWidth="1"/>
    <col min="5629" max="5629" width="6.5703125" bestFit="1" customWidth="1"/>
    <col min="5630" max="5630" width="35.85546875" customWidth="1"/>
    <col min="5631" max="5631" width="54.5703125" customWidth="1"/>
    <col min="5885" max="5885" width="6.5703125" bestFit="1" customWidth="1"/>
    <col min="5886" max="5886" width="35.85546875" customWidth="1"/>
    <col min="5887" max="5887" width="54.5703125" customWidth="1"/>
    <col min="6141" max="6141" width="6.5703125" bestFit="1" customWidth="1"/>
    <col min="6142" max="6142" width="35.85546875" customWidth="1"/>
    <col min="6143" max="6143" width="54.5703125" customWidth="1"/>
    <col min="6397" max="6397" width="6.5703125" bestFit="1" customWidth="1"/>
    <col min="6398" max="6398" width="35.85546875" customWidth="1"/>
    <col min="6399" max="6399" width="54.5703125" customWidth="1"/>
    <col min="6653" max="6653" width="6.5703125" bestFit="1" customWidth="1"/>
    <col min="6654" max="6654" width="35.85546875" customWidth="1"/>
    <col min="6655" max="6655" width="54.5703125" customWidth="1"/>
    <col min="6909" max="6909" width="6.5703125" bestFit="1" customWidth="1"/>
    <col min="6910" max="6910" width="35.85546875" customWidth="1"/>
    <col min="6911" max="6911" width="54.5703125" customWidth="1"/>
    <col min="7165" max="7165" width="6.5703125" bestFit="1" customWidth="1"/>
    <col min="7166" max="7166" width="35.85546875" customWidth="1"/>
    <col min="7167" max="7167" width="54.5703125" customWidth="1"/>
    <col min="7421" max="7421" width="6.5703125" bestFit="1" customWidth="1"/>
    <col min="7422" max="7422" width="35.85546875" customWidth="1"/>
    <col min="7423" max="7423" width="54.5703125" customWidth="1"/>
    <col min="7677" max="7677" width="6.5703125" bestFit="1" customWidth="1"/>
    <col min="7678" max="7678" width="35.85546875" customWidth="1"/>
    <col min="7679" max="7679" width="54.5703125" customWidth="1"/>
    <col min="7933" max="7933" width="6.5703125" bestFit="1" customWidth="1"/>
    <col min="7934" max="7934" width="35.85546875" customWidth="1"/>
    <col min="7935" max="7935" width="54.5703125" customWidth="1"/>
    <col min="8189" max="8189" width="6.5703125" bestFit="1" customWidth="1"/>
    <col min="8190" max="8190" width="35.85546875" customWidth="1"/>
    <col min="8191" max="8191" width="54.5703125" customWidth="1"/>
    <col min="8445" max="8445" width="6.5703125" bestFit="1" customWidth="1"/>
    <col min="8446" max="8446" width="35.85546875" customWidth="1"/>
    <col min="8447" max="8447" width="54.5703125" customWidth="1"/>
    <col min="8701" max="8701" width="6.5703125" bestFit="1" customWidth="1"/>
    <col min="8702" max="8702" width="35.85546875" customWidth="1"/>
    <col min="8703" max="8703" width="54.5703125" customWidth="1"/>
    <col min="8957" max="8957" width="6.5703125" bestFit="1" customWidth="1"/>
    <col min="8958" max="8958" width="35.85546875" customWidth="1"/>
    <col min="8959" max="8959" width="54.5703125" customWidth="1"/>
    <col min="9213" max="9213" width="6.5703125" bestFit="1" customWidth="1"/>
    <col min="9214" max="9214" width="35.85546875" customWidth="1"/>
    <col min="9215" max="9215" width="54.5703125" customWidth="1"/>
    <col min="9469" max="9469" width="6.5703125" bestFit="1" customWidth="1"/>
    <col min="9470" max="9470" width="35.85546875" customWidth="1"/>
    <col min="9471" max="9471" width="54.5703125" customWidth="1"/>
    <col min="9725" max="9725" width="6.5703125" bestFit="1" customWidth="1"/>
    <col min="9726" max="9726" width="35.85546875" customWidth="1"/>
    <col min="9727" max="9727" width="54.5703125" customWidth="1"/>
    <col min="9981" max="9981" width="6.5703125" bestFit="1" customWidth="1"/>
    <col min="9982" max="9982" width="35.85546875" customWidth="1"/>
    <col min="9983" max="9983" width="54.5703125" customWidth="1"/>
    <col min="10237" max="10237" width="6.5703125" bestFit="1" customWidth="1"/>
    <col min="10238" max="10238" width="35.85546875" customWidth="1"/>
    <col min="10239" max="10239" width="54.5703125" customWidth="1"/>
    <col min="10493" max="10493" width="6.5703125" bestFit="1" customWidth="1"/>
    <col min="10494" max="10494" width="35.85546875" customWidth="1"/>
    <col min="10495" max="10495" width="54.5703125" customWidth="1"/>
    <col min="10749" max="10749" width="6.5703125" bestFit="1" customWidth="1"/>
    <col min="10750" max="10750" width="35.85546875" customWidth="1"/>
    <col min="10751" max="10751" width="54.5703125" customWidth="1"/>
    <col min="11005" max="11005" width="6.5703125" bestFit="1" customWidth="1"/>
    <col min="11006" max="11006" width="35.85546875" customWidth="1"/>
    <col min="11007" max="11007" width="54.5703125" customWidth="1"/>
    <col min="11261" max="11261" width="6.5703125" bestFit="1" customWidth="1"/>
    <col min="11262" max="11262" width="35.85546875" customWidth="1"/>
    <col min="11263" max="11263" width="54.5703125" customWidth="1"/>
    <col min="11517" max="11517" width="6.5703125" bestFit="1" customWidth="1"/>
    <col min="11518" max="11518" width="35.85546875" customWidth="1"/>
    <col min="11519" max="11519" width="54.5703125" customWidth="1"/>
    <col min="11773" max="11773" width="6.5703125" bestFit="1" customWidth="1"/>
    <col min="11774" max="11774" width="35.85546875" customWidth="1"/>
    <col min="11775" max="11775" width="54.5703125" customWidth="1"/>
    <col min="12029" max="12029" width="6.5703125" bestFit="1" customWidth="1"/>
    <col min="12030" max="12030" width="35.85546875" customWidth="1"/>
    <col min="12031" max="12031" width="54.5703125" customWidth="1"/>
    <col min="12285" max="12285" width="6.5703125" bestFit="1" customWidth="1"/>
    <col min="12286" max="12286" width="35.85546875" customWidth="1"/>
    <col min="12287" max="12287" width="54.5703125" customWidth="1"/>
    <col min="12541" max="12541" width="6.5703125" bestFit="1" customWidth="1"/>
    <col min="12542" max="12542" width="35.85546875" customWidth="1"/>
    <col min="12543" max="12543" width="54.5703125" customWidth="1"/>
    <col min="12797" max="12797" width="6.5703125" bestFit="1" customWidth="1"/>
    <col min="12798" max="12798" width="35.85546875" customWidth="1"/>
    <col min="12799" max="12799" width="54.5703125" customWidth="1"/>
    <col min="13053" max="13053" width="6.5703125" bestFit="1" customWidth="1"/>
    <col min="13054" max="13054" width="35.85546875" customWidth="1"/>
    <col min="13055" max="13055" width="54.5703125" customWidth="1"/>
    <col min="13309" max="13309" width="6.5703125" bestFit="1" customWidth="1"/>
    <col min="13310" max="13310" width="35.85546875" customWidth="1"/>
    <col min="13311" max="13311" width="54.5703125" customWidth="1"/>
    <col min="13565" max="13565" width="6.5703125" bestFit="1" customWidth="1"/>
    <col min="13566" max="13566" width="35.85546875" customWidth="1"/>
    <col min="13567" max="13567" width="54.5703125" customWidth="1"/>
    <col min="13821" max="13821" width="6.5703125" bestFit="1" customWidth="1"/>
    <col min="13822" max="13822" width="35.85546875" customWidth="1"/>
    <col min="13823" max="13823" width="54.5703125" customWidth="1"/>
    <col min="14077" max="14077" width="6.5703125" bestFit="1" customWidth="1"/>
    <col min="14078" max="14078" width="35.85546875" customWidth="1"/>
    <col min="14079" max="14079" width="54.5703125" customWidth="1"/>
    <col min="14333" max="14333" width="6.5703125" bestFit="1" customWidth="1"/>
    <col min="14334" max="14334" width="35.85546875" customWidth="1"/>
    <col min="14335" max="14335" width="54.5703125" customWidth="1"/>
    <col min="14589" max="14589" width="6.5703125" bestFit="1" customWidth="1"/>
    <col min="14590" max="14590" width="35.85546875" customWidth="1"/>
    <col min="14591" max="14591" width="54.5703125" customWidth="1"/>
    <col min="14845" max="14845" width="6.5703125" bestFit="1" customWidth="1"/>
    <col min="14846" max="14846" width="35.85546875" customWidth="1"/>
    <col min="14847" max="14847" width="54.5703125" customWidth="1"/>
    <col min="15101" max="15101" width="6.5703125" bestFit="1" customWidth="1"/>
    <col min="15102" max="15102" width="35.85546875" customWidth="1"/>
    <col min="15103" max="15103" width="54.5703125" customWidth="1"/>
    <col min="15357" max="15357" width="6.5703125" bestFit="1" customWidth="1"/>
    <col min="15358" max="15358" width="35.85546875" customWidth="1"/>
    <col min="15359" max="15359" width="54.5703125" customWidth="1"/>
    <col min="15613" max="15613" width="6.5703125" bestFit="1" customWidth="1"/>
    <col min="15614" max="15614" width="35.85546875" customWidth="1"/>
    <col min="15615" max="15615" width="54.5703125" customWidth="1"/>
    <col min="15869" max="15869" width="6.5703125" bestFit="1" customWidth="1"/>
    <col min="15870" max="15870" width="35.85546875" customWidth="1"/>
    <col min="15871" max="15871" width="54.5703125" customWidth="1"/>
    <col min="16125" max="16125" width="6.5703125" bestFit="1" customWidth="1"/>
    <col min="16126" max="16126" width="35.85546875" customWidth="1"/>
    <col min="16127" max="16127" width="54.5703125" customWidth="1"/>
  </cols>
  <sheetData>
    <row r="1" spans="1:133">
      <c r="A1" s="389">
        <v>2009</v>
      </c>
      <c r="B1" s="389"/>
      <c r="C1" s="389"/>
      <c r="D1" s="390" t="s">
        <v>3</v>
      </c>
      <c r="E1" s="391"/>
      <c r="F1" s="390" t="s">
        <v>125</v>
      </c>
      <c r="G1" s="392"/>
      <c r="H1" s="392"/>
      <c r="I1" s="392"/>
      <c r="J1" s="392"/>
      <c r="K1" s="391"/>
      <c r="L1" s="390" t="s">
        <v>126</v>
      </c>
      <c r="M1" s="392"/>
      <c r="N1" s="392"/>
      <c r="O1" s="392"/>
      <c r="P1" s="391"/>
      <c r="Q1" s="390" t="s">
        <v>202</v>
      </c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  <c r="AG1" s="392"/>
      <c r="AH1" s="391"/>
      <c r="AI1" s="390" t="s">
        <v>203</v>
      </c>
      <c r="AJ1" s="392"/>
      <c r="AK1" s="392"/>
      <c r="AL1" s="392"/>
      <c r="AM1" s="392"/>
      <c r="AN1" s="390" t="s">
        <v>127</v>
      </c>
      <c r="AO1" s="392"/>
      <c r="AP1" s="392"/>
      <c r="AQ1" s="392"/>
      <c r="AR1" s="392"/>
      <c r="AS1" s="392"/>
      <c r="AT1" s="392"/>
      <c r="AU1" s="392"/>
      <c r="AV1" s="392"/>
      <c r="AW1" s="392"/>
      <c r="AX1" s="392"/>
      <c r="AY1" s="392"/>
      <c r="AZ1" s="392"/>
      <c r="BA1" s="392"/>
      <c r="BB1" s="392"/>
      <c r="BC1" s="392"/>
      <c r="BD1" s="392"/>
      <c r="BE1" s="391"/>
      <c r="BF1" s="393" t="s">
        <v>423</v>
      </c>
      <c r="BG1" s="394"/>
      <c r="BH1" s="394"/>
      <c r="BI1" s="394"/>
      <c r="BJ1" s="395"/>
      <c r="BK1" s="399" t="s">
        <v>128</v>
      </c>
      <c r="BL1" s="399"/>
      <c r="BM1" s="399"/>
      <c r="BN1" s="399"/>
      <c r="BO1" s="399" t="s">
        <v>31</v>
      </c>
      <c r="BP1" s="399"/>
      <c r="BQ1" s="398" t="s">
        <v>124</v>
      </c>
      <c r="BR1" s="398"/>
      <c r="BS1" s="396" t="s">
        <v>129</v>
      </c>
      <c r="BT1" s="397"/>
      <c r="BU1" s="397"/>
      <c r="BV1" s="397"/>
      <c r="BW1" s="397"/>
      <c r="BX1" s="400"/>
      <c r="BY1" s="396" t="s">
        <v>130</v>
      </c>
      <c r="BZ1" s="397"/>
      <c r="CA1" s="397"/>
      <c r="CB1" s="397"/>
      <c r="CC1" s="400"/>
      <c r="CD1" s="396" t="s">
        <v>131</v>
      </c>
      <c r="CE1" s="397"/>
      <c r="CF1" s="397"/>
      <c r="CG1" s="397"/>
      <c r="CH1" s="397"/>
      <c r="CI1" s="397"/>
      <c r="CJ1" s="397"/>
      <c r="CK1" s="397"/>
      <c r="CL1" s="397"/>
      <c r="CM1" s="397"/>
      <c r="CN1" s="397"/>
      <c r="CO1" s="397"/>
      <c r="CP1" s="397"/>
      <c r="CQ1" s="397"/>
      <c r="CR1" s="397"/>
      <c r="CS1" s="397"/>
      <c r="CT1" s="397"/>
      <c r="CU1" s="400"/>
      <c r="CV1" s="396" t="s">
        <v>204</v>
      </c>
      <c r="CW1" s="397"/>
      <c r="CX1" s="397"/>
      <c r="CY1" s="397"/>
      <c r="CZ1" s="397"/>
      <c r="DA1" s="396" t="s">
        <v>132</v>
      </c>
      <c r="DB1" s="397"/>
      <c r="DC1" s="397"/>
      <c r="DD1" s="397"/>
      <c r="DE1" s="397"/>
      <c r="DF1" s="397"/>
      <c r="DG1" s="397"/>
      <c r="DH1" s="397"/>
      <c r="DI1" s="397"/>
      <c r="DJ1" s="397"/>
      <c r="DK1" s="397"/>
      <c r="DL1" s="397"/>
      <c r="DM1" s="397"/>
      <c r="DN1" s="397"/>
      <c r="DO1" s="397"/>
      <c r="DP1" s="397"/>
      <c r="DQ1" s="397"/>
      <c r="DR1" s="400"/>
      <c r="DS1" s="396" t="s">
        <v>424</v>
      </c>
      <c r="DT1" s="397"/>
      <c r="DU1" s="397"/>
      <c r="DV1" s="397"/>
      <c r="DW1" s="397"/>
      <c r="DX1" s="398" t="s">
        <v>133</v>
      </c>
      <c r="DY1" s="398"/>
      <c r="DZ1" s="398"/>
      <c r="EA1" s="398"/>
      <c r="EB1" s="398" t="s">
        <v>123</v>
      </c>
      <c r="EC1" s="398"/>
    </row>
    <row r="2" spans="1:133" s="33" customFormat="1">
      <c r="A2" s="6" t="s">
        <v>0</v>
      </c>
      <c r="B2" s="6" t="s">
        <v>1</v>
      </c>
      <c r="C2" s="6" t="s">
        <v>2</v>
      </c>
      <c r="D2" s="1" t="s">
        <v>4</v>
      </c>
      <c r="E2" s="1" t="s">
        <v>5</v>
      </c>
      <c r="F2" s="7">
        <v>0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8" t="s">
        <v>24</v>
      </c>
      <c r="M2" s="8" t="s">
        <v>25</v>
      </c>
      <c r="N2" s="8" t="s">
        <v>26</v>
      </c>
      <c r="O2" s="8" t="s">
        <v>5</v>
      </c>
      <c r="P2" s="8" t="s">
        <v>163</v>
      </c>
      <c r="Q2" s="9" t="s">
        <v>13</v>
      </c>
      <c r="R2" s="10" t="s">
        <v>11</v>
      </c>
      <c r="S2" s="10" t="s">
        <v>12</v>
      </c>
      <c r="T2" s="9" t="s">
        <v>14</v>
      </c>
      <c r="U2" s="9" t="s">
        <v>15</v>
      </c>
      <c r="V2" s="9" t="s">
        <v>16</v>
      </c>
      <c r="W2" s="9" t="s">
        <v>158</v>
      </c>
      <c r="X2" s="9" t="s">
        <v>17</v>
      </c>
      <c r="Y2" s="9" t="s">
        <v>18</v>
      </c>
      <c r="Z2" s="9" t="s">
        <v>19</v>
      </c>
      <c r="AA2" s="9" t="s">
        <v>20</v>
      </c>
      <c r="AB2" s="9" t="s">
        <v>21</v>
      </c>
      <c r="AC2" s="9" t="s">
        <v>159</v>
      </c>
      <c r="AD2" s="9" t="s">
        <v>160</v>
      </c>
      <c r="AE2" s="9" t="s">
        <v>161</v>
      </c>
      <c r="AF2" s="9" t="s">
        <v>162</v>
      </c>
      <c r="AG2" s="9" t="s">
        <v>22</v>
      </c>
      <c r="AH2" s="9" t="s">
        <v>23</v>
      </c>
      <c r="AI2" s="20" t="s">
        <v>205</v>
      </c>
      <c r="AJ2" s="20" t="s">
        <v>206</v>
      </c>
      <c r="AK2" s="20" t="s">
        <v>207</v>
      </c>
      <c r="AL2" s="20" t="s">
        <v>208</v>
      </c>
      <c r="AM2" s="20" t="s">
        <v>209</v>
      </c>
      <c r="AN2" s="9" t="s">
        <v>13</v>
      </c>
      <c r="AO2" s="10" t="s">
        <v>11</v>
      </c>
      <c r="AP2" s="10" t="s">
        <v>12</v>
      </c>
      <c r="AQ2" s="9" t="s">
        <v>14</v>
      </c>
      <c r="AR2" s="9" t="s">
        <v>15</v>
      </c>
      <c r="AS2" s="9" t="s">
        <v>16</v>
      </c>
      <c r="AT2" s="9" t="s">
        <v>158</v>
      </c>
      <c r="AU2" s="9" t="s">
        <v>17</v>
      </c>
      <c r="AV2" s="9" t="s">
        <v>18</v>
      </c>
      <c r="AW2" s="9" t="s">
        <v>19</v>
      </c>
      <c r="AX2" s="9" t="s">
        <v>20</v>
      </c>
      <c r="AY2" s="9" t="s">
        <v>21</v>
      </c>
      <c r="AZ2" s="9" t="s">
        <v>159</v>
      </c>
      <c r="BA2" s="9" t="s">
        <v>160</v>
      </c>
      <c r="BB2" s="9" t="s">
        <v>161</v>
      </c>
      <c r="BC2" s="9" t="s">
        <v>162</v>
      </c>
      <c r="BD2" s="9" t="s">
        <v>22</v>
      </c>
      <c r="BE2" s="9" t="s">
        <v>23</v>
      </c>
      <c r="BF2" s="86" t="s">
        <v>205</v>
      </c>
      <c r="BG2" s="86" t="s">
        <v>206</v>
      </c>
      <c r="BH2" s="86" t="s">
        <v>207</v>
      </c>
      <c r="BI2" s="86" t="s">
        <v>208</v>
      </c>
      <c r="BJ2" s="86" t="s">
        <v>209</v>
      </c>
      <c r="BK2" s="8" t="s">
        <v>28</v>
      </c>
      <c r="BL2" s="8" t="s">
        <v>29</v>
      </c>
      <c r="BM2" s="8" t="s">
        <v>27</v>
      </c>
      <c r="BN2" s="8" t="s">
        <v>30</v>
      </c>
      <c r="BO2" s="8" t="s">
        <v>33</v>
      </c>
      <c r="BP2" s="8" t="s">
        <v>32</v>
      </c>
      <c r="BQ2" s="11" t="s">
        <v>4</v>
      </c>
      <c r="BR2" s="11" t="s">
        <v>5</v>
      </c>
      <c r="BS2" s="7">
        <v>0</v>
      </c>
      <c r="BT2" s="7" t="s">
        <v>6</v>
      </c>
      <c r="BU2" s="7" t="s">
        <v>7</v>
      </c>
      <c r="BV2" s="7" t="s">
        <v>8</v>
      </c>
      <c r="BW2" s="7" t="s">
        <v>9</v>
      </c>
      <c r="BX2" s="7" t="s">
        <v>10</v>
      </c>
      <c r="BY2" s="8" t="s">
        <v>24</v>
      </c>
      <c r="BZ2" s="8" t="s">
        <v>25</v>
      </c>
      <c r="CA2" s="8" t="s">
        <v>26</v>
      </c>
      <c r="CB2" s="8" t="s">
        <v>5</v>
      </c>
      <c r="CC2" s="8" t="s">
        <v>163</v>
      </c>
      <c r="CD2" s="9" t="s">
        <v>13</v>
      </c>
      <c r="CE2" s="10" t="s">
        <v>11</v>
      </c>
      <c r="CF2" s="10" t="s">
        <v>12</v>
      </c>
      <c r="CG2" s="9" t="s">
        <v>14</v>
      </c>
      <c r="CH2" s="9" t="s">
        <v>15</v>
      </c>
      <c r="CI2" s="9" t="s">
        <v>16</v>
      </c>
      <c r="CJ2" s="9" t="s">
        <v>158</v>
      </c>
      <c r="CK2" s="9" t="s">
        <v>17</v>
      </c>
      <c r="CL2" s="9" t="s">
        <v>18</v>
      </c>
      <c r="CM2" s="9" t="s">
        <v>19</v>
      </c>
      <c r="CN2" s="9" t="s">
        <v>20</v>
      </c>
      <c r="CO2" s="9" t="s">
        <v>21</v>
      </c>
      <c r="CP2" s="9" t="s">
        <v>159</v>
      </c>
      <c r="CQ2" s="9" t="s">
        <v>160</v>
      </c>
      <c r="CR2" s="9" t="s">
        <v>161</v>
      </c>
      <c r="CS2" s="9" t="s">
        <v>162</v>
      </c>
      <c r="CT2" s="9" t="s">
        <v>22</v>
      </c>
      <c r="CU2" s="9" t="s">
        <v>23</v>
      </c>
      <c r="CV2" s="21" t="s">
        <v>205</v>
      </c>
      <c r="CW2" s="21" t="s">
        <v>206</v>
      </c>
      <c r="CX2" s="21" t="s">
        <v>207</v>
      </c>
      <c r="CY2" s="21" t="s">
        <v>208</v>
      </c>
      <c r="CZ2" s="21" t="s">
        <v>209</v>
      </c>
      <c r="DA2" s="9" t="s">
        <v>13</v>
      </c>
      <c r="DB2" s="10" t="s">
        <v>11</v>
      </c>
      <c r="DC2" s="10" t="s">
        <v>12</v>
      </c>
      <c r="DD2" s="9" t="s">
        <v>14</v>
      </c>
      <c r="DE2" s="9" t="s">
        <v>15</v>
      </c>
      <c r="DF2" s="9" t="s">
        <v>16</v>
      </c>
      <c r="DG2" s="9" t="s">
        <v>158</v>
      </c>
      <c r="DH2" s="9" t="s">
        <v>17</v>
      </c>
      <c r="DI2" s="9" t="s">
        <v>18</v>
      </c>
      <c r="DJ2" s="9" t="s">
        <v>19</v>
      </c>
      <c r="DK2" s="9" t="s">
        <v>20</v>
      </c>
      <c r="DL2" s="9" t="s">
        <v>21</v>
      </c>
      <c r="DM2" s="9" t="s">
        <v>159</v>
      </c>
      <c r="DN2" s="9" t="s">
        <v>160</v>
      </c>
      <c r="DO2" s="9" t="s">
        <v>161</v>
      </c>
      <c r="DP2" s="9" t="s">
        <v>162</v>
      </c>
      <c r="DQ2" s="9" t="s">
        <v>22</v>
      </c>
      <c r="DR2" s="9" t="s">
        <v>23</v>
      </c>
      <c r="DS2" s="21" t="s">
        <v>205</v>
      </c>
      <c r="DT2" s="21" t="s">
        <v>206</v>
      </c>
      <c r="DU2" s="21" t="s">
        <v>207</v>
      </c>
      <c r="DV2" s="21" t="s">
        <v>208</v>
      </c>
      <c r="DW2" s="21" t="s">
        <v>209</v>
      </c>
      <c r="DX2" s="8" t="s">
        <v>28</v>
      </c>
      <c r="DY2" s="8" t="s">
        <v>29</v>
      </c>
      <c r="DZ2" s="8" t="s">
        <v>27</v>
      </c>
      <c r="EA2" s="8" t="s">
        <v>30</v>
      </c>
      <c r="EB2" s="8" t="s">
        <v>33</v>
      </c>
      <c r="EC2" s="8" t="s">
        <v>32</v>
      </c>
    </row>
    <row r="3" spans="1:133" s="17" customFormat="1">
      <c r="A3" s="14"/>
      <c r="B3" s="14"/>
      <c r="C3" s="18"/>
      <c r="D3" s="15"/>
      <c r="E3" s="15"/>
      <c r="F3" s="212" t="s">
        <v>134</v>
      </c>
      <c r="G3" s="212" t="s">
        <v>135</v>
      </c>
      <c r="H3" s="212" t="s">
        <v>136</v>
      </c>
      <c r="I3" s="212" t="s">
        <v>137</v>
      </c>
      <c r="J3" s="212" t="s">
        <v>138</v>
      </c>
      <c r="K3" s="212" t="s">
        <v>139</v>
      </c>
      <c r="L3" s="212" t="s">
        <v>164</v>
      </c>
      <c r="M3" s="212" t="s">
        <v>165</v>
      </c>
      <c r="N3" s="212" t="s">
        <v>166</v>
      </c>
      <c r="O3" s="212" t="s">
        <v>167</v>
      </c>
      <c r="P3" s="212" t="s">
        <v>168</v>
      </c>
      <c r="Q3" s="213" t="s">
        <v>140</v>
      </c>
      <c r="R3" s="213" t="s">
        <v>141</v>
      </c>
      <c r="S3" s="213" t="s">
        <v>142</v>
      </c>
      <c r="T3" s="213" t="s">
        <v>143</v>
      </c>
      <c r="U3" s="213" t="s">
        <v>144</v>
      </c>
      <c r="V3" s="213" t="s">
        <v>145</v>
      </c>
      <c r="W3" s="213" t="s">
        <v>146</v>
      </c>
      <c r="X3" s="213" t="s">
        <v>147</v>
      </c>
      <c r="Y3" s="213" t="s">
        <v>148</v>
      </c>
      <c r="Z3" s="213" t="s">
        <v>149</v>
      </c>
      <c r="AA3" s="213" t="s">
        <v>150</v>
      </c>
      <c r="AB3" s="213" t="s">
        <v>151</v>
      </c>
      <c r="AC3" s="213" t="s">
        <v>152</v>
      </c>
      <c r="AD3" s="213" t="s">
        <v>153</v>
      </c>
      <c r="AE3" s="213" t="s">
        <v>154</v>
      </c>
      <c r="AF3" s="213" t="s">
        <v>155</v>
      </c>
      <c r="AG3" s="213" t="s">
        <v>156</v>
      </c>
      <c r="AH3" s="213" t="s">
        <v>157</v>
      </c>
      <c r="AI3" s="22"/>
      <c r="AJ3" s="22"/>
      <c r="AK3" s="22"/>
      <c r="AL3" s="22"/>
      <c r="AM3" s="22"/>
      <c r="AN3" s="213" t="s">
        <v>140</v>
      </c>
      <c r="AO3" s="213" t="s">
        <v>141</v>
      </c>
      <c r="AP3" s="213" t="s">
        <v>142</v>
      </c>
      <c r="AQ3" s="213" t="s">
        <v>143</v>
      </c>
      <c r="AR3" s="213" t="s">
        <v>144</v>
      </c>
      <c r="AS3" s="213" t="s">
        <v>145</v>
      </c>
      <c r="AT3" s="213" t="s">
        <v>146</v>
      </c>
      <c r="AU3" s="213" t="s">
        <v>147</v>
      </c>
      <c r="AV3" s="213" t="s">
        <v>148</v>
      </c>
      <c r="AW3" s="213" t="s">
        <v>149</v>
      </c>
      <c r="AX3" s="213" t="s">
        <v>150</v>
      </c>
      <c r="AY3" s="213" t="s">
        <v>151</v>
      </c>
      <c r="AZ3" s="213" t="s">
        <v>152</v>
      </c>
      <c r="BA3" s="213" t="s">
        <v>153</v>
      </c>
      <c r="BB3" s="213" t="s">
        <v>154</v>
      </c>
      <c r="BC3" s="213" t="s">
        <v>155</v>
      </c>
      <c r="BD3" s="213" t="s">
        <v>156</v>
      </c>
      <c r="BE3" s="213" t="s">
        <v>157</v>
      </c>
      <c r="BF3" s="87"/>
      <c r="BG3" s="87"/>
      <c r="BH3" s="87"/>
      <c r="BI3" s="87"/>
      <c r="BJ3" s="87"/>
      <c r="BK3" s="213" t="s">
        <v>169</v>
      </c>
      <c r="BL3" s="213" t="s">
        <v>170</v>
      </c>
      <c r="BM3" s="213" t="s">
        <v>171</v>
      </c>
      <c r="BN3" s="213" t="s">
        <v>172</v>
      </c>
      <c r="BO3" s="32" t="s">
        <v>409</v>
      </c>
      <c r="BP3" s="32" t="s">
        <v>410</v>
      </c>
      <c r="BQ3" s="16"/>
      <c r="BR3" s="16"/>
      <c r="BS3" s="213" t="s">
        <v>173</v>
      </c>
      <c r="BT3" s="213" t="s">
        <v>174</v>
      </c>
      <c r="BU3" s="213" t="s">
        <v>175</v>
      </c>
      <c r="BV3" s="213" t="s">
        <v>176</v>
      </c>
      <c r="BW3" s="213" t="s">
        <v>177</v>
      </c>
      <c r="BX3" s="213" t="s">
        <v>178</v>
      </c>
      <c r="BY3" s="213" t="s">
        <v>164</v>
      </c>
      <c r="BZ3" s="213" t="s">
        <v>165</v>
      </c>
      <c r="CA3" s="213" t="s">
        <v>166</v>
      </c>
      <c r="CB3" s="213" t="s">
        <v>167</v>
      </c>
      <c r="CC3" s="213" t="s">
        <v>168</v>
      </c>
      <c r="CD3" s="213" t="s">
        <v>179</v>
      </c>
      <c r="CE3" s="213" t="s">
        <v>180</v>
      </c>
      <c r="CF3" s="213" t="s">
        <v>181</v>
      </c>
      <c r="CG3" s="213" t="s">
        <v>182</v>
      </c>
      <c r="CH3" s="213" t="s">
        <v>183</v>
      </c>
      <c r="CI3" s="213" t="s">
        <v>184</v>
      </c>
      <c r="CJ3" s="213" t="s">
        <v>185</v>
      </c>
      <c r="CK3" s="213" t="s">
        <v>186</v>
      </c>
      <c r="CL3" s="213" t="s">
        <v>187</v>
      </c>
      <c r="CM3" s="213" t="s">
        <v>188</v>
      </c>
      <c r="CN3" s="213" t="s">
        <v>189</v>
      </c>
      <c r="CO3" s="213" t="s">
        <v>190</v>
      </c>
      <c r="CP3" s="213" t="s">
        <v>191</v>
      </c>
      <c r="CQ3" s="213" t="s">
        <v>192</v>
      </c>
      <c r="CR3" s="213" t="s">
        <v>193</v>
      </c>
      <c r="CS3" s="213" t="s">
        <v>194</v>
      </c>
      <c r="CT3" s="213" t="s">
        <v>195</v>
      </c>
      <c r="CU3" s="213" t="s">
        <v>196</v>
      </c>
      <c r="CV3" s="23"/>
      <c r="CW3" s="23"/>
      <c r="CX3" s="23"/>
      <c r="CY3" s="23"/>
      <c r="CZ3" s="23"/>
      <c r="DA3" s="213" t="s">
        <v>179</v>
      </c>
      <c r="DB3" s="213" t="s">
        <v>180</v>
      </c>
      <c r="DC3" s="213" t="s">
        <v>181</v>
      </c>
      <c r="DD3" s="213" t="s">
        <v>182</v>
      </c>
      <c r="DE3" s="213" t="s">
        <v>183</v>
      </c>
      <c r="DF3" s="213" t="s">
        <v>184</v>
      </c>
      <c r="DG3" s="213" t="s">
        <v>185</v>
      </c>
      <c r="DH3" s="213" t="s">
        <v>186</v>
      </c>
      <c r="DI3" s="213" t="s">
        <v>187</v>
      </c>
      <c r="DJ3" s="213" t="s">
        <v>188</v>
      </c>
      <c r="DK3" s="213" t="s">
        <v>189</v>
      </c>
      <c r="DL3" s="213" t="s">
        <v>190</v>
      </c>
      <c r="DM3" s="213" t="s">
        <v>191</v>
      </c>
      <c r="DN3" s="213" t="s">
        <v>192</v>
      </c>
      <c r="DO3" s="213" t="s">
        <v>193</v>
      </c>
      <c r="DP3" s="213" t="s">
        <v>194</v>
      </c>
      <c r="DQ3" s="213" t="s">
        <v>195</v>
      </c>
      <c r="DR3" s="213" t="s">
        <v>196</v>
      </c>
      <c r="DS3" s="23"/>
      <c r="DT3" s="23"/>
      <c r="DU3" s="23"/>
      <c r="DV3" s="23"/>
      <c r="DW3" s="23"/>
      <c r="DX3" s="213" t="s">
        <v>197</v>
      </c>
      <c r="DY3" s="213" t="s">
        <v>198</v>
      </c>
      <c r="DZ3" s="213" t="s">
        <v>199</v>
      </c>
      <c r="EA3" s="213" t="s">
        <v>200</v>
      </c>
      <c r="EB3" s="32" t="s">
        <v>411</v>
      </c>
      <c r="EC3" s="32" t="s">
        <v>412</v>
      </c>
    </row>
    <row r="4" spans="1:133" ht="12.95" customHeight="1">
      <c r="A4" s="12">
        <v>1</v>
      </c>
      <c r="B4" s="13" t="s">
        <v>34</v>
      </c>
      <c r="C4" s="19" t="s">
        <v>201</v>
      </c>
      <c r="D4" s="4">
        <f t="shared" ref="D4:D51" si="0">SUM(F4:K4)</f>
        <v>9891</v>
      </c>
      <c r="E4" s="4">
        <f t="shared" ref="E4:E51" si="1">SUM(AN4:BE4)</f>
        <v>4380</v>
      </c>
      <c r="F4" s="300">
        <v>0</v>
      </c>
      <c r="G4" s="366">
        <v>1950</v>
      </c>
      <c r="H4" s="366">
        <v>1902</v>
      </c>
      <c r="I4" s="366">
        <v>1413</v>
      </c>
      <c r="J4" s="366">
        <v>1426</v>
      </c>
      <c r="K4" s="366">
        <v>3200</v>
      </c>
      <c r="L4" s="367">
        <v>8034</v>
      </c>
      <c r="M4" s="367">
        <v>285</v>
      </c>
      <c r="N4" s="367">
        <v>584</v>
      </c>
      <c r="O4" s="367">
        <v>882</v>
      </c>
      <c r="P4" s="367">
        <v>121</v>
      </c>
      <c r="Q4" s="368">
        <v>13</v>
      </c>
      <c r="R4" s="368">
        <v>8</v>
      </c>
      <c r="S4" s="368">
        <v>14</v>
      </c>
      <c r="T4" s="368">
        <v>24</v>
      </c>
      <c r="U4" s="368">
        <v>26</v>
      </c>
      <c r="V4" s="368">
        <v>52</v>
      </c>
      <c r="W4" s="368">
        <v>64</v>
      </c>
      <c r="X4" s="368">
        <v>88</v>
      </c>
      <c r="Y4" s="368">
        <v>170</v>
      </c>
      <c r="Z4" s="368">
        <v>300</v>
      </c>
      <c r="AA4" s="368">
        <v>788</v>
      </c>
      <c r="AB4" s="368">
        <v>1094</v>
      </c>
      <c r="AC4" s="368">
        <v>1470</v>
      </c>
      <c r="AD4" s="368">
        <v>1555</v>
      </c>
      <c r="AE4" s="368">
        <v>1747</v>
      </c>
      <c r="AF4" s="368">
        <v>1232</v>
      </c>
      <c r="AG4" s="368">
        <v>800</v>
      </c>
      <c r="AH4" s="368">
        <v>446</v>
      </c>
      <c r="AI4" s="24">
        <f t="shared" ref="AI4:AI51" si="2">Q4+R4+S4</f>
        <v>35</v>
      </c>
      <c r="AJ4" s="24">
        <f t="shared" ref="AJ4:AJ51" si="3">T4+U4+V4</f>
        <v>102</v>
      </c>
      <c r="AK4" s="24">
        <f t="shared" ref="AK4:AK51" si="4">W4+X4+Y4+Z4+AA4</f>
        <v>1410</v>
      </c>
      <c r="AL4" s="24">
        <f t="shared" ref="AL4:AL51" si="5">AB4+AC4+AD4+AE4</f>
        <v>5866</v>
      </c>
      <c r="AM4" s="24">
        <f t="shared" ref="AM4:AM51" si="6">AF4+AG4+AH4</f>
        <v>2478</v>
      </c>
      <c r="AN4" s="369">
        <v>2</v>
      </c>
      <c r="AO4" s="369">
        <v>0</v>
      </c>
      <c r="AP4" s="369">
        <v>3</v>
      </c>
      <c r="AQ4" s="369">
        <v>3</v>
      </c>
      <c r="AR4" s="369">
        <v>6</v>
      </c>
      <c r="AS4" s="369">
        <v>8</v>
      </c>
      <c r="AT4" s="369">
        <v>9</v>
      </c>
      <c r="AU4" s="369">
        <v>35</v>
      </c>
      <c r="AV4" s="369">
        <v>61</v>
      </c>
      <c r="AW4" s="369">
        <v>126</v>
      </c>
      <c r="AX4" s="369">
        <v>252</v>
      </c>
      <c r="AY4" s="369">
        <v>436</v>
      </c>
      <c r="AZ4" s="369">
        <v>575</v>
      </c>
      <c r="BA4" s="369">
        <v>558</v>
      </c>
      <c r="BB4" s="369">
        <v>745</v>
      </c>
      <c r="BC4" s="369">
        <v>689</v>
      </c>
      <c r="BD4" s="369">
        <v>535</v>
      </c>
      <c r="BE4" s="369">
        <v>337</v>
      </c>
      <c r="BF4" s="88">
        <f>SUM(AN4:AP4)</f>
        <v>5</v>
      </c>
      <c r="BG4" s="88">
        <f>SUM(AQ4:AS4)</f>
        <v>17</v>
      </c>
      <c r="BH4" s="88">
        <f>SUM(AT4:AX4)</f>
        <v>483</v>
      </c>
      <c r="BI4" s="88">
        <f>SUM(AY4:BB4)</f>
        <v>2314</v>
      </c>
      <c r="BJ4" s="88">
        <f>SUM(BC4:BE4)</f>
        <v>1561</v>
      </c>
      <c r="BK4" s="370">
        <v>42011</v>
      </c>
      <c r="BL4" s="370">
        <v>22525</v>
      </c>
      <c r="BM4" s="370">
        <v>7738</v>
      </c>
      <c r="BN4" s="370">
        <v>48420</v>
      </c>
      <c r="BO4" s="380"/>
      <c r="BP4" s="380"/>
      <c r="BQ4" s="5">
        <f t="shared" ref="BQ4:BQ51" si="7">SUM(BS4:BX4)</f>
        <v>9586</v>
      </c>
      <c r="BR4" s="5">
        <f t="shared" ref="BR4:BR51" si="8">SUM(DA4:DR4)</f>
        <v>3597</v>
      </c>
      <c r="BS4" s="298">
        <v>0</v>
      </c>
      <c r="BT4" s="371">
        <v>2847</v>
      </c>
      <c r="BU4" s="371">
        <v>1463</v>
      </c>
      <c r="BV4" s="371">
        <v>1150</v>
      </c>
      <c r="BW4" s="371">
        <v>998</v>
      </c>
      <c r="BX4" s="371">
        <v>3128</v>
      </c>
      <c r="BY4" s="372">
        <v>7923</v>
      </c>
      <c r="BZ4" s="372">
        <v>330</v>
      </c>
      <c r="CA4" s="372">
        <v>460</v>
      </c>
      <c r="CB4" s="372">
        <v>786</v>
      </c>
      <c r="CC4" s="372">
        <v>96</v>
      </c>
      <c r="CD4" s="373">
        <v>17</v>
      </c>
      <c r="CE4" s="373">
        <v>7</v>
      </c>
      <c r="CF4" s="373">
        <v>12</v>
      </c>
      <c r="CG4" s="373">
        <v>11</v>
      </c>
      <c r="CH4" s="373">
        <v>37</v>
      </c>
      <c r="CI4" s="373">
        <v>239</v>
      </c>
      <c r="CJ4" s="373">
        <v>309</v>
      </c>
      <c r="CK4" s="373">
        <v>290</v>
      </c>
      <c r="CL4" s="373">
        <v>429</v>
      </c>
      <c r="CM4" s="373">
        <v>551</v>
      </c>
      <c r="CN4" s="373">
        <v>816</v>
      </c>
      <c r="CO4" s="373">
        <v>864</v>
      </c>
      <c r="CP4" s="373">
        <v>949</v>
      </c>
      <c r="CQ4" s="373">
        <v>1017</v>
      </c>
      <c r="CR4" s="373">
        <v>1132</v>
      </c>
      <c r="CS4" s="373">
        <v>1160</v>
      </c>
      <c r="CT4" s="373">
        <v>999</v>
      </c>
      <c r="CU4" s="373">
        <v>747</v>
      </c>
      <c r="CV4" s="25">
        <f t="shared" ref="CV4:CV51" si="9">CD4+CE4+CF4</f>
        <v>36</v>
      </c>
      <c r="CW4" s="25">
        <f t="shared" ref="CW4:CW51" si="10">CG4+CH4+CI4</f>
        <v>287</v>
      </c>
      <c r="CX4" s="25">
        <f t="shared" ref="CX4:CX51" si="11">CJ4+CK4+CL4+CM4+CN4</f>
        <v>2395</v>
      </c>
      <c r="CY4" s="25">
        <f t="shared" ref="CY4:CY51" si="12">CO4+CP4+CQ4+CR4</f>
        <v>3962</v>
      </c>
      <c r="CZ4" s="25">
        <f t="shared" ref="CZ4:CZ51" si="13">CS4+CT4+CU4</f>
        <v>2906</v>
      </c>
      <c r="DA4" s="374">
        <v>1</v>
      </c>
      <c r="DB4" s="374">
        <v>3</v>
      </c>
      <c r="DC4" s="374">
        <v>3</v>
      </c>
      <c r="DD4" s="374">
        <v>3</v>
      </c>
      <c r="DE4" s="374">
        <v>6</v>
      </c>
      <c r="DF4" s="374">
        <v>9</v>
      </c>
      <c r="DG4" s="374">
        <v>21</v>
      </c>
      <c r="DH4" s="374">
        <v>30</v>
      </c>
      <c r="DI4" s="374">
        <v>63</v>
      </c>
      <c r="DJ4" s="374">
        <v>120</v>
      </c>
      <c r="DK4" s="374">
        <v>194</v>
      </c>
      <c r="DL4" s="374">
        <v>255</v>
      </c>
      <c r="DM4" s="374">
        <v>336</v>
      </c>
      <c r="DN4" s="374">
        <v>340</v>
      </c>
      <c r="DO4" s="374">
        <v>518</v>
      </c>
      <c r="DP4" s="374">
        <v>611</v>
      </c>
      <c r="DQ4" s="374">
        <v>574</v>
      </c>
      <c r="DR4" s="374">
        <v>510</v>
      </c>
      <c r="DS4" s="89">
        <f>SUM(DA4:DC4)</f>
        <v>7</v>
      </c>
      <c r="DT4" s="89">
        <f>SUM(DD4:DF4)</f>
        <v>18</v>
      </c>
      <c r="DU4" s="89">
        <f>SUM(DG4:DK4)</f>
        <v>428</v>
      </c>
      <c r="DV4" s="89">
        <f>SUM(DL4:DO4)</f>
        <v>1449</v>
      </c>
      <c r="DW4" s="89">
        <f>SUM(DP4:DR4)</f>
        <v>1695</v>
      </c>
      <c r="DX4" s="375">
        <v>58354</v>
      </c>
      <c r="DY4" s="375">
        <v>35141</v>
      </c>
      <c r="DZ4" s="375">
        <v>18968</v>
      </c>
      <c r="EA4" s="375">
        <v>65157</v>
      </c>
      <c r="EB4" s="90"/>
      <c r="EC4" s="90"/>
    </row>
    <row r="5" spans="1:133" ht="12.95" customHeight="1">
      <c r="A5" s="2">
        <v>2</v>
      </c>
      <c r="B5" s="3" t="s">
        <v>35</v>
      </c>
      <c r="C5" s="3" t="s">
        <v>36</v>
      </c>
      <c r="D5" s="4">
        <f t="shared" si="0"/>
        <v>9529</v>
      </c>
      <c r="E5" s="4">
        <f t="shared" si="1"/>
        <v>4330</v>
      </c>
      <c r="F5" s="302">
        <v>0</v>
      </c>
      <c r="G5" s="366">
        <v>1950</v>
      </c>
      <c r="H5" s="366">
        <v>1902</v>
      </c>
      <c r="I5" s="366">
        <v>1413</v>
      </c>
      <c r="J5" s="366">
        <v>1426</v>
      </c>
      <c r="K5" s="366">
        <v>2838</v>
      </c>
      <c r="L5" s="367">
        <v>7724</v>
      </c>
      <c r="M5" s="367">
        <v>278</v>
      </c>
      <c r="N5" s="367">
        <v>577</v>
      </c>
      <c r="O5" s="367">
        <v>848</v>
      </c>
      <c r="P5" s="367">
        <v>114</v>
      </c>
      <c r="Q5" s="368">
        <v>11</v>
      </c>
      <c r="R5" s="368">
        <v>7</v>
      </c>
      <c r="S5" s="368">
        <v>13</v>
      </c>
      <c r="T5" s="368">
        <v>22</v>
      </c>
      <c r="U5" s="368">
        <v>23</v>
      </c>
      <c r="V5" s="368">
        <v>46</v>
      </c>
      <c r="W5" s="368">
        <v>61</v>
      </c>
      <c r="X5" s="368">
        <v>82</v>
      </c>
      <c r="Y5" s="368">
        <v>164</v>
      </c>
      <c r="Z5" s="368">
        <v>295</v>
      </c>
      <c r="AA5" s="368">
        <v>762</v>
      </c>
      <c r="AB5" s="368">
        <v>1060</v>
      </c>
      <c r="AC5" s="368">
        <v>1427</v>
      </c>
      <c r="AD5" s="368">
        <v>1506</v>
      </c>
      <c r="AE5" s="368">
        <v>1685</v>
      </c>
      <c r="AF5" s="368">
        <v>1187</v>
      </c>
      <c r="AG5" s="368">
        <v>753</v>
      </c>
      <c r="AH5" s="368">
        <v>425</v>
      </c>
      <c r="AI5" s="24">
        <f t="shared" si="2"/>
        <v>31</v>
      </c>
      <c r="AJ5" s="24">
        <f t="shared" si="3"/>
        <v>91</v>
      </c>
      <c r="AK5" s="24">
        <f t="shared" si="4"/>
        <v>1364</v>
      </c>
      <c r="AL5" s="24">
        <f t="shared" si="5"/>
        <v>5678</v>
      </c>
      <c r="AM5" s="24">
        <f t="shared" si="6"/>
        <v>2365</v>
      </c>
      <c r="AN5" s="369">
        <v>2</v>
      </c>
      <c r="AO5" s="369">
        <v>0</v>
      </c>
      <c r="AP5" s="369">
        <v>3</v>
      </c>
      <c r="AQ5" s="369">
        <v>3</v>
      </c>
      <c r="AR5" s="369">
        <v>6</v>
      </c>
      <c r="AS5" s="369">
        <v>8</v>
      </c>
      <c r="AT5" s="369">
        <v>9</v>
      </c>
      <c r="AU5" s="369">
        <v>34</v>
      </c>
      <c r="AV5" s="369">
        <v>61</v>
      </c>
      <c r="AW5" s="369">
        <v>126</v>
      </c>
      <c r="AX5" s="369">
        <v>251</v>
      </c>
      <c r="AY5" s="369">
        <v>434</v>
      </c>
      <c r="AZ5" s="369">
        <v>570</v>
      </c>
      <c r="BA5" s="369">
        <v>552</v>
      </c>
      <c r="BB5" s="369">
        <v>734</v>
      </c>
      <c r="BC5" s="369">
        <v>678</v>
      </c>
      <c r="BD5" s="369">
        <v>526</v>
      </c>
      <c r="BE5" s="369">
        <v>333</v>
      </c>
      <c r="BF5" s="88">
        <f t="shared" ref="BF5:BF51" si="14">SUM(AN5:AP5)</f>
        <v>5</v>
      </c>
      <c r="BG5" s="88">
        <f t="shared" ref="BG5:BG51" si="15">SUM(AQ5:AS5)</f>
        <v>17</v>
      </c>
      <c r="BH5" s="88">
        <f t="shared" ref="BH5:BH51" si="16">SUM(AT5:AX5)</f>
        <v>481</v>
      </c>
      <c r="BI5" s="88">
        <f t="shared" ref="BI5:BI51" si="17">SUM(AY5:BB5)</f>
        <v>2290</v>
      </c>
      <c r="BJ5" s="88">
        <f t="shared" ref="BJ5:BJ51" si="18">SUM(BC5:BE5)</f>
        <v>1537</v>
      </c>
      <c r="BK5" s="370">
        <v>40908</v>
      </c>
      <c r="BL5" s="370">
        <v>22078</v>
      </c>
      <c r="BM5" s="370">
        <v>7661</v>
      </c>
      <c r="BN5" s="370">
        <v>47077</v>
      </c>
      <c r="BO5" s="380"/>
      <c r="BP5" s="380"/>
      <c r="BQ5" s="5">
        <f t="shared" si="7"/>
        <v>8306</v>
      </c>
      <c r="BR5" s="5">
        <f t="shared" si="8"/>
        <v>3541</v>
      </c>
      <c r="BS5" s="299">
        <v>0</v>
      </c>
      <c r="BT5" s="371">
        <v>2820</v>
      </c>
      <c r="BU5" s="371">
        <v>1462</v>
      </c>
      <c r="BV5" s="371">
        <v>1150</v>
      </c>
      <c r="BW5" s="371">
        <v>998</v>
      </c>
      <c r="BX5" s="371">
        <v>1876</v>
      </c>
      <c r="BY5" s="372">
        <v>6747</v>
      </c>
      <c r="BZ5" s="372">
        <v>322</v>
      </c>
      <c r="CA5" s="372">
        <v>442</v>
      </c>
      <c r="CB5" s="372">
        <v>720</v>
      </c>
      <c r="CC5" s="372">
        <v>80</v>
      </c>
      <c r="CD5" s="373">
        <v>16</v>
      </c>
      <c r="CE5" s="373">
        <v>7</v>
      </c>
      <c r="CF5" s="373">
        <v>10</v>
      </c>
      <c r="CG5" s="373">
        <v>8</v>
      </c>
      <c r="CH5" s="373">
        <v>26</v>
      </c>
      <c r="CI5" s="373">
        <v>61</v>
      </c>
      <c r="CJ5" s="373">
        <v>112</v>
      </c>
      <c r="CK5" s="373">
        <v>150</v>
      </c>
      <c r="CL5" s="373">
        <v>308</v>
      </c>
      <c r="CM5" s="373">
        <v>455</v>
      </c>
      <c r="CN5" s="373">
        <v>719</v>
      </c>
      <c r="CO5" s="373">
        <v>799</v>
      </c>
      <c r="CP5" s="373">
        <v>892</v>
      </c>
      <c r="CQ5" s="373">
        <v>953</v>
      </c>
      <c r="CR5" s="373">
        <v>1061</v>
      </c>
      <c r="CS5" s="373">
        <v>1092</v>
      </c>
      <c r="CT5" s="373">
        <v>933</v>
      </c>
      <c r="CU5" s="373">
        <v>704</v>
      </c>
      <c r="CV5" s="25">
        <f t="shared" si="9"/>
        <v>33</v>
      </c>
      <c r="CW5" s="25">
        <f t="shared" si="10"/>
        <v>95</v>
      </c>
      <c r="CX5" s="25">
        <f t="shared" si="11"/>
        <v>1744</v>
      </c>
      <c r="CY5" s="25">
        <f t="shared" si="12"/>
        <v>3705</v>
      </c>
      <c r="CZ5" s="25">
        <f t="shared" si="13"/>
        <v>2729</v>
      </c>
      <c r="DA5" s="374">
        <v>1</v>
      </c>
      <c r="DB5" s="374">
        <v>3</v>
      </c>
      <c r="DC5" s="374">
        <v>3</v>
      </c>
      <c r="DD5" s="374">
        <v>3</v>
      </c>
      <c r="DE5" s="374">
        <v>6</v>
      </c>
      <c r="DF5" s="374">
        <v>9</v>
      </c>
      <c r="DG5" s="374">
        <v>20</v>
      </c>
      <c r="DH5" s="374">
        <v>30</v>
      </c>
      <c r="DI5" s="374">
        <v>63</v>
      </c>
      <c r="DJ5" s="374">
        <v>120</v>
      </c>
      <c r="DK5" s="374">
        <v>193</v>
      </c>
      <c r="DL5" s="374">
        <v>254</v>
      </c>
      <c r="DM5" s="374">
        <v>332</v>
      </c>
      <c r="DN5" s="374">
        <v>334</v>
      </c>
      <c r="DO5" s="374">
        <v>510</v>
      </c>
      <c r="DP5" s="374">
        <v>600</v>
      </c>
      <c r="DQ5" s="374">
        <v>560</v>
      </c>
      <c r="DR5" s="374">
        <v>500</v>
      </c>
      <c r="DS5" s="89">
        <f t="shared" ref="DS5:DS51" si="19">SUM(DA5:DC5)</f>
        <v>7</v>
      </c>
      <c r="DT5" s="89">
        <f t="shared" ref="DT5:DT51" si="20">SUM(DD5:DF5)</f>
        <v>18</v>
      </c>
      <c r="DU5" s="89">
        <f t="shared" ref="DU5:DU51" si="21">SUM(DG5:DK5)</f>
        <v>426</v>
      </c>
      <c r="DV5" s="89">
        <f t="shared" ref="DV5:DV51" si="22">SUM(DL5:DO5)</f>
        <v>1430</v>
      </c>
      <c r="DW5" s="89">
        <f t="shared" ref="DW5:DW51" si="23">SUM(DP5:DR5)</f>
        <v>1660</v>
      </c>
      <c r="DX5" s="375">
        <v>50916</v>
      </c>
      <c r="DY5" s="375">
        <v>31625</v>
      </c>
      <c r="DZ5" s="375">
        <v>18347</v>
      </c>
      <c r="EA5" s="375">
        <v>56612</v>
      </c>
      <c r="EB5" s="90"/>
      <c r="EC5" s="90"/>
    </row>
    <row r="6" spans="1:133" ht="12.95" customHeight="1">
      <c r="A6" s="12">
        <v>3</v>
      </c>
      <c r="B6" s="3" t="s">
        <v>37</v>
      </c>
      <c r="C6" s="3" t="s">
        <v>38</v>
      </c>
      <c r="D6" s="4">
        <f t="shared" si="0"/>
        <v>24</v>
      </c>
      <c r="E6" s="4">
        <f t="shared" si="1"/>
        <v>5</v>
      </c>
      <c r="F6" s="302">
        <v>0</v>
      </c>
      <c r="G6" s="366">
        <v>12</v>
      </c>
      <c r="H6" s="366">
        <v>7</v>
      </c>
      <c r="I6" s="366">
        <v>2</v>
      </c>
      <c r="J6" s="366">
        <v>1</v>
      </c>
      <c r="K6" s="366">
        <v>2</v>
      </c>
      <c r="L6" s="367">
        <v>21</v>
      </c>
      <c r="M6" s="367">
        <v>1</v>
      </c>
      <c r="N6" s="367">
        <v>0</v>
      </c>
      <c r="O6" s="367">
        <v>2</v>
      </c>
      <c r="P6" s="367">
        <v>0</v>
      </c>
      <c r="Q6" s="368">
        <v>0</v>
      </c>
      <c r="R6" s="368">
        <v>0</v>
      </c>
      <c r="S6" s="368">
        <v>0</v>
      </c>
      <c r="T6" s="368">
        <v>0</v>
      </c>
      <c r="U6" s="368">
        <v>0</v>
      </c>
      <c r="V6" s="368">
        <v>0</v>
      </c>
      <c r="W6" s="368">
        <v>0</v>
      </c>
      <c r="X6" s="368">
        <v>1</v>
      </c>
      <c r="Y6" s="368">
        <v>1</v>
      </c>
      <c r="Z6" s="368">
        <v>0</v>
      </c>
      <c r="AA6" s="368">
        <v>0</v>
      </c>
      <c r="AB6" s="368">
        <v>1</v>
      </c>
      <c r="AC6" s="368">
        <v>2</v>
      </c>
      <c r="AD6" s="368">
        <v>3</v>
      </c>
      <c r="AE6" s="368">
        <v>8</v>
      </c>
      <c r="AF6" s="368">
        <v>4</v>
      </c>
      <c r="AG6" s="368">
        <v>3</v>
      </c>
      <c r="AH6" s="368">
        <v>1</v>
      </c>
      <c r="AI6" s="24">
        <f t="shared" si="2"/>
        <v>0</v>
      </c>
      <c r="AJ6" s="24">
        <f t="shared" si="3"/>
        <v>0</v>
      </c>
      <c r="AK6" s="24">
        <f t="shared" si="4"/>
        <v>2</v>
      </c>
      <c r="AL6" s="24">
        <f t="shared" si="5"/>
        <v>14</v>
      </c>
      <c r="AM6" s="24">
        <f t="shared" si="6"/>
        <v>8</v>
      </c>
      <c r="AN6" s="369">
        <v>0</v>
      </c>
      <c r="AO6" s="369">
        <v>0</v>
      </c>
      <c r="AP6" s="369">
        <v>0</v>
      </c>
      <c r="AQ6" s="369">
        <v>0</v>
      </c>
      <c r="AR6" s="369">
        <v>0</v>
      </c>
      <c r="AS6" s="369">
        <v>0</v>
      </c>
      <c r="AT6" s="369">
        <v>0</v>
      </c>
      <c r="AU6" s="369">
        <v>0</v>
      </c>
      <c r="AV6" s="369">
        <v>0</v>
      </c>
      <c r="AW6" s="369">
        <v>0</v>
      </c>
      <c r="AX6" s="369">
        <v>0</v>
      </c>
      <c r="AY6" s="369">
        <v>0</v>
      </c>
      <c r="AZ6" s="369">
        <v>0</v>
      </c>
      <c r="BA6" s="369">
        <v>0</v>
      </c>
      <c r="BB6" s="369">
        <v>2</v>
      </c>
      <c r="BC6" s="369">
        <v>0</v>
      </c>
      <c r="BD6" s="369">
        <v>2</v>
      </c>
      <c r="BE6" s="369">
        <v>1</v>
      </c>
      <c r="BF6" s="88">
        <f t="shared" si="14"/>
        <v>0</v>
      </c>
      <c r="BG6" s="88">
        <f t="shared" si="15"/>
        <v>0</v>
      </c>
      <c r="BH6" s="88">
        <f t="shared" si="16"/>
        <v>0</v>
      </c>
      <c r="BI6" s="88">
        <f t="shared" si="17"/>
        <v>2</v>
      </c>
      <c r="BJ6" s="88">
        <f t="shared" si="18"/>
        <v>3</v>
      </c>
      <c r="BK6" s="370">
        <v>335</v>
      </c>
      <c r="BL6" s="370">
        <v>268</v>
      </c>
      <c r="BM6" s="370">
        <v>201</v>
      </c>
      <c r="BN6" s="370">
        <v>353</v>
      </c>
      <c r="BO6" s="383" t="s">
        <v>489</v>
      </c>
      <c r="BP6" s="381" t="s">
        <v>507</v>
      </c>
      <c r="BQ6" s="5">
        <f t="shared" si="7"/>
        <v>17</v>
      </c>
      <c r="BR6" s="5">
        <f t="shared" si="8"/>
        <v>2</v>
      </c>
      <c r="BS6" s="299">
        <v>0</v>
      </c>
      <c r="BT6" s="371">
        <v>8</v>
      </c>
      <c r="BU6" s="371">
        <v>7</v>
      </c>
      <c r="BV6" s="371">
        <v>1</v>
      </c>
      <c r="BW6" s="371">
        <v>0</v>
      </c>
      <c r="BX6" s="371">
        <v>1</v>
      </c>
      <c r="BY6" s="372">
        <v>15</v>
      </c>
      <c r="BZ6" s="372">
        <v>1</v>
      </c>
      <c r="CA6" s="372">
        <v>0</v>
      </c>
      <c r="CB6" s="372">
        <v>1</v>
      </c>
      <c r="CC6" s="372">
        <v>0</v>
      </c>
      <c r="CD6" s="373">
        <v>0</v>
      </c>
      <c r="CE6" s="373">
        <v>0</v>
      </c>
      <c r="CF6" s="373">
        <v>0</v>
      </c>
      <c r="CG6" s="373">
        <v>0</v>
      </c>
      <c r="CH6" s="373">
        <v>0</v>
      </c>
      <c r="CI6" s="373">
        <v>0</v>
      </c>
      <c r="CJ6" s="373">
        <v>0</v>
      </c>
      <c r="CK6" s="373">
        <v>0</v>
      </c>
      <c r="CL6" s="373">
        <v>0</v>
      </c>
      <c r="CM6" s="373">
        <v>0</v>
      </c>
      <c r="CN6" s="373">
        <v>0</v>
      </c>
      <c r="CO6" s="373">
        <v>0</v>
      </c>
      <c r="CP6" s="373">
        <v>0</v>
      </c>
      <c r="CQ6" s="373">
        <v>1</v>
      </c>
      <c r="CR6" s="373">
        <v>1</v>
      </c>
      <c r="CS6" s="373">
        <v>3</v>
      </c>
      <c r="CT6" s="373">
        <v>10</v>
      </c>
      <c r="CU6" s="373">
        <v>2</v>
      </c>
      <c r="CV6" s="25">
        <f t="shared" si="9"/>
        <v>0</v>
      </c>
      <c r="CW6" s="25">
        <f t="shared" si="10"/>
        <v>0</v>
      </c>
      <c r="CX6" s="25">
        <f t="shared" si="11"/>
        <v>0</v>
      </c>
      <c r="CY6" s="25">
        <f t="shared" si="12"/>
        <v>2</v>
      </c>
      <c r="CZ6" s="25">
        <f t="shared" si="13"/>
        <v>15</v>
      </c>
      <c r="DA6" s="374">
        <v>0</v>
      </c>
      <c r="DB6" s="374">
        <v>0</v>
      </c>
      <c r="DC6" s="374">
        <v>0</v>
      </c>
      <c r="DD6" s="374">
        <v>0</v>
      </c>
      <c r="DE6" s="374">
        <v>0</v>
      </c>
      <c r="DF6" s="374">
        <v>0</v>
      </c>
      <c r="DG6" s="374">
        <v>0</v>
      </c>
      <c r="DH6" s="374">
        <v>0</v>
      </c>
      <c r="DI6" s="374">
        <v>0</v>
      </c>
      <c r="DJ6" s="374">
        <v>0</v>
      </c>
      <c r="DK6" s="374">
        <v>0</v>
      </c>
      <c r="DL6" s="374">
        <v>0</v>
      </c>
      <c r="DM6" s="374">
        <v>0</v>
      </c>
      <c r="DN6" s="374">
        <v>1</v>
      </c>
      <c r="DO6" s="374">
        <v>0</v>
      </c>
      <c r="DP6" s="374">
        <v>0</v>
      </c>
      <c r="DQ6" s="374">
        <v>1</v>
      </c>
      <c r="DR6" s="374">
        <v>0</v>
      </c>
      <c r="DS6" s="89">
        <f t="shared" si="19"/>
        <v>0</v>
      </c>
      <c r="DT6" s="89">
        <f t="shared" si="20"/>
        <v>0</v>
      </c>
      <c r="DU6" s="89">
        <f t="shared" si="21"/>
        <v>0</v>
      </c>
      <c r="DV6" s="89">
        <f t="shared" si="22"/>
        <v>1</v>
      </c>
      <c r="DW6" s="89">
        <f t="shared" si="23"/>
        <v>1</v>
      </c>
      <c r="DX6" s="375">
        <v>115</v>
      </c>
      <c r="DY6" s="375">
        <v>86</v>
      </c>
      <c r="DZ6" s="375">
        <v>58</v>
      </c>
      <c r="EA6" s="375">
        <v>128</v>
      </c>
      <c r="EB6" s="384">
        <v>91.6</v>
      </c>
      <c r="EC6" s="385">
        <v>29.4</v>
      </c>
    </row>
    <row r="7" spans="1:133" ht="12.95" customHeight="1">
      <c r="A7" s="2">
        <v>4</v>
      </c>
      <c r="B7" s="3" t="s">
        <v>39</v>
      </c>
      <c r="C7" s="3" t="s">
        <v>40</v>
      </c>
      <c r="D7" s="4">
        <f t="shared" si="0"/>
        <v>253</v>
      </c>
      <c r="E7" s="4">
        <f t="shared" si="1"/>
        <v>209</v>
      </c>
      <c r="F7" s="302">
        <v>0</v>
      </c>
      <c r="G7" s="366">
        <v>10</v>
      </c>
      <c r="H7" s="366">
        <v>19</v>
      </c>
      <c r="I7" s="366">
        <v>40</v>
      </c>
      <c r="J7" s="366">
        <v>140</v>
      </c>
      <c r="K7" s="366">
        <v>44</v>
      </c>
      <c r="L7" s="367">
        <v>202</v>
      </c>
      <c r="M7" s="367">
        <v>22</v>
      </c>
      <c r="N7" s="367">
        <v>4</v>
      </c>
      <c r="O7" s="367">
        <v>23</v>
      </c>
      <c r="P7" s="367">
        <v>2</v>
      </c>
      <c r="Q7" s="368">
        <v>0</v>
      </c>
      <c r="R7" s="368">
        <v>0</v>
      </c>
      <c r="S7" s="368">
        <v>0</v>
      </c>
      <c r="T7" s="368">
        <v>0</v>
      </c>
      <c r="U7" s="368">
        <v>0</v>
      </c>
      <c r="V7" s="368">
        <v>1</v>
      </c>
      <c r="W7" s="368">
        <v>1</v>
      </c>
      <c r="X7" s="368">
        <v>8</v>
      </c>
      <c r="Y7" s="368">
        <v>11</v>
      </c>
      <c r="Z7" s="368">
        <v>19</v>
      </c>
      <c r="AA7" s="368">
        <v>23</v>
      </c>
      <c r="AB7" s="368">
        <v>46</v>
      </c>
      <c r="AC7" s="368">
        <v>56</v>
      </c>
      <c r="AD7" s="368">
        <v>38</v>
      </c>
      <c r="AE7" s="368">
        <v>24</v>
      </c>
      <c r="AF7" s="368">
        <v>18</v>
      </c>
      <c r="AG7" s="368">
        <v>5</v>
      </c>
      <c r="AH7" s="368">
        <v>3</v>
      </c>
      <c r="AI7" s="24">
        <f t="shared" si="2"/>
        <v>0</v>
      </c>
      <c r="AJ7" s="24">
        <f t="shared" si="3"/>
        <v>1</v>
      </c>
      <c r="AK7" s="24">
        <f t="shared" si="4"/>
        <v>62</v>
      </c>
      <c r="AL7" s="24">
        <f t="shared" si="5"/>
        <v>164</v>
      </c>
      <c r="AM7" s="24">
        <f t="shared" si="6"/>
        <v>26</v>
      </c>
      <c r="AN7" s="369">
        <v>0</v>
      </c>
      <c r="AO7" s="369">
        <v>0</v>
      </c>
      <c r="AP7" s="369">
        <v>0</v>
      </c>
      <c r="AQ7" s="369">
        <v>0</v>
      </c>
      <c r="AR7" s="369">
        <v>0</v>
      </c>
      <c r="AS7" s="369">
        <v>0</v>
      </c>
      <c r="AT7" s="369">
        <v>0</v>
      </c>
      <c r="AU7" s="369">
        <v>5</v>
      </c>
      <c r="AV7" s="369">
        <v>5</v>
      </c>
      <c r="AW7" s="369">
        <v>9</v>
      </c>
      <c r="AX7" s="369">
        <v>25</v>
      </c>
      <c r="AY7" s="369">
        <v>44</v>
      </c>
      <c r="AZ7" s="369">
        <v>46</v>
      </c>
      <c r="BA7" s="369">
        <v>31</v>
      </c>
      <c r="BB7" s="369">
        <v>20</v>
      </c>
      <c r="BC7" s="369">
        <v>15</v>
      </c>
      <c r="BD7" s="369">
        <v>3</v>
      </c>
      <c r="BE7" s="369">
        <v>6</v>
      </c>
      <c r="BF7" s="88">
        <f t="shared" si="14"/>
        <v>0</v>
      </c>
      <c r="BG7" s="88">
        <f t="shared" si="15"/>
        <v>0</v>
      </c>
      <c r="BH7" s="88">
        <f t="shared" si="16"/>
        <v>44</v>
      </c>
      <c r="BI7" s="88">
        <f t="shared" si="17"/>
        <v>141</v>
      </c>
      <c r="BJ7" s="88">
        <f t="shared" si="18"/>
        <v>24</v>
      </c>
      <c r="BK7" s="370">
        <v>518</v>
      </c>
      <c r="BL7" s="370">
        <v>276</v>
      </c>
      <c r="BM7" s="370">
        <v>139</v>
      </c>
      <c r="BN7" s="370">
        <v>642</v>
      </c>
      <c r="BO7" s="383" t="s">
        <v>490</v>
      </c>
      <c r="BP7" s="381" t="s">
        <v>508</v>
      </c>
      <c r="BQ7" s="5">
        <f t="shared" si="7"/>
        <v>64</v>
      </c>
      <c r="BR7" s="5">
        <f t="shared" si="8"/>
        <v>38</v>
      </c>
      <c r="BS7" s="299">
        <v>0</v>
      </c>
      <c r="BT7" s="371">
        <v>12</v>
      </c>
      <c r="BU7" s="371">
        <v>6</v>
      </c>
      <c r="BV7" s="371">
        <v>13</v>
      </c>
      <c r="BW7" s="371">
        <v>21</v>
      </c>
      <c r="BX7" s="371">
        <v>12</v>
      </c>
      <c r="BY7" s="372">
        <v>49</v>
      </c>
      <c r="BZ7" s="372">
        <v>5</v>
      </c>
      <c r="CA7" s="372">
        <v>1</v>
      </c>
      <c r="CB7" s="372">
        <v>8</v>
      </c>
      <c r="CC7" s="372">
        <v>1</v>
      </c>
      <c r="CD7" s="373">
        <v>0</v>
      </c>
      <c r="CE7" s="373">
        <v>0</v>
      </c>
      <c r="CF7" s="373">
        <v>0</v>
      </c>
      <c r="CG7" s="373">
        <v>0</v>
      </c>
      <c r="CH7" s="373">
        <v>0</v>
      </c>
      <c r="CI7" s="373">
        <v>0</v>
      </c>
      <c r="CJ7" s="373">
        <v>0</v>
      </c>
      <c r="CK7" s="373">
        <v>3</v>
      </c>
      <c r="CL7" s="373">
        <v>3</v>
      </c>
      <c r="CM7" s="373">
        <v>5</v>
      </c>
      <c r="CN7" s="373">
        <v>10</v>
      </c>
      <c r="CO7" s="373">
        <v>8</v>
      </c>
      <c r="CP7" s="373">
        <v>4</v>
      </c>
      <c r="CQ7" s="373">
        <v>7</v>
      </c>
      <c r="CR7" s="373">
        <v>7</v>
      </c>
      <c r="CS7" s="373">
        <v>5</v>
      </c>
      <c r="CT7" s="373">
        <v>5</v>
      </c>
      <c r="CU7" s="373">
        <v>7</v>
      </c>
      <c r="CV7" s="25">
        <f t="shared" si="9"/>
        <v>0</v>
      </c>
      <c r="CW7" s="25">
        <f t="shared" si="10"/>
        <v>0</v>
      </c>
      <c r="CX7" s="25">
        <f t="shared" si="11"/>
        <v>21</v>
      </c>
      <c r="CY7" s="25">
        <f t="shared" si="12"/>
        <v>26</v>
      </c>
      <c r="CZ7" s="25">
        <f t="shared" si="13"/>
        <v>17</v>
      </c>
      <c r="DA7" s="374">
        <v>0</v>
      </c>
      <c r="DB7" s="374">
        <v>0</v>
      </c>
      <c r="DC7" s="374">
        <v>0</v>
      </c>
      <c r="DD7" s="374">
        <v>0</v>
      </c>
      <c r="DE7" s="374">
        <v>0</v>
      </c>
      <c r="DF7" s="374">
        <v>0</v>
      </c>
      <c r="DG7" s="374">
        <v>0</v>
      </c>
      <c r="DH7" s="374">
        <v>1</v>
      </c>
      <c r="DI7" s="374">
        <v>0</v>
      </c>
      <c r="DJ7" s="374">
        <v>5</v>
      </c>
      <c r="DK7" s="374">
        <v>2</v>
      </c>
      <c r="DL7" s="374">
        <v>5</v>
      </c>
      <c r="DM7" s="374">
        <v>3</v>
      </c>
      <c r="DN7" s="374">
        <v>4</v>
      </c>
      <c r="DO7" s="374">
        <v>4</v>
      </c>
      <c r="DP7" s="374">
        <v>6</v>
      </c>
      <c r="DQ7" s="374">
        <v>4</v>
      </c>
      <c r="DR7" s="374">
        <v>4</v>
      </c>
      <c r="DS7" s="89">
        <f t="shared" si="19"/>
        <v>0</v>
      </c>
      <c r="DT7" s="89">
        <f t="shared" si="20"/>
        <v>0</v>
      </c>
      <c r="DU7" s="89">
        <f t="shared" si="21"/>
        <v>8</v>
      </c>
      <c r="DV7" s="89">
        <f t="shared" si="22"/>
        <v>16</v>
      </c>
      <c r="DW7" s="89">
        <f t="shared" si="23"/>
        <v>14</v>
      </c>
      <c r="DX7" s="375">
        <v>287</v>
      </c>
      <c r="DY7" s="375">
        <v>191</v>
      </c>
      <c r="DZ7" s="375">
        <v>109</v>
      </c>
      <c r="EA7" s="375">
        <v>322</v>
      </c>
      <c r="EB7" s="384">
        <v>56.7</v>
      </c>
      <c r="EC7" s="385">
        <v>40.6</v>
      </c>
    </row>
    <row r="8" spans="1:133" ht="12.95" customHeight="1">
      <c r="A8" s="12">
        <v>5</v>
      </c>
      <c r="B8" s="3" t="s">
        <v>41</v>
      </c>
      <c r="C8" s="3" t="s">
        <v>42</v>
      </c>
      <c r="D8" s="4">
        <f t="shared" si="0"/>
        <v>164</v>
      </c>
      <c r="E8" s="4">
        <f t="shared" si="1"/>
        <v>156</v>
      </c>
      <c r="F8" s="302">
        <v>0</v>
      </c>
      <c r="G8" s="366">
        <v>16</v>
      </c>
      <c r="H8" s="366">
        <v>29</v>
      </c>
      <c r="I8" s="366">
        <v>35</v>
      </c>
      <c r="J8" s="366">
        <v>31</v>
      </c>
      <c r="K8" s="366">
        <v>53</v>
      </c>
      <c r="L8" s="367">
        <v>115</v>
      </c>
      <c r="M8" s="367">
        <v>14</v>
      </c>
      <c r="N8" s="367">
        <v>7</v>
      </c>
      <c r="O8" s="367">
        <v>27</v>
      </c>
      <c r="P8" s="367">
        <v>1</v>
      </c>
      <c r="Q8" s="368">
        <v>0</v>
      </c>
      <c r="R8" s="368">
        <v>0</v>
      </c>
      <c r="S8" s="368">
        <v>0</v>
      </c>
      <c r="T8" s="368">
        <v>0</v>
      </c>
      <c r="U8" s="368">
        <v>0</v>
      </c>
      <c r="V8" s="368">
        <v>0</v>
      </c>
      <c r="W8" s="368">
        <v>0</v>
      </c>
      <c r="X8" s="368">
        <v>1</v>
      </c>
      <c r="Y8" s="368">
        <v>3</v>
      </c>
      <c r="Z8" s="368">
        <v>9</v>
      </c>
      <c r="AA8" s="368">
        <v>16</v>
      </c>
      <c r="AB8" s="368">
        <v>29</v>
      </c>
      <c r="AC8" s="368">
        <v>35</v>
      </c>
      <c r="AD8" s="368">
        <v>27</v>
      </c>
      <c r="AE8" s="368">
        <v>17</v>
      </c>
      <c r="AF8" s="368">
        <v>14</v>
      </c>
      <c r="AG8" s="368">
        <v>7</v>
      </c>
      <c r="AH8" s="368">
        <v>6</v>
      </c>
      <c r="AI8" s="24">
        <f t="shared" si="2"/>
        <v>0</v>
      </c>
      <c r="AJ8" s="24">
        <f t="shared" si="3"/>
        <v>0</v>
      </c>
      <c r="AK8" s="24">
        <f t="shared" si="4"/>
        <v>29</v>
      </c>
      <c r="AL8" s="24">
        <f t="shared" si="5"/>
        <v>108</v>
      </c>
      <c r="AM8" s="24">
        <f t="shared" si="6"/>
        <v>27</v>
      </c>
      <c r="AN8" s="369">
        <v>0</v>
      </c>
      <c r="AO8" s="369">
        <v>0</v>
      </c>
      <c r="AP8" s="369">
        <v>0</v>
      </c>
      <c r="AQ8" s="369">
        <v>0</v>
      </c>
      <c r="AR8" s="369">
        <v>0</v>
      </c>
      <c r="AS8" s="369">
        <v>0</v>
      </c>
      <c r="AT8" s="369">
        <v>0</v>
      </c>
      <c r="AU8" s="369">
        <v>2</v>
      </c>
      <c r="AV8" s="369">
        <v>2</v>
      </c>
      <c r="AW8" s="369">
        <v>9</v>
      </c>
      <c r="AX8" s="369">
        <v>15</v>
      </c>
      <c r="AY8" s="369">
        <v>32</v>
      </c>
      <c r="AZ8" s="369">
        <v>28</v>
      </c>
      <c r="BA8" s="369">
        <v>22</v>
      </c>
      <c r="BB8" s="369">
        <v>20</v>
      </c>
      <c r="BC8" s="369">
        <v>12</v>
      </c>
      <c r="BD8" s="369">
        <v>8</v>
      </c>
      <c r="BE8" s="369">
        <v>6</v>
      </c>
      <c r="BF8" s="88">
        <f t="shared" si="14"/>
        <v>0</v>
      </c>
      <c r="BG8" s="88">
        <f t="shared" si="15"/>
        <v>0</v>
      </c>
      <c r="BH8" s="88">
        <f t="shared" si="16"/>
        <v>28</v>
      </c>
      <c r="BI8" s="88">
        <f t="shared" si="17"/>
        <v>102</v>
      </c>
      <c r="BJ8" s="88">
        <f t="shared" si="18"/>
        <v>26</v>
      </c>
      <c r="BK8" s="370">
        <v>69</v>
      </c>
      <c r="BL8" s="370">
        <v>36</v>
      </c>
      <c r="BM8" s="370">
        <v>18</v>
      </c>
      <c r="BN8" s="370">
        <v>134</v>
      </c>
      <c r="BO8" s="383" t="s">
        <v>491</v>
      </c>
      <c r="BP8" s="381" t="s">
        <v>509</v>
      </c>
      <c r="BQ8" s="5">
        <f t="shared" si="7"/>
        <v>30</v>
      </c>
      <c r="BR8" s="5">
        <f t="shared" si="8"/>
        <v>19</v>
      </c>
      <c r="BS8" s="299">
        <v>0</v>
      </c>
      <c r="BT8" s="371">
        <v>2</v>
      </c>
      <c r="BU8" s="371">
        <v>5</v>
      </c>
      <c r="BV8" s="371">
        <v>9</v>
      </c>
      <c r="BW8" s="371">
        <v>3</v>
      </c>
      <c r="BX8" s="371">
        <v>11</v>
      </c>
      <c r="BY8" s="372">
        <v>16</v>
      </c>
      <c r="BZ8" s="372">
        <v>5</v>
      </c>
      <c r="CA8" s="372">
        <v>4</v>
      </c>
      <c r="CB8" s="372">
        <v>5</v>
      </c>
      <c r="CC8" s="372">
        <v>0</v>
      </c>
      <c r="CD8" s="373">
        <v>0</v>
      </c>
      <c r="CE8" s="373">
        <v>0</v>
      </c>
      <c r="CF8" s="373">
        <v>0</v>
      </c>
      <c r="CG8" s="373">
        <v>0</v>
      </c>
      <c r="CH8" s="373">
        <v>0</v>
      </c>
      <c r="CI8" s="373">
        <v>0</v>
      </c>
      <c r="CJ8" s="373">
        <v>0</v>
      </c>
      <c r="CK8" s="373">
        <v>0</v>
      </c>
      <c r="CL8" s="373">
        <v>0</v>
      </c>
      <c r="CM8" s="373">
        <v>0</v>
      </c>
      <c r="CN8" s="373">
        <v>5</v>
      </c>
      <c r="CO8" s="373">
        <v>4</v>
      </c>
      <c r="CP8" s="373">
        <v>3</v>
      </c>
      <c r="CQ8" s="373">
        <v>3</v>
      </c>
      <c r="CR8" s="373">
        <v>1</v>
      </c>
      <c r="CS8" s="373">
        <v>1</v>
      </c>
      <c r="CT8" s="373">
        <v>7</v>
      </c>
      <c r="CU8" s="373">
        <v>6</v>
      </c>
      <c r="CV8" s="25">
        <f t="shared" si="9"/>
        <v>0</v>
      </c>
      <c r="CW8" s="25">
        <f t="shared" si="10"/>
        <v>0</v>
      </c>
      <c r="CX8" s="25">
        <f t="shared" si="11"/>
        <v>5</v>
      </c>
      <c r="CY8" s="25">
        <f t="shared" si="12"/>
        <v>11</v>
      </c>
      <c r="CZ8" s="25">
        <f t="shared" si="13"/>
        <v>14</v>
      </c>
      <c r="DA8" s="374">
        <v>0</v>
      </c>
      <c r="DB8" s="374">
        <v>0</v>
      </c>
      <c r="DC8" s="374">
        <v>0</v>
      </c>
      <c r="DD8" s="374">
        <v>0</v>
      </c>
      <c r="DE8" s="374">
        <v>0</v>
      </c>
      <c r="DF8" s="374">
        <v>0</v>
      </c>
      <c r="DG8" s="374">
        <v>0</v>
      </c>
      <c r="DH8" s="374">
        <v>0</v>
      </c>
      <c r="DI8" s="374">
        <v>0</v>
      </c>
      <c r="DJ8" s="374">
        <v>0</v>
      </c>
      <c r="DK8" s="374">
        <v>3</v>
      </c>
      <c r="DL8" s="374">
        <v>0</v>
      </c>
      <c r="DM8" s="374">
        <v>3</v>
      </c>
      <c r="DN8" s="374">
        <v>3</v>
      </c>
      <c r="DO8" s="374">
        <v>1</v>
      </c>
      <c r="DP8" s="374">
        <v>0</v>
      </c>
      <c r="DQ8" s="374">
        <v>5</v>
      </c>
      <c r="DR8" s="374">
        <v>4</v>
      </c>
      <c r="DS8" s="89">
        <f t="shared" si="19"/>
        <v>0</v>
      </c>
      <c r="DT8" s="89">
        <f t="shared" si="20"/>
        <v>0</v>
      </c>
      <c r="DU8" s="89">
        <f t="shared" si="21"/>
        <v>3</v>
      </c>
      <c r="DV8" s="89">
        <f t="shared" si="22"/>
        <v>7</v>
      </c>
      <c r="DW8" s="89">
        <f t="shared" si="23"/>
        <v>9</v>
      </c>
      <c r="DX8" s="375">
        <v>30</v>
      </c>
      <c r="DY8" s="375">
        <v>22</v>
      </c>
      <c r="DZ8" s="375">
        <v>10</v>
      </c>
      <c r="EA8" s="375">
        <v>44</v>
      </c>
      <c r="EB8" s="384">
        <v>29.5</v>
      </c>
      <c r="EC8" s="385">
        <v>20</v>
      </c>
    </row>
    <row r="9" spans="1:133" ht="12.95" customHeight="1">
      <c r="A9" s="2">
        <v>6</v>
      </c>
      <c r="B9" s="3" t="s">
        <v>43</v>
      </c>
      <c r="C9" s="3" t="s">
        <v>44</v>
      </c>
      <c r="D9" s="4">
        <f t="shared" si="0"/>
        <v>510</v>
      </c>
      <c r="E9" s="4">
        <f t="shared" si="1"/>
        <v>396</v>
      </c>
      <c r="F9" s="302">
        <v>0</v>
      </c>
      <c r="G9" s="366">
        <v>68</v>
      </c>
      <c r="H9" s="366">
        <v>56</v>
      </c>
      <c r="I9" s="366">
        <v>95</v>
      </c>
      <c r="J9" s="366">
        <v>151</v>
      </c>
      <c r="K9" s="366">
        <v>140</v>
      </c>
      <c r="L9" s="367">
        <v>418</v>
      </c>
      <c r="M9" s="367">
        <v>2</v>
      </c>
      <c r="N9" s="367">
        <v>29</v>
      </c>
      <c r="O9" s="367">
        <v>59</v>
      </c>
      <c r="P9" s="367">
        <v>5</v>
      </c>
      <c r="Q9" s="368">
        <v>0</v>
      </c>
      <c r="R9" s="368">
        <v>0</v>
      </c>
      <c r="S9" s="368">
        <v>0</v>
      </c>
      <c r="T9" s="368">
        <v>0</v>
      </c>
      <c r="U9" s="368">
        <v>0</v>
      </c>
      <c r="V9" s="368">
        <v>2</v>
      </c>
      <c r="W9" s="368">
        <v>3</v>
      </c>
      <c r="X9" s="368">
        <v>4</v>
      </c>
      <c r="Y9" s="368">
        <v>13</v>
      </c>
      <c r="Z9" s="368">
        <v>21</v>
      </c>
      <c r="AA9" s="368">
        <v>41</v>
      </c>
      <c r="AB9" s="368">
        <v>43</v>
      </c>
      <c r="AC9" s="368">
        <v>68</v>
      </c>
      <c r="AD9" s="368">
        <v>68</v>
      </c>
      <c r="AE9" s="368">
        <v>83</v>
      </c>
      <c r="AF9" s="368">
        <v>69</v>
      </c>
      <c r="AG9" s="368">
        <v>61</v>
      </c>
      <c r="AH9" s="368">
        <v>34</v>
      </c>
      <c r="AI9" s="24">
        <f t="shared" si="2"/>
        <v>0</v>
      </c>
      <c r="AJ9" s="24">
        <f t="shared" si="3"/>
        <v>2</v>
      </c>
      <c r="AK9" s="24">
        <f t="shared" si="4"/>
        <v>82</v>
      </c>
      <c r="AL9" s="24">
        <f t="shared" si="5"/>
        <v>262</v>
      </c>
      <c r="AM9" s="24">
        <f t="shared" si="6"/>
        <v>164</v>
      </c>
      <c r="AN9" s="369">
        <v>0</v>
      </c>
      <c r="AO9" s="369">
        <v>0</v>
      </c>
      <c r="AP9" s="369">
        <v>0</v>
      </c>
      <c r="AQ9" s="369">
        <v>0</v>
      </c>
      <c r="AR9" s="369">
        <v>1</v>
      </c>
      <c r="AS9" s="369">
        <v>1</v>
      </c>
      <c r="AT9" s="369">
        <v>1</v>
      </c>
      <c r="AU9" s="369">
        <v>6</v>
      </c>
      <c r="AV9" s="369">
        <v>12</v>
      </c>
      <c r="AW9" s="369">
        <v>16</v>
      </c>
      <c r="AX9" s="369">
        <v>32</v>
      </c>
      <c r="AY9" s="369">
        <v>28</v>
      </c>
      <c r="AZ9" s="369">
        <v>47</v>
      </c>
      <c r="BA9" s="369">
        <v>49</v>
      </c>
      <c r="BB9" s="369">
        <v>70</v>
      </c>
      <c r="BC9" s="369">
        <v>44</v>
      </c>
      <c r="BD9" s="369">
        <v>54</v>
      </c>
      <c r="BE9" s="369">
        <v>35</v>
      </c>
      <c r="BF9" s="88">
        <f t="shared" si="14"/>
        <v>0</v>
      </c>
      <c r="BG9" s="88">
        <f t="shared" si="15"/>
        <v>2</v>
      </c>
      <c r="BH9" s="88">
        <f t="shared" si="16"/>
        <v>67</v>
      </c>
      <c r="BI9" s="88">
        <f t="shared" si="17"/>
        <v>194</v>
      </c>
      <c r="BJ9" s="88">
        <f t="shared" si="18"/>
        <v>133</v>
      </c>
      <c r="BK9" s="370">
        <v>1314</v>
      </c>
      <c r="BL9" s="370">
        <v>863</v>
      </c>
      <c r="BM9" s="370">
        <v>514</v>
      </c>
      <c r="BN9" s="370">
        <v>1557</v>
      </c>
      <c r="BO9" s="383" t="s">
        <v>492</v>
      </c>
      <c r="BP9" s="381" t="s">
        <v>510</v>
      </c>
      <c r="BQ9" s="5">
        <f t="shared" si="7"/>
        <v>334</v>
      </c>
      <c r="BR9" s="5">
        <f t="shared" si="8"/>
        <v>246</v>
      </c>
      <c r="BS9" s="299">
        <v>0</v>
      </c>
      <c r="BT9" s="371">
        <v>41</v>
      </c>
      <c r="BU9" s="371">
        <v>44</v>
      </c>
      <c r="BV9" s="371">
        <v>60</v>
      </c>
      <c r="BW9" s="371">
        <v>83</v>
      </c>
      <c r="BX9" s="371">
        <v>106</v>
      </c>
      <c r="BY9" s="372">
        <v>261</v>
      </c>
      <c r="BZ9" s="372">
        <v>1</v>
      </c>
      <c r="CA9" s="372">
        <v>28</v>
      </c>
      <c r="CB9" s="372">
        <v>40</v>
      </c>
      <c r="CC9" s="372">
        <v>4</v>
      </c>
      <c r="CD9" s="373">
        <v>0</v>
      </c>
      <c r="CE9" s="373">
        <v>0</v>
      </c>
      <c r="CF9" s="373">
        <v>0</v>
      </c>
      <c r="CG9" s="373">
        <v>0</v>
      </c>
      <c r="CH9" s="373">
        <v>1</v>
      </c>
      <c r="CI9" s="373">
        <v>0</v>
      </c>
      <c r="CJ9" s="373">
        <v>5</v>
      </c>
      <c r="CK9" s="373">
        <v>2</v>
      </c>
      <c r="CL9" s="373">
        <v>5</v>
      </c>
      <c r="CM9" s="373">
        <v>10</v>
      </c>
      <c r="CN9" s="373">
        <v>19</v>
      </c>
      <c r="CO9" s="373">
        <v>22</v>
      </c>
      <c r="CP9" s="373">
        <v>23</v>
      </c>
      <c r="CQ9" s="373">
        <v>42</v>
      </c>
      <c r="CR9" s="373">
        <v>37</v>
      </c>
      <c r="CS9" s="373">
        <v>61</v>
      </c>
      <c r="CT9" s="373">
        <v>63</v>
      </c>
      <c r="CU9" s="373">
        <v>44</v>
      </c>
      <c r="CV9" s="25">
        <f t="shared" si="9"/>
        <v>0</v>
      </c>
      <c r="CW9" s="25">
        <f t="shared" si="10"/>
        <v>1</v>
      </c>
      <c r="CX9" s="25">
        <f t="shared" si="11"/>
        <v>41</v>
      </c>
      <c r="CY9" s="25">
        <f t="shared" si="12"/>
        <v>124</v>
      </c>
      <c r="CZ9" s="25">
        <f t="shared" si="13"/>
        <v>168</v>
      </c>
      <c r="DA9" s="374">
        <v>0</v>
      </c>
      <c r="DB9" s="374">
        <v>0</v>
      </c>
      <c r="DC9" s="374">
        <v>0</v>
      </c>
      <c r="DD9" s="374">
        <v>0</v>
      </c>
      <c r="DE9" s="374">
        <v>1</v>
      </c>
      <c r="DF9" s="374">
        <v>0</v>
      </c>
      <c r="DG9" s="374">
        <v>1</v>
      </c>
      <c r="DH9" s="374">
        <v>2</v>
      </c>
      <c r="DI9" s="374">
        <v>1</v>
      </c>
      <c r="DJ9" s="374">
        <v>7</v>
      </c>
      <c r="DK9" s="374">
        <v>12</v>
      </c>
      <c r="DL9" s="374">
        <v>16</v>
      </c>
      <c r="DM9" s="374">
        <v>11</v>
      </c>
      <c r="DN9" s="374">
        <v>23</v>
      </c>
      <c r="DO9" s="374">
        <v>30</v>
      </c>
      <c r="DP9" s="374">
        <v>45</v>
      </c>
      <c r="DQ9" s="374">
        <v>49</v>
      </c>
      <c r="DR9" s="374">
        <v>48</v>
      </c>
      <c r="DS9" s="89">
        <f t="shared" si="19"/>
        <v>0</v>
      </c>
      <c r="DT9" s="89">
        <f t="shared" si="20"/>
        <v>1</v>
      </c>
      <c r="DU9" s="89">
        <f t="shared" si="21"/>
        <v>23</v>
      </c>
      <c r="DV9" s="89">
        <f t="shared" si="22"/>
        <v>80</v>
      </c>
      <c r="DW9" s="89">
        <f t="shared" si="23"/>
        <v>142</v>
      </c>
      <c r="DX9" s="375">
        <v>1228</v>
      </c>
      <c r="DY9" s="375">
        <v>845</v>
      </c>
      <c r="DZ9" s="375">
        <v>539</v>
      </c>
      <c r="EA9" s="375">
        <v>1397</v>
      </c>
      <c r="EB9" s="384">
        <v>45.8</v>
      </c>
      <c r="EC9" s="385">
        <v>29.7</v>
      </c>
    </row>
    <row r="10" spans="1:133" ht="12.95" customHeight="1">
      <c r="A10" s="12">
        <v>7</v>
      </c>
      <c r="B10" s="3" t="s">
        <v>45</v>
      </c>
      <c r="C10" s="3" t="s">
        <v>46</v>
      </c>
      <c r="D10" s="4">
        <f t="shared" si="0"/>
        <v>442</v>
      </c>
      <c r="E10" s="4">
        <f t="shared" si="1"/>
        <v>250</v>
      </c>
      <c r="F10" s="302">
        <v>0</v>
      </c>
      <c r="G10" s="366">
        <v>61</v>
      </c>
      <c r="H10" s="366">
        <v>117</v>
      </c>
      <c r="I10" s="366">
        <v>94</v>
      </c>
      <c r="J10" s="366">
        <v>76</v>
      </c>
      <c r="K10" s="366">
        <v>94</v>
      </c>
      <c r="L10" s="367">
        <v>361</v>
      </c>
      <c r="M10" s="367">
        <v>1</v>
      </c>
      <c r="N10" s="367">
        <v>22</v>
      </c>
      <c r="O10" s="367">
        <v>51</v>
      </c>
      <c r="P10" s="367">
        <v>10</v>
      </c>
      <c r="Q10" s="368">
        <v>0</v>
      </c>
      <c r="R10" s="368">
        <v>0</v>
      </c>
      <c r="S10" s="368">
        <v>0</v>
      </c>
      <c r="T10" s="368">
        <v>0</v>
      </c>
      <c r="U10" s="368">
        <v>0</v>
      </c>
      <c r="V10" s="368">
        <v>1</v>
      </c>
      <c r="W10" s="368">
        <v>3</v>
      </c>
      <c r="X10" s="368">
        <v>2</v>
      </c>
      <c r="Y10" s="368">
        <v>3</v>
      </c>
      <c r="Z10" s="368">
        <v>8</v>
      </c>
      <c r="AA10" s="368">
        <v>24</v>
      </c>
      <c r="AB10" s="368">
        <v>37</v>
      </c>
      <c r="AC10" s="368">
        <v>46</v>
      </c>
      <c r="AD10" s="368">
        <v>80</v>
      </c>
      <c r="AE10" s="368">
        <v>93</v>
      </c>
      <c r="AF10" s="368">
        <v>64</v>
      </c>
      <c r="AG10" s="368">
        <v>59</v>
      </c>
      <c r="AH10" s="368">
        <v>22</v>
      </c>
      <c r="AI10" s="24">
        <f t="shared" si="2"/>
        <v>0</v>
      </c>
      <c r="AJ10" s="24">
        <f t="shared" si="3"/>
        <v>1</v>
      </c>
      <c r="AK10" s="24">
        <f t="shared" si="4"/>
        <v>40</v>
      </c>
      <c r="AL10" s="24">
        <f t="shared" si="5"/>
        <v>256</v>
      </c>
      <c r="AM10" s="24">
        <f t="shared" si="6"/>
        <v>145</v>
      </c>
      <c r="AN10" s="369">
        <v>0</v>
      </c>
      <c r="AO10" s="369">
        <v>0</v>
      </c>
      <c r="AP10" s="369">
        <v>0</v>
      </c>
      <c r="AQ10" s="369">
        <v>0</v>
      </c>
      <c r="AR10" s="369">
        <v>0</v>
      </c>
      <c r="AS10" s="369">
        <v>0</v>
      </c>
      <c r="AT10" s="369">
        <v>1</v>
      </c>
      <c r="AU10" s="369">
        <v>0</v>
      </c>
      <c r="AV10" s="369">
        <v>1</v>
      </c>
      <c r="AW10" s="369">
        <v>3</v>
      </c>
      <c r="AX10" s="369">
        <v>7</v>
      </c>
      <c r="AY10" s="369">
        <v>15</v>
      </c>
      <c r="AZ10" s="369">
        <v>29</v>
      </c>
      <c r="BA10" s="369">
        <v>31</v>
      </c>
      <c r="BB10" s="369">
        <v>43</v>
      </c>
      <c r="BC10" s="369">
        <v>46</v>
      </c>
      <c r="BD10" s="369">
        <v>45</v>
      </c>
      <c r="BE10" s="369">
        <v>29</v>
      </c>
      <c r="BF10" s="88">
        <f t="shared" si="14"/>
        <v>0</v>
      </c>
      <c r="BG10" s="88">
        <f t="shared" si="15"/>
        <v>0</v>
      </c>
      <c r="BH10" s="88">
        <f t="shared" si="16"/>
        <v>12</v>
      </c>
      <c r="BI10" s="88">
        <f t="shared" si="17"/>
        <v>118</v>
      </c>
      <c r="BJ10" s="88">
        <f t="shared" si="18"/>
        <v>120</v>
      </c>
      <c r="BK10" s="370">
        <v>1671</v>
      </c>
      <c r="BL10" s="370">
        <v>971</v>
      </c>
      <c r="BM10" s="370">
        <v>506</v>
      </c>
      <c r="BN10" s="370">
        <v>1909</v>
      </c>
      <c r="BO10" s="381" t="s">
        <v>493</v>
      </c>
      <c r="BP10" s="381" t="s">
        <v>511</v>
      </c>
      <c r="BQ10" s="5">
        <f t="shared" si="7"/>
        <v>470</v>
      </c>
      <c r="BR10" s="5">
        <f t="shared" si="8"/>
        <v>254</v>
      </c>
      <c r="BS10" s="299">
        <v>0</v>
      </c>
      <c r="BT10" s="371">
        <v>47</v>
      </c>
      <c r="BU10" s="371">
        <v>128</v>
      </c>
      <c r="BV10" s="371">
        <v>104</v>
      </c>
      <c r="BW10" s="371">
        <v>88</v>
      </c>
      <c r="BX10" s="371">
        <v>103</v>
      </c>
      <c r="BY10" s="372">
        <v>382</v>
      </c>
      <c r="BZ10" s="372">
        <v>0</v>
      </c>
      <c r="CA10" s="372">
        <v>27</v>
      </c>
      <c r="CB10" s="372">
        <v>57</v>
      </c>
      <c r="CC10" s="372">
        <v>4</v>
      </c>
      <c r="CD10" s="373">
        <v>0</v>
      </c>
      <c r="CE10" s="373">
        <v>0</v>
      </c>
      <c r="CF10" s="373">
        <v>0</v>
      </c>
      <c r="CG10" s="373">
        <v>0</v>
      </c>
      <c r="CH10" s="373">
        <v>1</v>
      </c>
      <c r="CI10" s="373">
        <v>0</v>
      </c>
      <c r="CJ10" s="373">
        <v>2</v>
      </c>
      <c r="CK10" s="373">
        <v>0</v>
      </c>
      <c r="CL10" s="373">
        <v>8</v>
      </c>
      <c r="CM10" s="373">
        <v>10</v>
      </c>
      <c r="CN10" s="373">
        <v>33</v>
      </c>
      <c r="CO10" s="373">
        <v>33</v>
      </c>
      <c r="CP10" s="373">
        <v>41</v>
      </c>
      <c r="CQ10" s="373">
        <v>55</v>
      </c>
      <c r="CR10" s="373">
        <v>61</v>
      </c>
      <c r="CS10" s="373">
        <v>83</v>
      </c>
      <c r="CT10" s="373">
        <v>80</v>
      </c>
      <c r="CU10" s="373">
        <v>63</v>
      </c>
      <c r="CV10" s="25">
        <f t="shared" si="9"/>
        <v>0</v>
      </c>
      <c r="CW10" s="25">
        <f t="shared" si="10"/>
        <v>1</v>
      </c>
      <c r="CX10" s="25">
        <f t="shared" si="11"/>
        <v>53</v>
      </c>
      <c r="CY10" s="25">
        <f t="shared" si="12"/>
        <v>190</v>
      </c>
      <c r="CZ10" s="25">
        <f t="shared" si="13"/>
        <v>226</v>
      </c>
      <c r="DA10" s="374">
        <v>0</v>
      </c>
      <c r="DB10" s="374">
        <v>0</v>
      </c>
      <c r="DC10" s="374">
        <v>0</v>
      </c>
      <c r="DD10" s="374">
        <v>0</v>
      </c>
      <c r="DE10" s="374">
        <v>0</v>
      </c>
      <c r="DF10" s="374">
        <v>0</v>
      </c>
      <c r="DG10" s="374">
        <v>1</v>
      </c>
      <c r="DH10" s="374">
        <v>1</v>
      </c>
      <c r="DI10" s="374">
        <v>0</v>
      </c>
      <c r="DJ10" s="374">
        <v>3</v>
      </c>
      <c r="DK10" s="374">
        <v>8</v>
      </c>
      <c r="DL10" s="374">
        <v>12</v>
      </c>
      <c r="DM10" s="374">
        <v>18</v>
      </c>
      <c r="DN10" s="374">
        <v>22</v>
      </c>
      <c r="DO10" s="374">
        <v>30</v>
      </c>
      <c r="DP10" s="374">
        <v>52</v>
      </c>
      <c r="DQ10" s="374">
        <v>64</v>
      </c>
      <c r="DR10" s="374">
        <v>43</v>
      </c>
      <c r="DS10" s="89">
        <f t="shared" si="19"/>
        <v>0</v>
      </c>
      <c r="DT10" s="89">
        <f t="shared" si="20"/>
        <v>0</v>
      </c>
      <c r="DU10" s="89">
        <f t="shared" si="21"/>
        <v>13</v>
      </c>
      <c r="DV10" s="89">
        <f t="shared" si="22"/>
        <v>82</v>
      </c>
      <c r="DW10" s="89">
        <f t="shared" si="23"/>
        <v>159</v>
      </c>
      <c r="DX10" s="375">
        <v>2297</v>
      </c>
      <c r="DY10" s="375">
        <v>1405</v>
      </c>
      <c r="DZ10" s="375">
        <v>825</v>
      </c>
      <c r="EA10" s="375">
        <v>2590</v>
      </c>
      <c r="EB10" s="384">
        <v>67.900000000000006</v>
      </c>
      <c r="EC10" s="385">
        <v>48.6</v>
      </c>
    </row>
    <row r="11" spans="1:133" ht="12.95" customHeight="1">
      <c r="A11" s="2">
        <v>8</v>
      </c>
      <c r="B11" s="3" t="s">
        <v>47</v>
      </c>
      <c r="C11" s="3" t="s">
        <v>48</v>
      </c>
      <c r="D11" s="4">
        <f t="shared" si="0"/>
        <v>386</v>
      </c>
      <c r="E11" s="4">
        <f t="shared" si="1"/>
        <v>226</v>
      </c>
      <c r="F11" s="302">
        <v>0</v>
      </c>
      <c r="G11" s="366">
        <v>57</v>
      </c>
      <c r="H11" s="366">
        <v>81</v>
      </c>
      <c r="I11" s="366">
        <v>91</v>
      </c>
      <c r="J11" s="366">
        <v>70</v>
      </c>
      <c r="K11" s="366">
        <v>87</v>
      </c>
      <c r="L11" s="367">
        <v>320</v>
      </c>
      <c r="M11" s="367">
        <v>1</v>
      </c>
      <c r="N11" s="367">
        <v>13</v>
      </c>
      <c r="O11" s="367">
        <v>50</v>
      </c>
      <c r="P11" s="367">
        <v>2</v>
      </c>
      <c r="Q11" s="368">
        <v>0</v>
      </c>
      <c r="R11" s="368">
        <v>0</v>
      </c>
      <c r="S11" s="368">
        <v>0</v>
      </c>
      <c r="T11" s="368">
        <v>0</v>
      </c>
      <c r="U11" s="368">
        <v>0</v>
      </c>
      <c r="V11" s="368">
        <v>1</v>
      </c>
      <c r="W11" s="368">
        <v>0</v>
      </c>
      <c r="X11" s="368">
        <v>3</v>
      </c>
      <c r="Y11" s="368">
        <v>6</v>
      </c>
      <c r="Z11" s="368">
        <v>17</v>
      </c>
      <c r="AA11" s="368">
        <v>25</v>
      </c>
      <c r="AB11" s="368">
        <v>32</v>
      </c>
      <c r="AC11" s="368">
        <v>48</v>
      </c>
      <c r="AD11" s="368">
        <v>71</v>
      </c>
      <c r="AE11" s="368">
        <v>62</v>
      </c>
      <c r="AF11" s="368">
        <v>55</v>
      </c>
      <c r="AG11" s="368">
        <v>39</v>
      </c>
      <c r="AH11" s="368">
        <v>27</v>
      </c>
      <c r="AI11" s="24">
        <f t="shared" si="2"/>
        <v>0</v>
      </c>
      <c r="AJ11" s="24">
        <f t="shared" si="3"/>
        <v>1</v>
      </c>
      <c r="AK11" s="24">
        <f t="shared" si="4"/>
        <v>51</v>
      </c>
      <c r="AL11" s="24">
        <f t="shared" si="5"/>
        <v>213</v>
      </c>
      <c r="AM11" s="24">
        <f t="shared" si="6"/>
        <v>121</v>
      </c>
      <c r="AN11" s="369">
        <v>0</v>
      </c>
      <c r="AO11" s="369">
        <v>0</v>
      </c>
      <c r="AP11" s="369">
        <v>0</v>
      </c>
      <c r="AQ11" s="369">
        <v>0</v>
      </c>
      <c r="AR11" s="369">
        <v>0</v>
      </c>
      <c r="AS11" s="369">
        <v>1</v>
      </c>
      <c r="AT11" s="369">
        <v>0</v>
      </c>
      <c r="AU11" s="369">
        <v>1</v>
      </c>
      <c r="AV11" s="369">
        <v>2</v>
      </c>
      <c r="AW11" s="369">
        <v>4</v>
      </c>
      <c r="AX11" s="369">
        <v>6</v>
      </c>
      <c r="AY11" s="369">
        <v>23</v>
      </c>
      <c r="AZ11" s="369">
        <v>15</v>
      </c>
      <c r="BA11" s="369">
        <v>29</v>
      </c>
      <c r="BB11" s="369">
        <v>39</v>
      </c>
      <c r="BC11" s="369">
        <v>42</v>
      </c>
      <c r="BD11" s="369">
        <v>31</v>
      </c>
      <c r="BE11" s="369">
        <v>33</v>
      </c>
      <c r="BF11" s="88">
        <f t="shared" si="14"/>
        <v>0</v>
      </c>
      <c r="BG11" s="88">
        <f t="shared" si="15"/>
        <v>1</v>
      </c>
      <c r="BH11" s="88">
        <f t="shared" si="16"/>
        <v>13</v>
      </c>
      <c r="BI11" s="88">
        <f t="shared" si="17"/>
        <v>106</v>
      </c>
      <c r="BJ11" s="88">
        <f t="shared" si="18"/>
        <v>106</v>
      </c>
      <c r="BK11" s="370">
        <v>1592</v>
      </c>
      <c r="BL11" s="370">
        <v>934</v>
      </c>
      <c r="BM11" s="370">
        <v>451</v>
      </c>
      <c r="BN11" s="370">
        <v>1817</v>
      </c>
      <c r="BO11" s="381" t="s">
        <v>494</v>
      </c>
      <c r="BP11" s="381" t="s">
        <v>512</v>
      </c>
      <c r="BQ11" s="5">
        <f t="shared" si="7"/>
        <v>324</v>
      </c>
      <c r="BR11" s="5">
        <f t="shared" si="8"/>
        <v>203</v>
      </c>
      <c r="BS11" s="299">
        <v>0</v>
      </c>
      <c r="BT11" s="371">
        <v>52</v>
      </c>
      <c r="BU11" s="371">
        <v>73</v>
      </c>
      <c r="BV11" s="371">
        <v>80</v>
      </c>
      <c r="BW11" s="371">
        <v>48</v>
      </c>
      <c r="BX11" s="371">
        <v>71</v>
      </c>
      <c r="BY11" s="372">
        <v>268</v>
      </c>
      <c r="BZ11" s="372">
        <v>1</v>
      </c>
      <c r="CA11" s="372">
        <v>13</v>
      </c>
      <c r="CB11" s="372">
        <v>37</v>
      </c>
      <c r="CC11" s="372">
        <v>5</v>
      </c>
      <c r="CD11" s="373">
        <v>0</v>
      </c>
      <c r="CE11" s="373">
        <v>0</v>
      </c>
      <c r="CF11" s="373">
        <v>0</v>
      </c>
      <c r="CG11" s="373">
        <v>0</v>
      </c>
      <c r="CH11" s="373">
        <v>0</v>
      </c>
      <c r="CI11" s="373">
        <v>1</v>
      </c>
      <c r="CJ11" s="373">
        <v>2</v>
      </c>
      <c r="CK11" s="373">
        <v>2</v>
      </c>
      <c r="CL11" s="373">
        <v>6</v>
      </c>
      <c r="CM11" s="373">
        <v>9</v>
      </c>
      <c r="CN11" s="373">
        <v>28</v>
      </c>
      <c r="CO11" s="373">
        <v>31</v>
      </c>
      <c r="CP11" s="373">
        <v>35</v>
      </c>
      <c r="CQ11" s="373">
        <v>32</v>
      </c>
      <c r="CR11" s="373">
        <v>37</v>
      </c>
      <c r="CS11" s="373">
        <v>57</v>
      </c>
      <c r="CT11" s="373">
        <v>49</v>
      </c>
      <c r="CU11" s="373">
        <v>35</v>
      </c>
      <c r="CV11" s="25">
        <f t="shared" si="9"/>
        <v>0</v>
      </c>
      <c r="CW11" s="25">
        <f t="shared" si="10"/>
        <v>1</v>
      </c>
      <c r="CX11" s="25">
        <f t="shared" si="11"/>
        <v>47</v>
      </c>
      <c r="CY11" s="25">
        <f t="shared" si="12"/>
        <v>135</v>
      </c>
      <c r="CZ11" s="25">
        <f t="shared" si="13"/>
        <v>141</v>
      </c>
      <c r="DA11" s="374">
        <v>0</v>
      </c>
      <c r="DB11" s="374">
        <v>0</v>
      </c>
      <c r="DC11" s="374">
        <v>0</v>
      </c>
      <c r="DD11" s="374">
        <v>0</v>
      </c>
      <c r="DE11" s="374">
        <v>0</v>
      </c>
      <c r="DF11" s="374">
        <v>0</v>
      </c>
      <c r="DG11" s="374">
        <v>2</v>
      </c>
      <c r="DH11" s="374">
        <v>1</v>
      </c>
      <c r="DI11" s="374">
        <v>3</v>
      </c>
      <c r="DJ11" s="374">
        <v>3</v>
      </c>
      <c r="DK11" s="374">
        <v>11</v>
      </c>
      <c r="DL11" s="374">
        <v>16</v>
      </c>
      <c r="DM11" s="374">
        <v>18</v>
      </c>
      <c r="DN11" s="374">
        <v>13</v>
      </c>
      <c r="DO11" s="374">
        <v>26</v>
      </c>
      <c r="DP11" s="374">
        <v>38</v>
      </c>
      <c r="DQ11" s="374">
        <v>39</v>
      </c>
      <c r="DR11" s="374">
        <v>33</v>
      </c>
      <c r="DS11" s="89">
        <f t="shared" si="19"/>
        <v>0</v>
      </c>
      <c r="DT11" s="89">
        <f t="shared" si="20"/>
        <v>0</v>
      </c>
      <c r="DU11" s="89">
        <f t="shared" si="21"/>
        <v>20</v>
      </c>
      <c r="DV11" s="89">
        <f t="shared" si="22"/>
        <v>73</v>
      </c>
      <c r="DW11" s="89">
        <f t="shared" si="23"/>
        <v>110</v>
      </c>
      <c r="DX11" s="375">
        <v>1809</v>
      </c>
      <c r="DY11" s="375">
        <v>1145</v>
      </c>
      <c r="DZ11" s="375">
        <v>624</v>
      </c>
      <c r="EA11" s="375">
        <v>2022</v>
      </c>
      <c r="EB11" s="384">
        <v>76.5</v>
      </c>
      <c r="EC11" s="385">
        <v>54.7</v>
      </c>
    </row>
    <row r="12" spans="1:133" ht="12.95" customHeight="1">
      <c r="A12" s="12">
        <v>9</v>
      </c>
      <c r="B12" s="3" t="s">
        <v>49</v>
      </c>
      <c r="C12" s="3" t="s">
        <v>50</v>
      </c>
      <c r="D12" s="4">
        <f t="shared" si="0"/>
        <v>121</v>
      </c>
      <c r="E12" s="4">
        <f t="shared" si="1"/>
        <v>99</v>
      </c>
      <c r="F12" s="302">
        <v>0</v>
      </c>
      <c r="G12" s="366">
        <v>8</v>
      </c>
      <c r="H12" s="366">
        <v>16</v>
      </c>
      <c r="I12" s="366">
        <v>15</v>
      </c>
      <c r="J12" s="366">
        <v>31</v>
      </c>
      <c r="K12" s="366">
        <v>51</v>
      </c>
      <c r="L12" s="367">
        <v>59</v>
      </c>
      <c r="M12" s="367">
        <v>0</v>
      </c>
      <c r="N12" s="367">
        <v>30</v>
      </c>
      <c r="O12" s="367">
        <v>28</v>
      </c>
      <c r="P12" s="367">
        <v>4</v>
      </c>
      <c r="Q12" s="368">
        <v>1</v>
      </c>
      <c r="R12" s="368">
        <v>0</v>
      </c>
      <c r="S12" s="368">
        <v>1</v>
      </c>
      <c r="T12" s="368">
        <v>0</v>
      </c>
      <c r="U12" s="368">
        <v>0</v>
      </c>
      <c r="V12" s="368">
        <v>1</v>
      </c>
      <c r="W12" s="368">
        <v>0</v>
      </c>
      <c r="X12" s="368">
        <v>0</v>
      </c>
      <c r="Y12" s="368">
        <v>3</v>
      </c>
      <c r="Z12" s="368">
        <v>9</v>
      </c>
      <c r="AA12" s="368">
        <v>9</v>
      </c>
      <c r="AB12" s="368">
        <v>19</v>
      </c>
      <c r="AC12" s="368">
        <v>13</v>
      </c>
      <c r="AD12" s="368">
        <v>13</v>
      </c>
      <c r="AE12" s="368">
        <v>20</v>
      </c>
      <c r="AF12" s="368">
        <v>17</v>
      </c>
      <c r="AG12" s="368">
        <v>8</v>
      </c>
      <c r="AH12" s="368">
        <v>7</v>
      </c>
      <c r="AI12" s="24">
        <f t="shared" si="2"/>
        <v>2</v>
      </c>
      <c r="AJ12" s="24">
        <f t="shared" si="3"/>
        <v>1</v>
      </c>
      <c r="AK12" s="24">
        <f t="shared" si="4"/>
        <v>21</v>
      </c>
      <c r="AL12" s="24">
        <f t="shared" si="5"/>
        <v>65</v>
      </c>
      <c r="AM12" s="24">
        <f t="shared" si="6"/>
        <v>32</v>
      </c>
      <c r="AN12" s="369">
        <v>1</v>
      </c>
      <c r="AO12" s="369">
        <v>0</v>
      </c>
      <c r="AP12" s="369">
        <v>1</v>
      </c>
      <c r="AQ12" s="369">
        <v>0</v>
      </c>
      <c r="AR12" s="369">
        <v>0</v>
      </c>
      <c r="AS12" s="369">
        <v>0</v>
      </c>
      <c r="AT12" s="369">
        <v>0</v>
      </c>
      <c r="AU12" s="369">
        <v>0</v>
      </c>
      <c r="AV12" s="369">
        <v>2</v>
      </c>
      <c r="AW12" s="369">
        <v>8</v>
      </c>
      <c r="AX12" s="369">
        <v>4</v>
      </c>
      <c r="AY12" s="369">
        <v>14</v>
      </c>
      <c r="AZ12" s="369">
        <v>12</v>
      </c>
      <c r="BA12" s="369">
        <v>12</v>
      </c>
      <c r="BB12" s="369">
        <v>14</v>
      </c>
      <c r="BC12" s="369">
        <v>13</v>
      </c>
      <c r="BD12" s="369">
        <v>9</v>
      </c>
      <c r="BE12" s="369">
        <v>9</v>
      </c>
      <c r="BF12" s="88">
        <f t="shared" si="14"/>
        <v>2</v>
      </c>
      <c r="BG12" s="88">
        <f t="shared" si="15"/>
        <v>0</v>
      </c>
      <c r="BH12" s="88">
        <f t="shared" si="16"/>
        <v>14</v>
      </c>
      <c r="BI12" s="88">
        <f t="shared" si="17"/>
        <v>52</v>
      </c>
      <c r="BJ12" s="88">
        <f t="shared" si="18"/>
        <v>31</v>
      </c>
      <c r="BK12" s="370">
        <v>75</v>
      </c>
      <c r="BL12" s="370">
        <v>25</v>
      </c>
      <c r="BM12" s="370">
        <v>11</v>
      </c>
      <c r="BN12" s="370">
        <v>116</v>
      </c>
      <c r="BO12" s="381" t="s">
        <v>495</v>
      </c>
      <c r="BP12" s="381" t="s">
        <v>513</v>
      </c>
      <c r="BQ12" s="5">
        <f t="shared" si="7"/>
        <v>60</v>
      </c>
      <c r="BR12" s="5">
        <f t="shared" si="8"/>
        <v>58</v>
      </c>
      <c r="BS12" s="299">
        <v>0</v>
      </c>
      <c r="BT12" s="371">
        <v>1</v>
      </c>
      <c r="BU12" s="371">
        <v>4</v>
      </c>
      <c r="BV12" s="371">
        <v>10</v>
      </c>
      <c r="BW12" s="371">
        <v>21</v>
      </c>
      <c r="BX12" s="371">
        <v>24</v>
      </c>
      <c r="BY12" s="372">
        <v>30</v>
      </c>
      <c r="BZ12" s="372">
        <v>0</v>
      </c>
      <c r="CA12" s="372">
        <v>13</v>
      </c>
      <c r="CB12" s="372">
        <v>14</v>
      </c>
      <c r="CC12" s="372">
        <v>3</v>
      </c>
      <c r="CD12" s="373">
        <v>1</v>
      </c>
      <c r="CE12" s="373">
        <v>0</v>
      </c>
      <c r="CF12" s="373">
        <v>0</v>
      </c>
      <c r="CG12" s="373">
        <v>0</v>
      </c>
      <c r="CH12" s="373">
        <v>0</v>
      </c>
      <c r="CI12" s="373">
        <v>0</v>
      </c>
      <c r="CJ12" s="373">
        <v>0</v>
      </c>
      <c r="CK12" s="373">
        <v>0</v>
      </c>
      <c r="CL12" s="373">
        <v>1</v>
      </c>
      <c r="CM12" s="373">
        <v>1</v>
      </c>
      <c r="CN12" s="373">
        <v>4</v>
      </c>
      <c r="CO12" s="373">
        <v>4</v>
      </c>
      <c r="CP12" s="373">
        <v>9</v>
      </c>
      <c r="CQ12" s="373">
        <v>2</v>
      </c>
      <c r="CR12" s="373">
        <v>9</v>
      </c>
      <c r="CS12" s="373">
        <v>9</v>
      </c>
      <c r="CT12" s="373">
        <v>10</v>
      </c>
      <c r="CU12" s="373">
        <v>10</v>
      </c>
      <c r="CV12" s="25">
        <f t="shared" si="9"/>
        <v>1</v>
      </c>
      <c r="CW12" s="25">
        <f t="shared" si="10"/>
        <v>0</v>
      </c>
      <c r="CX12" s="25">
        <f t="shared" si="11"/>
        <v>6</v>
      </c>
      <c r="CY12" s="25">
        <f t="shared" si="12"/>
        <v>24</v>
      </c>
      <c r="CZ12" s="25">
        <f t="shared" si="13"/>
        <v>29</v>
      </c>
      <c r="DA12" s="374">
        <v>0</v>
      </c>
      <c r="DB12" s="374">
        <v>0</v>
      </c>
      <c r="DC12" s="374">
        <v>1</v>
      </c>
      <c r="DD12" s="374">
        <v>0</v>
      </c>
      <c r="DE12" s="374">
        <v>0</v>
      </c>
      <c r="DF12" s="374">
        <v>0</v>
      </c>
      <c r="DG12" s="374">
        <v>0</v>
      </c>
      <c r="DH12" s="374">
        <v>0</v>
      </c>
      <c r="DI12" s="374">
        <v>1</v>
      </c>
      <c r="DJ12" s="374">
        <v>1</v>
      </c>
      <c r="DK12" s="374">
        <v>4</v>
      </c>
      <c r="DL12" s="374">
        <v>2</v>
      </c>
      <c r="DM12" s="374">
        <v>6</v>
      </c>
      <c r="DN12" s="374">
        <v>4</v>
      </c>
      <c r="DO12" s="374">
        <v>10</v>
      </c>
      <c r="DP12" s="374">
        <v>12</v>
      </c>
      <c r="DQ12" s="374">
        <v>9</v>
      </c>
      <c r="DR12" s="374">
        <v>8</v>
      </c>
      <c r="DS12" s="89">
        <f t="shared" si="19"/>
        <v>1</v>
      </c>
      <c r="DT12" s="89">
        <f t="shared" si="20"/>
        <v>0</v>
      </c>
      <c r="DU12" s="89">
        <f t="shared" si="21"/>
        <v>6</v>
      </c>
      <c r="DV12" s="89">
        <f t="shared" si="22"/>
        <v>22</v>
      </c>
      <c r="DW12" s="89">
        <f t="shared" si="23"/>
        <v>29</v>
      </c>
      <c r="DX12" s="375">
        <v>69</v>
      </c>
      <c r="DY12" s="375">
        <v>37</v>
      </c>
      <c r="DZ12" s="375">
        <v>25</v>
      </c>
      <c r="EA12" s="375">
        <v>89</v>
      </c>
      <c r="EB12" s="384">
        <v>40.700000000000003</v>
      </c>
      <c r="EC12" s="385">
        <v>16.21</v>
      </c>
    </row>
    <row r="13" spans="1:133" ht="12.95" customHeight="1">
      <c r="A13" s="2">
        <v>10</v>
      </c>
      <c r="B13" s="3" t="s">
        <v>51</v>
      </c>
      <c r="C13" s="3" t="s">
        <v>52</v>
      </c>
      <c r="D13" s="4">
        <f t="shared" si="0"/>
        <v>48</v>
      </c>
      <c r="E13" s="4">
        <f t="shared" si="1"/>
        <v>31</v>
      </c>
      <c r="F13" s="302">
        <v>0</v>
      </c>
      <c r="G13" s="366">
        <v>8</v>
      </c>
      <c r="H13" s="366">
        <v>10</v>
      </c>
      <c r="I13" s="366">
        <v>7</v>
      </c>
      <c r="J13" s="366">
        <v>12</v>
      </c>
      <c r="K13" s="366">
        <v>11</v>
      </c>
      <c r="L13" s="367">
        <v>35</v>
      </c>
      <c r="M13" s="367">
        <v>0</v>
      </c>
      <c r="N13" s="367">
        <v>6</v>
      </c>
      <c r="O13" s="367">
        <v>6</v>
      </c>
      <c r="P13" s="367">
        <v>1</v>
      </c>
      <c r="Q13" s="368">
        <v>0</v>
      </c>
      <c r="R13" s="368">
        <v>0</v>
      </c>
      <c r="S13" s="368">
        <v>0</v>
      </c>
      <c r="T13" s="368">
        <v>0</v>
      </c>
      <c r="U13" s="368">
        <v>0</v>
      </c>
      <c r="V13" s="368">
        <v>0</v>
      </c>
      <c r="W13" s="368">
        <v>0</v>
      </c>
      <c r="X13" s="368">
        <v>1</v>
      </c>
      <c r="Y13" s="368">
        <v>2</v>
      </c>
      <c r="Z13" s="368">
        <v>1</v>
      </c>
      <c r="AA13" s="368">
        <v>2</v>
      </c>
      <c r="AB13" s="368">
        <v>5</v>
      </c>
      <c r="AC13" s="368">
        <v>6</v>
      </c>
      <c r="AD13" s="368">
        <v>5</v>
      </c>
      <c r="AE13" s="368">
        <v>6</v>
      </c>
      <c r="AF13" s="368">
        <v>9</v>
      </c>
      <c r="AG13" s="368">
        <v>8</v>
      </c>
      <c r="AH13" s="368">
        <v>3</v>
      </c>
      <c r="AI13" s="24">
        <f t="shared" si="2"/>
        <v>0</v>
      </c>
      <c r="AJ13" s="24">
        <f t="shared" si="3"/>
        <v>0</v>
      </c>
      <c r="AK13" s="24">
        <f t="shared" si="4"/>
        <v>6</v>
      </c>
      <c r="AL13" s="24">
        <f t="shared" si="5"/>
        <v>22</v>
      </c>
      <c r="AM13" s="24">
        <f t="shared" si="6"/>
        <v>20</v>
      </c>
      <c r="AN13" s="369">
        <v>0</v>
      </c>
      <c r="AO13" s="369">
        <v>0</v>
      </c>
      <c r="AP13" s="369">
        <v>0</v>
      </c>
      <c r="AQ13" s="369">
        <v>0</v>
      </c>
      <c r="AR13" s="369">
        <v>0</v>
      </c>
      <c r="AS13" s="369">
        <v>0</v>
      </c>
      <c r="AT13" s="369">
        <v>0</v>
      </c>
      <c r="AU13" s="369">
        <v>0</v>
      </c>
      <c r="AV13" s="369">
        <v>0</v>
      </c>
      <c r="AW13" s="369">
        <v>1</v>
      </c>
      <c r="AX13" s="369">
        <v>3</v>
      </c>
      <c r="AY13" s="369">
        <v>1</v>
      </c>
      <c r="AZ13" s="369">
        <v>7</v>
      </c>
      <c r="BA13" s="369">
        <v>3</v>
      </c>
      <c r="BB13" s="369">
        <v>5</v>
      </c>
      <c r="BC13" s="369">
        <v>4</v>
      </c>
      <c r="BD13" s="369">
        <v>3</v>
      </c>
      <c r="BE13" s="369">
        <v>4</v>
      </c>
      <c r="BF13" s="88">
        <f t="shared" si="14"/>
        <v>0</v>
      </c>
      <c r="BG13" s="88">
        <f t="shared" si="15"/>
        <v>0</v>
      </c>
      <c r="BH13" s="88">
        <f t="shared" si="16"/>
        <v>4</v>
      </c>
      <c r="BI13" s="88">
        <f t="shared" si="17"/>
        <v>16</v>
      </c>
      <c r="BJ13" s="88">
        <f t="shared" si="18"/>
        <v>11</v>
      </c>
      <c r="BK13" s="370">
        <v>63</v>
      </c>
      <c r="BL13" s="370">
        <v>38</v>
      </c>
      <c r="BM13" s="370">
        <v>19</v>
      </c>
      <c r="BN13" s="370">
        <v>87</v>
      </c>
      <c r="BO13" s="381" t="s">
        <v>496</v>
      </c>
      <c r="BP13" s="381" t="s">
        <v>514</v>
      </c>
      <c r="BQ13" s="5">
        <f t="shared" si="7"/>
        <v>70</v>
      </c>
      <c r="BR13" s="5">
        <f t="shared" si="8"/>
        <v>65</v>
      </c>
      <c r="BS13" s="299">
        <v>0</v>
      </c>
      <c r="BT13" s="371">
        <v>9</v>
      </c>
      <c r="BU13" s="371">
        <v>3</v>
      </c>
      <c r="BV13" s="371">
        <v>9</v>
      </c>
      <c r="BW13" s="371">
        <v>25</v>
      </c>
      <c r="BX13" s="371">
        <v>24</v>
      </c>
      <c r="BY13" s="372">
        <v>45</v>
      </c>
      <c r="BZ13" s="372">
        <v>0</v>
      </c>
      <c r="CA13" s="372">
        <v>10</v>
      </c>
      <c r="CB13" s="372">
        <v>15</v>
      </c>
      <c r="CC13" s="372">
        <v>0</v>
      </c>
      <c r="CD13" s="373">
        <v>0</v>
      </c>
      <c r="CE13" s="373">
        <v>0</v>
      </c>
      <c r="CF13" s="373">
        <v>0</v>
      </c>
      <c r="CG13" s="373">
        <v>0</v>
      </c>
      <c r="CH13" s="373">
        <v>0</v>
      </c>
      <c r="CI13" s="373">
        <v>0</v>
      </c>
      <c r="CJ13" s="373">
        <v>0</v>
      </c>
      <c r="CK13" s="373">
        <v>0</v>
      </c>
      <c r="CL13" s="373">
        <v>0</v>
      </c>
      <c r="CM13" s="373">
        <v>1</v>
      </c>
      <c r="CN13" s="373">
        <v>4</v>
      </c>
      <c r="CO13" s="373">
        <v>6</v>
      </c>
      <c r="CP13" s="373">
        <v>7</v>
      </c>
      <c r="CQ13" s="373">
        <v>10</v>
      </c>
      <c r="CR13" s="373">
        <v>12</v>
      </c>
      <c r="CS13" s="373">
        <v>8</v>
      </c>
      <c r="CT13" s="373">
        <v>13</v>
      </c>
      <c r="CU13" s="373">
        <v>9</v>
      </c>
      <c r="CV13" s="25">
        <f t="shared" si="9"/>
        <v>0</v>
      </c>
      <c r="CW13" s="25">
        <f t="shared" si="10"/>
        <v>0</v>
      </c>
      <c r="CX13" s="25">
        <f t="shared" si="11"/>
        <v>5</v>
      </c>
      <c r="CY13" s="25">
        <f t="shared" si="12"/>
        <v>35</v>
      </c>
      <c r="CZ13" s="25">
        <f t="shared" si="13"/>
        <v>30</v>
      </c>
      <c r="DA13" s="374">
        <v>0</v>
      </c>
      <c r="DB13" s="374">
        <v>0</v>
      </c>
      <c r="DC13" s="374">
        <v>0</v>
      </c>
      <c r="DD13" s="374">
        <v>0</v>
      </c>
      <c r="DE13" s="374">
        <v>0</v>
      </c>
      <c r="DF13" s="374">
        <v>0</v>
      </c>
      <c r="DG13" s="374">
        <v>0</v>
      </c>
      <c r="DH13" s="374">
        <v>0</v>
      </c>
      <c r="DI13" s="374">
        <v>0</v>
      </c>
      <c r="DJ13" s="374">
        <v>0</v>
      </c>
      <c r="DK13" s="374">
        <v>3</v>
      </c>
      <c r="DL13" s="374">
        <v>3</v>
      </c>
      <c r="DM13" s="374">
        <v>3</v>
      </c>
      <c r="DN13" s="374">
        <v>11</v>
      </c>
      <c r="DO13" s="374">
        <v>12</v>
      </c>
      <c r="DP13" s="374">
        <v>14</v>
      </c>
      <c r="DQ13" s="374">
        <v>8</v>
      </c>
      <c r="DR13" s="374">
        <v>11</v>
      </c>
      <c r="DS13" s="89">
        <f t="shared" si="19"/>
        <v>0</v>
      </c>
      <c r="DT13" s="89">
        <f t="shared" si="20"/>
        <v>0</v>
      </c>
      <c r="DU13" s="89">
        <f t="shared" si="21"/>
        <v>3</v>
      </c>
      <c r="DV13" s="89">
        <f t="shared" si="22"/>
        <v>29</v>
      </c>
      <c r="DW13" s="89">
        <f t="shared" si="23"/>
        <v>33</v>
      </c>
      <c r="DX13" s="375">
        <v>101</v>
      </c>
      <c r="DY13" s="375">
        <v>61</v>
      </c>
      <c r="DZ13" s="375">
        <v>34</v>
      </c>
      <c r="EA13" s="375">
        <v>121</v>
      </c>
      <c r="EB13" s="384">
        <v>33.799999999999997</v>
      </c>
      <c r="EC13" s="385">
        <v>13.4</v>
      </c>
    </row>
    <row r="14" spans="1:133" ht="12.95" customHeight="1">
      <c r="A14" s="12">
        <v>11</v>
      </c>
      <c r="B14" s="3" t="s">
        <v>53</v>
      </c>
      <c r="C14" s="3" t="s">
        <v>54</v>
      </c>
      <c r="D14" s="4">
        <f t="shared" si="0"/>
        <v>243</v>
      </c>
      <c r="E14" s="4">
        <f t="shared" si="1"/>
        <v>227</v>
      </c>
      <c r="F14" s="302">
        <v>0</v>
      </c>
      <c r="G14" s="366">
        <v>6</v>
      </c>
      <c r="H14" s="366">
        <v>42</v>
      </c>
      <c r="I14" s="366">
        <v>18</v>
      </c>
      <c r="J14" s="366">
        <v>111</v>
      </c>
      <c r="K14" s="366">
        <v>66</v>
      </c>
      <c r="L14" s="367">
        <v>139</v>
      </c>
      <c r="M14" s="367">
        <v>1</v>
      </c>
      <c r="N14" s="367">
        <v>49</v>
      </c>
      <c r="O14" s="367">
        <v>49</v>
      </c>
      <c r="P14" s="367">
        <v>5</v>
      </c>
      <c r="Q14" s="368">
        <v>0</v>
      </c>
      <c r="R14" s="368">
        <v>0</v>
      </c>
      <c r="S14" s="368">
        <v>0</v>
      </c>
      <c r="T14" s="368">
        <v>0</v>
      </c>
      <c r="U14" s="368">
        <v>0</v>
      </c>
      <c r="V14" s="368">
        <v>0</v>
      </c>
      <c r="W14" s="368">
        <v>3</v>
      </c>
      <c r="X14" s="368">
        <v>0</v>
      </c>
      <c r="Y14" s="368">
        <v>7</v>
      </c>
      <c r="Z14" s="368">
        <v>7</v>
      </c>
      <c r="AA14" s="368">
        <v>28</v>
      </c>
      <c r="AB14" s="368">
        <v>18</v>
      </c>
      <c r="AC14" s="368">
        <v>32</v>
      </c>
      <c r="AD14" s="368">
        <v>35</v>
      </c>
      <c r="AE14" s="368">
        <v>48</v>
      </c>
      <c r="AF14" s="368">
        <v>38</v>
      </c>
      <c r="AG14" s="368">
        <v>16</v>
      </c>
      <c r="AH14" s="368">
        <v>11</v>
      </c>
      <c r="AI14" s="24">
        <f t="shared" si="2"/>
        <v>0</v>
      </c>
      <c r="AJ14" s="24">
        <f t="shared" si="3"/>
        <v>0</v>
      </c>
      <c r="AK14" s="24">
        <f t="shared" si="4"/>
        <v>45</v>
      </c>
      <c r="AL14" s="24">
        <f t="shared" si="5"/>
        <v>133</v>
      </c>
      <c r="AM14" s="24">
        <f t="shared" si="6"/>
        <v>65</v>
      </c>
      <c r="AN14" s="369">
        <v>0</v>
      </c>
      <c r="AO14" s="369">
        <v>0</v>
      </c>
      <c r="AP14" s="369">
        <v>0</v>
      </c>
      <c r="AQ14" s="369">
        <v>0</v>
      </c>
      <c r="AR14" s="369">
        <v>0</v>
      </c>
      <c r="AS14" s="369">
        <v>0</v>
      </c>
      <c r="AT14" s="369">
        <v>2</v>
      </c>
      <c r="AU14" s="369">
        <v>1</v>
      </c>
      <c r="AV14" s="369">
        <v>3</v>
      </c>
      <c r="AW14" s="369">
        <v>8</v>
      </c>
      <c r="AX14" s="369">
        <v>19</v>
      </c>
      <c r="AY14" s="369">
        <v>20</v>
      </c>
      <c r="AZ14" s="369">
        <v>28</v>
      </c>
      <c r="BA14" s="369">
        <v>34</v>
      </c>
      <c r="BB14" s="369">
        <v>43</v>
      </c>
      <c r="BC14" s="369">
        <v>37</v>
      </c>
      <c r="BD14" s="369">
        <v>20</v>
      </c>
      <c r="BE14" s="369">
        <v>12</v>
      </c>
      <c r="BF14" s="88">
        <f t="shared" si="14"/>
        <v>0</v>
      </c>
      <c r="BG14" s="88">
        <f t="shared" si="15"/>
        <v>0</v>
      </c>
      <c r="BH14" s="88">
        <f t="shared" si="16"/>
        <v>33</v>
      </c>
      <c r="BI14" s="88">
        <f t="shared" si="17"/>
        <v>125</v>
      </c>
      <c r="BJ14" s="88">
        <f t="shared" si="18"/>
        <v>69</v>
      </c>
      <c r="BK14" s="370">
        <v>119</v>
      </c>
      <c r="BL14" s="370">
        <v>64</v>
      </c>
      <c r="BM14" s="370">
        <v>38</v>
      </c>
      <c r="BN14" s="370">
        <v>192</v>
      </c>
      <c r="BO14" s="381" t="s">
        <v>497</v>
      </c>
      <c r="BP14" s="381" t="s">
        <v>515</v>
      </c>
      <c r="BQ14" s="5">
        <f t="shared" si="7"/>
        <v>256</v>
      </c>
      <c r="BR14" s="5">
        <f t="shared" si="8"/>
        <v>213</v>
      </c>
      <c r="BS14" s="299">
        <v>0</v>
      </c>
      <c r="BT14" s="371">
        <v>15</v>
      </c>
      <c r="BU14" s="371">
        <v>44</v>
      </c>
      <c r="BV14" s="371">
        <v>30</v>
      </c>
      <c r="BW14" s="371">
        <v>100</v>
      </c>
      <c r="BX14" s="371">
        <v>67</v>
      </c>
      <c r="BY14" s="372">
        <v>156</v>
      </c>
      <c r="BZ14" s="372">
        <v>3</v>
      </c>
      <c r="CA14" s="372">
        <v>56</v>
      </c>
      <c r="CB14" s="372">
        <v>36</v>
      </c>
      <c r="CC14" s="372">
        <v>5</v>
      </c>
      <c r="CD14" s="373">
        <v>0</v>
      </c>
      <c r="CE14" s="373">
        <v>0</v>
      </c>
      <c r="CF14" s="373">
        <v>0</v>
      </c>
      <c r="CG14" s="373">
        <v>0</v>
      </c>
      <c r="CH14" s="373">
        <v>0</v>
      </c>
      <c r="CI14" s="373">
        <v>0</v>
      </c>
      <c r="CJ14" s="373">
        <v>0</v>
      </c>
      <c r="CK14" s="373">
        <v>0</v>
      </c>
      <c r="CL14" s="373">
        <v>3</v>
      </c>
      <c r="CM14" s="373">
        <v>10</v>
      </c>
      <c r="CN14" s="373">
        <v>13</v>
      </c>
      <c r="CO14" s="373">
        <v>17</v>
      </c>
      <c r="CP14" s="373">
        <v>19</v>
      </c>
      <c r="CQ14" s="373">
        <v>29</v>
      </c>
      <c r="CR14" s="373">
        <v>48</v>
      </c>
      <c r="CS14" s="373">
        <v>37</v>
      </c>
      <c r="CT14" s="373">
        <v>45</v>
      </c>
      <c r="CU14" s="373">
        <v>35</v>
      </c>
      <c r="CV14" s="25">
        <f t="shared" si="9"/>
        <v>0</v>
      </c>
      <c r="CW14" s="25">
        <f t="shared" si="10"/>
        <v>0</v>
      </c>
      <c r="CX14" s="25">
        <f t="shared" si="11"/>
        <v>26</v>
      </c>
      <c r="CY14" s="25">
        <f t="shared" si="12"/>
        <v>113</v>
      </c>
      <c r="CZ14" s="25">
        <f t="shared" si="13"/>
        <v>117</v>
      </c>
      <c r="DA14" s="374">
        <v>0</v>
      </c>
      <c r="DB14" s="374">
        <v>0</v>
      </c>
      <c r="DC14" s="374">
        <v>0</v>
      </c>
      <c r="DD14" s="374">
        <v>0</v>
      </c>
      <c r="DE14" s="374">
        <v>0</v>
      </c>
      <c r="DF14" s="374">
        <v>0</v>
      </c>
      <c r="DG14" s="374">
        <v>1</v>
      </c>
      <c r="DH14" s="374">
        <v>0</v>
      </c>
      <c r="DI14" s="374">
        <v>2</v>
      </c>
      <c r="DJ14" s="374">
        <v>1</v>
      </c>
      <c r="DK14" s="374">
        <v>5</v>
      </c>
      <c r="DL14" s="374">
        <v>15</v>
      </c>
      <c r="DM14" s="374">
        <v>17</v>
      </c>
      <c r="DN14" s="374">
        <v>24</v>
      </c>
      <c r="DO14" s="374">
        <v>41</v>
      </c>
      <c r="DP14" s="374">
        <v>27</v>
      </c>
      <c r="DQ14" s="374">
        <v>46</v>
      </c>
      <c r="DR14" s="374">
        <v>34</v>
      </c>
      <c r="DS14" s="89">
        <f t="shared" si="19"/>
        <v>0</v>
      </c>
      <c r="DT14" s="89">
        <f t="shared" si="20"/>
        <v>0</v>
      </c>
      <c r="DU14" s="89">
        <f t="shared" si="21"/>
        <v>9</v>
      </c>
      <c r="DV14" s="89">
        <f t="shared" si="22"/>
        <v>97</v>
      </c>
      <c r="DW14" s="89">
        <f t="shared" si="23"/>
        <v>107</v>
      </c>
      <c r="DX14" s="375">
        <v>146</v>
      </c>
      <c r="DY14" s="375">
        <v>71</v>
      </c>
      <c r="DZ14" s="375">
        <v>38</v>
      </c>
      <c r="EA14" s="375">
        <v>241</v>
      </c>
      <c r="EB14" s="384">
        <v>24.6</v>
      </c>
      <c r="EC14" s="385">
        <v>8.5</v>
      </c>
    </row>
    <row r="15" spans="1:133" ht="12.95" customHeight="1">
      <c r="A15" s="2">
        <v>12</v>
      </c>
      <c r="B15" s="3" t="s">
        <v>55</v>
      </c>
      <c r="C15" s="3" t="s">
        <v>56</v>
      </c>
      <c r="D15" s="4">
        <f t="shared" si="0"/>
        <v>30</v>
      </c>
      <c r="E15" s="4">
        <f t="shared" si="1"/>
        <v>30</v>
      </c>
      <c r="F15" s="302">
        <v>0</v>
      </c>
      <c r="G15" s="366">
        <v>3</v>
      </c>
      <c r="H15" s="366">
        <v>2</v>
      </c>
      <c r="I15" s="366">
        <v>3</v>
      </c>
      <c r="J15" s="366">
        <v>12</v>
      </c>
      <c r="K15" s="366">
        <v>10</v>
      </c>
      <c r="L15" s="367">
        <v>13</v>
      </c>
      <c r="M15" s="367">
        <v>2</v>
      </c>
      <c r="N15" s="367">
        <v>6</v>
      </c>
      <c r="O15" s="367">
        <v>7</v>
      </c>
      <c r="P15" s="367">
        <v>2</v>
      </c>
      <c r="Q15" s="368">
        <v>0</v>
      </c>
      <c r="R15" s="368">
        <v>1</v>
      </c>
      <c r="S15" s="368">
        <v>0</v>
      </c>
      <c r="T15" s="368">
        <v>0</v>
      </c>
      <c r="U15" s="368">
        <v>0</v>
      </c>
      <c r="V15" s="368">
        <v>0</v>
      </c>
      <c r="W15" s="368">
        <v>0</v>
      </c>
      <c r="X15" s="368">
        <v>1</v>
      </c>
      <c r="Y15" s="368">
        <v>1</v>
      </c>
      <c r="Z15" s="368">
        <v>2</v>
      </c>
      <c r="AA15" s="368">
        <v>2</v>
      </c>
      <c r="AB15" s="368">
        <v>3</v>
      </c>
      <c r="AC15" s="368">
        <v>2</v>
      </c>
      <c r="AD15" s="368">
        <v>3</v>
      </c>
      <c r="AE15" s="368">
        <v>3</v>
      </c>
      <c r="AF15" s="368">
        <v>3</v>
      </c>
      <c r="AG15" s="368">
        <v>5</v>
      </c>
      <c r="AH15" s="368">
        <v>4</v>
      </c>
      <c r="AI15" s="24">
        <f t="shared" si="2"/>
        <v>1</v>
      </c>
      <c r="AJ15" s="24">
        <f t="shared" si="3"/>
        <v>0</v>
      </c>
      <c r="AK15" s="24">
        <f t="shared" si="4"/>
        <v>6</v>
      </c>
      <c r="AL15" s="24">
        <f t="shared" si="5"/>
        <v>11</v>
      </c>
      <c r="AM15" s="24">
        <f t="shared" si="6"/>
        <v>12</v>
      </c>
      <c r="AN15" s="369">
        <v>0</v>
      </c>
      <c r="AO15" s="369">
        <v>0</v>
      </c>
      <c r="AP15" s="369">
        <v>0</v>
      </c>
      <c r="AQ15" s="369">
        <v>0</v>
      </c>
      <c r="AR15" s="369">
        <v>0</v>
      </c>
      <c r="AS15" s="369">
        <v>0</v>
      </c>
      <c r="AT15" s="369">
        <v>0</v>
      </c>
      <c r="AU15" s="369">
        <v>0</v>
      </c>
      <c r="AV15" s="369">
        <v>1</v>
      </c>
      <c r="AW15" s="369">
        <v>2</v>
      </c>
      <c r="AX15" s="369">
        <v>2</v>
      </c>
      <c r="AY15" s="369">
        <v>2</v>
      </c>
      <c r="AZ15" s="369">
        <v>2</v>
      </c>
      <c r="BA15" s="369">
        <v>3</v>
      </c>
      <c r="BB15" s="369">
        <v>4</v>
      </c>
      <c r="BC15" s="369">
        <v>5</v>
      </c>
      <c r="BD15" s="369">
        <v>5</v>
      </c>
      <c r="BE15" s="369">
        <v>4</v>
      </c>
      <c r="BF15" s="88">
        <f t="shared" si="14"/>
        <v>0</v>
      </c>
      <c r="BG15" s="88">
        <f t="shared" si="15"/>
        <v>0</v>
      </c>
      <c r="BH15" s="88">
        <f t="shared" si="16"/>
        <v>5</v>
      </c>
      <c r="BI15" s="88">
        <f t="shared" si="17"/>
        <v>11</v>
      </c>
      <c r="BJ15" s="88">
        <f t="shared" si="18"/>
        <v>14</v>
      </c>
      <c r="BK15" s="370">
        <v>72</v>
      </c>
      <c r="BL15" s="370">
        <v>43</v>
      </c>
      <c r="BM15" s="370">
        <v>20</v>
      </c>
      <c r="BN15" s="370">
        <v>83</v>
      </c>
      <c r="BO15" s="381" t="s">
        <v>498</v>
      </c>
      <c r="BP15" s="381" t="s">
        <v>516</v>
      </c>
      <c r="BQ15" s="5">
        <f t="shared" si="7"/>
        <v>45</v>
      </c>
      <c r="BR15" s="5">
        <f t="shared" si="8"/>
        <v>46</v>
      </c>
      <c r="BS15" s="299">
        <v>0</v>
      </c>
      <c r="BT15" s="371">
        <v>4</v>
      </c>
      <c r="BU15" s="371">
        <v>2</v>
      </c>
      <c r="BV15" s="371">
        <v>7</v>
      </c>
      <c r="BW15" s="371">
        <v>8</v>
      </c>
      <c r="BX15" s="371">
        <v>24</v>
      </c>
      <c r="BY15" s="372">
        <v>26</v>
      </c>
      <c r="BZ15" s="372">
        <v>0</v>
      </c>
      <c r="CA15" s="372">
        <v>1</v>
      </c>
      <c r="CB15" s="372">
        <v>18</v>
      </c>
      <c r="CC15" s="372">
        <v>0</v>
      </c>
      <c r="CD15" s="373">
        <v>3</v>
      </c>
      <c r="CE15" s="373">
        <v>0</v>
      </c>
      <c r="CF15" s="373">
        <v>0</v>
      </c>
      <c r="CG15" s="373">
        <v>0</v>
      </c>
      <c r="CH15" s="373">
        <v>0</v>
      </c>
      <c r="CI15" s="373">
        <v>0</v>
      </c>
      <c r="CJ15" s="373">
        <v>0</v>
      </c>
      <c r="CK15" s="373">
        <v>0</v>
      </c>
      <c r="CL15" s="373">
        <v>4</v>
      </c>
      <c r="CM15" s="373">
        <v>0</v>
      </c>
      <c r="CN15" s="373">
        <v>2</v>
      </c>
      <c r="CO15" s="373">
        <v>2</v>
      </c>
      <c r="CP15" s="373">
        <v>4</v>
      </c>
      <c r="CQ15" s="373">
        <v>5</v>
      </c>
      <c r="CR15" s="373">
        <v>5</v>
      </c>
      <c r="CS15" s="373">
        <v>10</v>
      </c>
      <c r="CT15" s="373">
        <v>5</v>
      </c>
      <c r="CU15" s="373">
        <v>5</v>
      </c>
      <c r="CV15" s="25">
        <f t="shared" si="9"/>
        <v>3</v>
      </c>
      <c r="CW15" s="25">
        <f t="shared" si="10"/>
        <v>0</v>
      </c>
      <c r="CX15" s="25">
        <f t="shared" si="11"/>
        <v>6</v>
      </c>
      <c r="CY15" s="25">
        <f t="shared" si="12"/>
        <v>16</v>
      </c>
      <c r="CZ15" s="25">
        <f t="shared" si="13"/>
        <v>20</v>
      </c>
      <c r="DA15" s="374">
        <v>1</v>
      </c>
      <c r="DB15" s="374">
        <v>0</v>
      </c>
      <c r="DC15" s="374">
        <v>0</v>
      </c>
      <c r="DD15" s="374">
        <v>0</v>
      </c>
      <c r="DE15" s="374">
        <v>0</v>
      </c>
      <c r="DF15" s="374">
        <v>0</v>
      </c>
      <c r="DG15" s="374">
        <v>0</v>
      </c>
      <c r="DH15" s="374">
        <v>1</v>
      </c>
      <c r="DI15" s="374">
        <v>0</v>
      </c>
      <c r="DJ15" s="374">
        <v>2</v>
      </c>
      <c r="DK15" s="374">
        <v>1</v>
      </c>
      <c r="DL15" s="374">
        <v>5</v>
      </c>
      <c r="DM15" s="374">
        <v>4</v>
      </c>
      <c r="DN15" s="374">
        <v>5</v>
      </c>
      <c r="DO15" s="374">
        <v>4</v>
      </c>
      <c r="DP15" s="374">
        <v>9</v>
      </c>
      <c r="DQ15" s="374">
        <v>6</v>
      </c>
      <c r="DR15" s="374">
        <v>8</v>
      </c>
      <c r="DS15" s="89">
        <f t="shared" si="19"/>
        <v>1</v>
      </c>
      <c r="DT15" s="89">
        <f t="shared" si="20"/>
        <v>0</v>
      </c>
      <c r="DU15" s="89">
        <f t="shared" si="21"/>
        <v>4</v>
      </c>
      <c r="DV15" s="89">
        <f t="shared" si="22"/>
        <v>18</v>
      </c>
      <c r="DW15" s="89">
        <f t="shared" si="23"/>
        <v>23</v>
      </c>
      <c r="DX15" s="375">
        <v>140</v>
      </c>
      <c r="DY15" s="375">
        <v>88</v>
      </c>
      <c r="DZ15" s="375">
        <v>45</v>
      </c>
      <c r="EA15" s="375">
        <v>154</v>
      </c>
      <c r="EB15" s="384">
        <v>75.900000000000006</v>
      </c>
      <c r="EC15" s="385">
        <v>61.8</v>
      </c>
    </row>
    <row r="16" spans="1:133" ht="12.95" customHeight="1">
      <c r="A16" s="12">
        <v>13</v>
      </c>
      <c r="B16" s="3" t="s">
        <v>57</v>
      </c>
      <c r="C16" s="3" t="s">
        <v>58</v>
      </c>
      <c r="D16" s="4">
        <f t="shared" si="0"/>
        <v>19</v>
      </c>
      <c r="E16" s="4">
        <f t="shared" si="1"/>
        <v>9</v>
      </c>
      <c r="F16" s="302">
        <v>0</v>
      </c>
      <c r="G16" s="366">
        <v>0</v>
      </c>
      <c r="H16" s="366">
        <v>2</v>
      </c>
      <c r="I16" s="366">
        <v>5</v>
      </c>
      <c r="J16" s="366">
        <v>9</v>
      </c>
      <c r="K16" s="366">
        <v>3</v>
      </c>
      <c r="L16" s="367">
        <v>13</v>
      </c>
      <c r="M16" s="367">
        <v>4</v>
      </c>
      <c r="N16" s="367">
        <v>0</v>
      </c>
      <c r="O16" s="367">
        <v>2</v>
      </c>
      <c r="P16" s="367">
        <v>0</v>
      </c>
      <c r="Q16" s="368">
        <v>0</v>
      </c>
      <c r="R16" s="368">
        <v>0</v>
      </c>
      <c r="S16" s="368">
        <v>0</v>
      </c>
      <c r="T16" s="368">
        <v>0</v>
      </c>
      <c r="U16" s="368">
        <v>1</v>
      </c>
      <c r="V16" s="368">
        <v>0</v>
      </c>
      <c r="W16" s="368">
        <v>0</v>
      </c>
      <c r="X16" s="368">
        <v>0</v>
      </c>
      <c r="Y16" s="368">
        <v>0</v>
      </c>
      <c r="Z16" s="368">
        <v>5</v>
      </c>
      <c r="AA16" s="368">
        <v>2</v>
      </c>
      <c r="AB16" s="368">
        <v>2</v>
      </c>
      <c r="AC16" s="368">
        <v>1</v>
      </c>
      <c r="AD16" s="368">
        <v>5</v>
      </c>
      <c r="AE16" s="368">
        <v>1</v>
      </c>
      <c r="AF16" s="368">
        <v>1</v>
      </c>
      <c r="AG16" s="368">
        <v>1</v>
      </c>
      <c r="AH16" s="368">
        <v>0</v>
      </c>
      <c r="AI16" s="24">
        <f t="shared" si="2"/>
        <v>0</v>
      </c>
      <c r="AJ16" s="24">
        <f t="shared" si="3"/>
        <v>1</v>
      </c>
      <c r="AK16" s="24">
        <f t="shared" si="4"/>
        <v>7</v>
      </c>
      <c r="AL16" s="24">
        <f t="shared" si="5"/>
        <v>9</v>
      </c>
      <c r="AM16" s="24">
        <f t="shared" si="6"/>
        <v>2</v>
      </c>
      <c r="AN16" s="369">
        <v>0</v>
      </c>
      <c r="AO16" s="369">
        <v>0</v>
      </c>
      <c r="AP16" s="369">
        <v>0</v>
      </c>
      <c r="AQ16" s="369">
        <v>0</v>
      </c>
      <c r="AR16" s="369">
        <v>0</v>
      </c>
      <c r="AS16" s="369">
        <v>0</v>
      </c>
      <c r="AT16" s="369">
        <v>0</v>
      </c>
      <c r="AU16" s="369">
        <v>0</v>
      </c>
      <c r="AV16" s="369">
        <v>0</v>
      </c>
      <c r="AW16" s="369">
        <v>3</v>
      </c>
      <c r="AX16" s="369">
        <v>0</v>
      </c>
      <c r="AY16" s="369">
        <v>0</v>
      </c>
      <c r="AZ16" s="369">
        <v>0</v>
      </c>
      <c r="BA16" s="369">
        <v>1</v>
      </c>
      <c r="BB16" s="369">
        <v>2</v>
      </c>
      <c r="BC16" s="369">
        <v>1</v>
      </c>
      <c r="BD16" s="369">
        <v>2</v>
      </c>
      <c r="BE16" s="369">
        <v>0</v>
      </c>
      <c r="BF16" s="88">
        <f t="shared" si="14"/>
        <v>0</v>
      </c>
      <c r="BG16" s="88">
        <f t="shared" si="15"/>
        <v>0</v>
      </c>
      <c r="BH16" s="88">
        <f t="shared" si="16"/>
        <v>3</v>
      </c>
      <c r="BI16" s="88">
        <f t="shared" si="17"/>
        <v>3</v>
      </c>
      <c r="BJ16" s="88">
        <f t="shared" si="18"/>
        <v>3</v>
      </c>
      <c r="BK16" s="370">
        <v>65</v>
      </c>
      <c r="BL16" s="370">
        <v>37</v>
      </c>
      <c r="BM16" s="370">
        <v>20</v>
      </c>
      <c r="BN16" s="370">
        <v>75</v>
      </c>
      <c r="BO16" s="381" t="s">
        <v>499</v>
      </c>
      <c r="BP16" s="381" t="s">
        <v>517</v>
      </c>
      <c r="BQ16" s="5">
        <f t="shared" si="7"/>
        <v>21</v>
      </c>
      <c r="BR16" s="5">
        <f t="shared" si="8"/>
        <v>8</v>
      </c>
      <c r="BS16" s="299">
        <v>0</v>
      </c>
      <c r="BT16" s="371">
        <v>0</v>
      </c>
      <c r="BU16" s="371">
        <v>1</v>
      </c>
      <c r="BV16" s="371">
        <v>5</v>
      </c>
      <c r="BW16" s="371">
        <v>10</v>
      </c>
      <c r="BX16" s="371">
        <v>5</v>
      </c>
      <c r="BY16" s="372">
        <v>18</v>
      </c>
      <c r="BZ16" s="372">
        <v>1</v>
      </c>
      <c r="CA16" s="372">
        <v>1</v>
      </c>
      <c r="CB16" s="372">
        <v>1</v>
      </c>
      <c r="CC16" s="372">
        <v>0</v>
      </c>
      <c r="CD16" s="373">
        <v>0</v>
      </c>
      <c r="CE16" s="373">
        <v>0</v>
      </c>
      <c r="CF16" s="373">
        <v>0</v>
      </c>
      <c r="CG16" s="373">
        <v>0</v>
      </c>
      <c r="CH16" s="373">
        <v>0</v>
      </c>
      <c r="CI16" s="373">
        <v>0</v>
      </c>
      <c r="CJ16" s="373">
        <v>0</v>
      </c>
      <c r="CK16" s="373">
        <v>0</v>
      </c>
      <c r="CL16" s="373">
        <v>1</v>
      </c>
      <c r="CM16" s="373">
        <v>0</v>
      </c>
      <c r="CN16" s="373">
        <v>2</v>
      </c>
      <c r="CO16" s="373">
        <v>2</v>
      </c>
      <c r="CP16" s="373">
        <v>5</v>
      </c>
      <c r="CQ16" s="373">
        <v>3</v>
      </c>
      <c r="CR16" s="373">
        <v>2</v>
      </c>
      <c r="CS16" s="373">
        <v>0</v>
      </c>
      <c r="CT16" s="373">
        <v>4</v>
      </c>
      <c r="CU16" s="373">
        <v>2</v>
      </c>
      <c r="CV16" s="25">
        <f t="shared" si="9"/>
        <v>0</v>
      </c>
      <c r="CW16" s="25">
        <f t="shared" si="10"/>
        <v>0</v>
      </c>
      <c r="CX16" s="25">
        <f t="shared" si="11"/>
        <v>3</v>
      </c>
      <c r="CY16" s="25">
        <f t="shared" si="12"/>
        <v>12</v>
      </c>
      <c r="CZ16" s="25">
        <f t="shared" si="13"/>
        <v>6</v>
      </c>
      <c r="DA16" s="374">
        <v>0</v>
      </c>
      <c r="DB16" s="374">
        <v>0</v>
      </c>
      <c r="DC16" s="374">
        <v>0</v>
      </c>
      <c r="DD16" s="374">
        <v>0</v>
      </c>
      <c r="DE16" s="374">
        <v>0</v>
      </c>
      <c r="DF16" s="374">
        <v>0</v>
      </c>
      <c r="DG16" s="374">
        <v>0</v>
      </c>
      <c r="DH16" s="374">
        <v>0</v>
      </c>
      <c r="DI16" s="374">
        <v>0</v>
      </c>
      <c r="DJ16" s="374">
        <v>0</v>
      </c>
      <c r="DK16" s="374">
        <v>0</v>
      </c>
      <c r="DL16" s="374">
        <v>0</v>
      </c>
      <c r="DM16" s="374">
        <v>2</v>
      </c>
      <c r="DN16" s="374">
        <v>2</v>
      </c>
      <c r="DO16" s="374">
        <v>1</v>
      </c>
      <c r="DP16" s="374">
        <v>0</v>
      </c>
      <c r="DQ16" s="374">
        <v>2</v>
      </c>
      <c r="DR16" s="374">
        <v>1</v>
      </c>
      <c r="DS16" s="89">
        <f t="shared" si="19"/>
        <v>0</v>
      </c>
      <c r="DT16" s="89">
        <f t="shared" si="20"/>
        <v>0</v>
      </c>
      <c r="DU16" s="89">
        <f t="shared" si="21"/>
        <v>0</v>
      </c>
      <c r="DV16" s="89">
        <f t="shared" si="22"/>
        <v>5</v>
      </c>
      <c r="DW16" s="89">
        <f t="shared" si="23"/>
        <v>3</v>
      </c>
      <c r="DX16" s="375">
        <v>56</v>
      </c>
      <c r="DY16" s="375">
        <v>41</v>
      </c>
      <c r="DZ16" s="375">
        <v>22</v>
      </c>
      <c r="EA16" s="375">
        <v>71</v>
      </c>
      <c r="EB16" s="384">
        <v>64.8</v>
      </c>
      <c r="EC16" s="385">
        <v>49.4</v>
      </c>
    </row>
    <row r="17" spans="1:133" ht="12.95" customHeight="1">
      <c r="A17" s="2">
        <v>14</v>
      </c>
      <c r="B17" s="3" t="s">
        <v>59</v>
      </c>
      <c r="C17" s="3" t="s">
        <v>60</v>
      </c>
      <c r="D17" s="4">
        <f t="shared" si="0"/>
        <v>151</v>
      </c>
      <c r="E17" s="4">
        <f t="shared" si="1"/>
        <v>101</v>
      </c>
      <c r="F17" s="302">
        <v>0</v>
      </c>
      <c r="G17" s="366">
        <v>18</v>
      </c>
      <c r="H17" s="366">
        <v>30</v>
      </c>
      <c r="I17" s="366">
        <v>38</v>
      </c>
      <c r="J17" s="366">
        <v>46</v>
      </c>
      <c r="K17" s="366">
        <v>19</v>
      </c>
      <c r="L17" s="367">
        <v>128</v>
      </c>
      <c r="M17" s="367">
        <v>10</v>
      </c>
      <c r="N17" s="367">
        <v>5</v>
      </c>
      <c r="O17" s="367">
        <v>8</v>
      </c>
      <c r="P17" s="367">
        <v>0</v>
      </c>
      <c r="Q17" s="368">
        <v>0</v>
      </c>
      <c r="R17" s="368">
        <v>0</v>
      </c>
      <c r="S17" s="368">
        <v>0</v>
      </c>
      <c r="T17" s="368">
        <v>1</v>
      </c>
      <c r="U17" s="368">
        <v>0</v>
      </c>
      <c r="V17" s="368">
        <v>0</v>
      </c>
      <c r="W17" s="368">
        <v>0</v>
      </c>
      <c r="X17" s="368">
        <v>0</v>
      </c>
      <c r="Y17" s="368">
        <v>4</v>
      </c>
      <c r="Z17" s="368">
        <v>9</v>
      </c>
      <c r="AA17" s="368">
        <v>11</v>
      </c>
      <c r="AB17" s="368">
        <v>30</v>
      </c>
      <c r="AC17" s="368">
        <v>28</v>
      </c>
      <c r="AD17" s="368">
        <v>20</v>
      </c>
      <c r="AE17" s="368">
        <v>21</v>
      </c>
      <c r="AF17" s="368">
        <v>16</v>
      </c>
      <c r="AG17" s="368">
        <v>6</v>
      </c>
      <c r="AH17" s="368">
        <v>5</v>
      </c>
      <c r="AI17" s="24">
        <f t="shared" si="2"/>
        <v>0</v>
      </c>
      <c r="AJ17" s="24">
        <f t="shared" si="3"/>
        <v>1</v>
      </c>
      <c r="AK17" s="24">
        <f t="shared" si="4"/>
        <v>24</v>
      </c>
      <c r="AL17" s="24">
        <f t="shared" si="5"/>
        <v>99</v>
      </c>
      <c r="AM17" s="24">
        <f t="shared" si="6"/>
        <v>27</v>
      </c>
      <c r="AN17" s="369">
        <v>0</v>
      </c>
      <c r="AO17" s="369">
        <v>0</v>
      </c>
      <c r="AP17" s="369">
        <v>0</v>
      </c>
      <c r="AQ17" s="369">
        <v>0</v>
      </c>
      <c r="AR17" s="369">
        <v>0</v>
      </c>
      <c r="AS17" s="369">
        <v>0</v>
      </c>
      <c r="AT17" s="369">
        <v>0</v>
      </c>
      <c r="AU17" s="369">
        <v>0</v>
      </c>
      <c r="AV17" s="369">
        <v>4</v>
      </c>
      <c r="AW17" s="369">
        <v>7</v>
      </c>
      <c r="AX17" s="369">
        <v>13</v>
      </c>
      <c r="AY17" s="369">
        <v>11</v>
      </c>
      <c r="AZ17" s="369">
        <v>20</v>
      </c>
      <c r="BA17" s="369">
        <v>15</v>
      </c>
      <c r="BB17" s="369">
        <v>7</v>
      </c>
      <c r="BC17" s="369">
        <v>11</v>
      </c>
      <c r="BD17" s="369">
        <v>10</v>
      </c>
      <c r="BE17" s="369">
        <v>3</v>
      </c>
      <c r="BF17" s="88">
        <f t="shared" si="14"/>
        <v>0</v>
      </c>
      <c r="BG17" s="88">
        <f t="shared" si="15"/>
        <v>0</v>
      </c>
      <c r="BH17" s="88">
        <f t="shared" si="16"/>
        <v>24</v>
      </c>
      <c r="BI17" s="88">
        <f t="shared" si="17"/>
        <v>53</v>
      </c>
      <c r="BJ17" s="88">
        <f t="shared" si="18"/>
        <v>24</v>
      </c>
      <c r="BK17" s="370">
        <v>884</v>
      </c>
      <c r="BL17" s="370">
        <v>598</v>
      </c>
      <c r="BM17" s="370">
        <v>331</v>
      </c>
      <c r="BN17" s="370">
        <v>988</v>
      </c>
      <c r="BO17" s="381" t="s">
        <v>500</v>
      </c>
      <c r="BP17" s="381" t="s">
        <v>518</v>
      </c>
      <c r="BQ17" s="5">
        <f t="shared" si="7"/>
        <v>11</v>
      </c>
      <c r="BR17" s="5">
        <f t="shared" si="8"/>
        <v>9</v>
      </c>
      <c r="BS17" s="299">
        <v>0</v>
      </c>
      <c r="BT17" s="371">
        <v>1</v>
      </c>
      <c r="BU17" s="371">
        <v>1</v>
      </c>
      <c r="BV17" s="371">
        <v>3</v>
      </c>
      <c r="BW17" s="371">
        <v>1</v>
      </c>
      <c r="BX17" s="371">
        <v>5</v>
      </c>
      <c r="BY17" s="372">
        <v>8</v>
      </c>
      <c r="BZ17" s="372">
        <v>0</v>
      </c>
      <c r="CA17" s="372">
        <v>0</v>
      </c>
      <c r="CB17" s="372">
        <v>3</v>
      </c>
      <c r="CC17" s="372">
        <v>0</v>
      </c>
      <c r="CD17" s="373">
        <v>0</v>
      </c>
      <c r="CE17" s="373">
        <v>0</v>
      </c>
      <c r="CF17" s="373">
        <v>0</v>
      </c>
      <c r="CG17" s="373">
        <v>0</v>
      </c>
      <c r="CH17" s="373">
        <v>0</v>
      </c>
      <c r="CI17" s="373">
        <v>0</v>
      </c>
      <c r="CJ17" s="373">
        <v>1</v>
      </c>
      <c r="CK17" s="373">
        <v>1</v>
      </c>
      <c r="CL17" s="373">
        <v>0</v>
      </c>
      <c r="CM17" s="373">
        <v>0</v>
      </c>
      <c r="CN17" s="373">
        <v>2</v>
      </c>
      <c r="CO17" s="373">
        <v>2</v>
      </c>
      <c r="CP17" s="373">
        <v>1</v>
      </c>
      <c r="CQ17" s="373">
        <v>2</v>
      </c>
      <c r="CR17" s="373">
        <v>0</v>
      </c>
      <c r="CS17" s="373">
        <v>2</v>
      </c>
      <c r="CT17" s="373">
        <v>0</v>
      </c>
      <c r="CU17" s="373">
        <v>0</v>
      </c>
      <c r="CV17" s="25">
        <f t="shared" si="9"/>
        <v>0</v>
      </c>
      <c r="CW17" s="25">
        <f t="shared" si="10"/>
        <v>0</v>
      </c>
      <c r="CX17" s="25">
        <f t="shared" si="11"/>
        <v>4</v>
      </c>
      <c r="CY17" s="25">
        <f t="shared" si="12"/>
        <v>5</v>
      </c>
      <c r="CZ17" s="25">
        <f t="shared" si="13"/>
        <v>2</v>
      </c>
      <c r="DA17" s="374">
        <v>0</v>
      </c>
      <c r="DB17" s="374">
        <v>0</v>
      </c>
      <c r="DC17" s="374">
        <v>0</v>
      </c>
      <c r="DD17" s="374">
        <v>0</v>
      </c>
      <c r="DE17" s="374">
        <v>0</v>
      </c>
      <c r="DF17" s="374">
        <v>0</v>
      </c>
      <c r="DG17" s="374">
        <v>0</v>
      </c>
      <c r="DH17" s="374">
        <v>1</v>
      </c>
      <c r="DI17" s="374">
        <v>0</v>
      </c>
      <c r="DJ17" s="374">
        <v>0</v>
      </c>
      <c r="DK17" s="374">
        <v>1</v>
      </c>
      <c r="DL17" s="374">
        <v>2</v>
      </c>
      <c r="DM17" s="374">
        <v>4</v>
      </c>
      <c r="DN17" s="374">
        <v>1</v>
      </c>
      <c r="DO17" s="374">
        <v>0</v>
      </c>
      <c r="DP17" s="374">
        <v>0</v>
      </c>
      <c r="DQ17" s="374">
        <v>0</v>
      </c>
      <c r="DR17" s="374">
        <v>0</v>
      </c>
      <c r="DS17" s="89">
        <f t="shared" si="19"/>
        <v>0</v>
      </c>
      <c r="DT17" s="89">
        <f t="shared" si="20"/>
        <v>0</v>
      </c>
      <c r="DU17" s="89">
        <f t="shared" si="21"/>
        <v>2</v>
      </c>
      <c r="DV17" s="89">
        <f t="shared" si="22"/>
        <v>7</v>
      </c>
      <c r="DW17" s="89">
        <f t="shared" si="23"/>
        <v>0</v>
      </c>
      <c r="DX17" s="375">
        <v>63</v>
      </c>
      <c r="DY17" s="375">
        <v>47</v>
      </c>
      <c r="DZ17" s="375">
        <v>25</v>
      </c>
      <c r="EA17" s="375">
        <v>69</v>
      </c>
      <c r="EB17" s="384">
        <v>67.8</v>
      </c>
      <c r="EC17" s="385">
        <v>60.9</v>
      </c>
    </row>
    <row r="18" spans="1:133" ht="12.95" customHeight="1">
      <c r="A18" s="12">
        <v>15</v>
      </c>
      <c r="B18" s="3" t="s">
        <v>61</v>
      </c>
      <c r="C18" s="3" t="s">
        <v>62</v>
      </c>
      <c r="D18" s="4">
        <f t="shared" si="0"/>
        <v>1147</v>
      </c>
      <c r="E18" s="4">
        <f t="shared" si="1"/>
        <v>1058</v>
      </c>
      <c r="F18" s="302">
        <v>0</v>
      </c>
      <c r="G18" s="366">
        <v>55</v>
      </c>
      <c r="H18" s="366">
        <v>130</v>
      </c>
      <c r="I18" s="366">
        <v>287</v>
      </c>
      <c r="J18" s="366">
        <v>345</v>
      </c>
      <c r="K18" s="366">
        <v>330</v>
      </c>
      <c r="L18" s="367">
        <v>604</v>
      </c>
      <c r="M18" s="367">
        <v>90</v>
      </c>
      <c r="N18" s="367">
        <v>207</v>
      </c>
      <c r="O18" s="367">
        <v>222</v>
      </c>
      <c r="P18" s="367">
        <v>25</v>
      </c>
      <c r="Q18" s="368">
        <v>0</v>
      </c>
      <c r="R18" s="368">
        <v>0</v>
      </c>
      <c r="S18" s="368">
        <v>0</v>
      </c>
      <c r="T18" s="368">
        <v>0</v>
      </c>
      <c r="U18" s="368">
        <v>0</v>
      </c>
      <c r="V18" s="368">
        <v>1</v>
      </c>
      <c r="W18" s="368">
        <v>0</v>
      </c>
      <c r="X18" s="368">
        <v>4</v>
      </c>
      <c r="Y18" s="368">
        <v>9</v>
      </c>
      <c r="Z18" s="368">
        <v>32</v>
      </c>
      <c r="AA18" s="368">
        <v>74</v>
      </c>
      <c r="AB18" s="368">
        <v>145</v>
      </c>
      <c r="AC18" s="368">
        <v>196</v>
      </c>
      <c r="AD18" s="368">
        <v>182</v>
      </c>
      <c r="AE18" s="368">
        <v>200</v>
      </c>
      <c r="AF18" s="368">
        <v>178</v>
      </c>
      <c r="AG18" s="368">
        <v>91</v>
      </c>
      <c r="AH18" s="368">
        <v>35</v>
      </c>
      <c r="AI18" s="24">
        <f t="shared" si="2"/>
        <v>0</v>
      </c>
      <c r="AJ18" s="24">
        <f t="shared" si="3"/>
        <v>1</v>
      </c>
      <c r="AK18" s="24">
        <f t="shared" si="4"/>
        <v>119</v>
      </c>
      <c r="AL18" s="24">
        <f t="shared" si="5"/>
        <v>723</v>
      </c>
      <c r="AM18" s="24">
        <f t="shared" si="6"/>
        <v>304</v>
      </c>
      <c r="AN18" s="369">
        <v>0</v>
      </c>
      <c r="AO18" s="369">
        <v>0</v>
      </c>
      <c r="AP18" s="369">
        <v>0</v>
      </c>
      <c r="AQ18" s="369">
        <v>0</v>
      </c>
      <c r="AR18" s="369">
        <v>0</v>
      </c>
      <c r="AS18" s="369">
        <v>1</v>
      </c>
      <c r="AT18" s="369">
        <v>0</v>
      </c>
      <c r="AU18" s="369">
        <v>1</v>
      </c>
      <c r="AV18" s="369">
        <v>8</v>
      </c>
      <c r="AW18" s="369">
        <v>24</v>
      </c>
      <c r="AX18" s="369">
        <v>56</v>
      </c>
      <c r="AY18" s="369">
        <v>116</v>
      </c>
      <c r="AZ18" s="369">
        <v>197</v>
      </c>
      <c r="BA18" s="369">
        <v>169</v>
      </c>
      <c r="BB18" s="369">
        <v>195</v>
      </c>
      <c r="BC18" s="369">
        <v>171</v>
      </c>
      <c r="BD18" s="369">
        <v>87</v>
      </c>
      <c r="BE18" s="369">
        <v>33</v>
      </c>
      <c r="BF18" s="88">
        <f t="shared" si="14"/>
        <v>0</v>
      </c>
      <c r="BG18" s="88">
        <f t="shared" si="15"/>
        <v>1</v>
      </c>
      <c r="BH18" s="88">
        <f t="shared" si="16"/>
        <v>89</v>
      </c>
      <c r="BI18" s="88">
        <f t="shared" si="17"/>
        <v>677</v>
      </c>
      <c r="BJ18" s="88">
        <f t="shared" si="18"/>
        <v>291</v>
      </c>
      <c r="BK18" s="370">
        <v>907</v>
      </c>
      <c r="BL18" s="370">
        <v>494</v>
      </c>
      <c r="BM18" s="370">
        <v>255</v>
      </c>
      <c r="BN18" s="370">
        <v>1306</v>
      </c>
      <c r="BO18" s="381" t="s">
        <v>501</v>
      </c>
      <c r="BP18" s="381" t="s">
        <v>519</v>
      </c>
      <c r="BQ18" s="5">
        <f t="shared" si="7"/>
        <v>290</v>
      </c>
      <c r="BR18" s="5">
        <f t="shared" si="8"/>
        <v>250</v>
      </c>
      <c r="BS18" s="299">
        <v>0</v>
      </c>
      <c r="BT18" s="371">
        <v>19</v>
      </c>
      <c r="BU18" s="371">
        <v>24</v>
      </c>
      <c r="BV18" s="371">
        <v>51</v>
      </c>
      <c r="BW18" s="371">
        <v>111</v>
      </c>
      <c r="BX18" s="371">
        <v>85</v>
      </c>
      <c r="BY18" s="372">
        <v>144</v>
      </c>
      <c r="BZ18" s="372">
        <v>20</v>
      </c>
      <c r="CA18" s="372">
        <v>55</v>
      </c>
      <c r="CB18" s="372">
        <v>62</v>
      </c>
      <c r="CC18" s="372">
        <v>9</v>
      </c>
      <c r="CD18" s="373">
        <v>0</v>
      </c>
      <c r="CE18" s="373">
        <v>0</v>
      </c>
      <c r="CF18" s="373">
        <v>0</v>
      </c>
      <c r="CG18" s="373">
        <v>0</v>
      </c>
      <c r="CH18" s="373">
        <v>0</v>
      </c>
      <c r="CI18" s="373">
        <v>1</v>
      </c>
      <c r="CJ18" s="373">
        <v>0</v>
      </c>
      <c r="CK18" s="373">
        <v>1</v>
      </c>
      <c r="CL18" s="373">
        <v>4</v>
      </c>
      <c r="CM18" s="373">
        <v>6</v>
      </c>
      <c r="CN18" s="373">
        <v>17</v>
      </c>
      <c r="CO18" s="373">
        <v>31</v>
      </c>
      <c r="CP18" s="373">
        <v>39</v>
      </c>
      <c r="CQ18" s="373">
        <v>32</v>
      </c>
      <c r="CR18" s="373">
        <v>40</v>
      </c>
      <c r="CS18" s="373">
        <v>54</v>
      </c>
      <c r="CT18" s="373">
        <v>32</v>
      </c>
      <c r="CU18" s="373">
        <v>33</v>
      </c>
      <c r="CV18" s="25">
        <f t="shared" si="9"/>
        <v>0</v>
      </c>
      <c r="CW18" s="25">
        <f t="shared" si="10"/>
        <v>1</v>
      </c>
      <c r="CX18" s="25">
        <f t="shared" si="11"/>
        <v>28</v>
      </c>
      <c r="CY18" s="25">
        <f t="shared" si="12"/>
        <v>142</v>
      </c>
      <c r="CZ18" s="25">
        <f t="shared" si="13"/>
        <v>119</v>
      </c>
      <c r="DA18" s="374">
        <v>0</v>
      </c>
      <c r="DB18" s="374">
        <v>0</v>
      </c>
      <c r="DC18" s="374">
        <v>0</v>
      </c>
      <c r="DD18" s="374">
        <v>0</v>
      </c>
      <c r="DE18" s="374">
        <v>0</v>
      </c>
      <c r="DF18" s="374">
        <v>1</v>
      </c>
      <c r="DG18" s="374">
        <v>0</v>
      </c>
      <c r="DH18" s="374">
        <v>2</v>
      </c>
      <c r="DI18" s="374">
        <v>2</v>
      </c>
      <c r="DJ18" s="374">
        <v>10</v>
      </c>
      <c r="DK18" s="374">
        <v>10</v>
      </c>
      <c r="DL18" s="374">
        <v>21</v>
      </c>
      <c r="DM18" s="374">
        <v>40</v>
      </c>
      <c r="DN18" s="374">
        <v>27</v>
      </c>
      <c r="DO18" s="374">
        <v>37</v>
      </c>
      <c r="DP18" s="374">
        <v>40</v>
      </c>
      <c r="DQ18" s="374">
        <v>32</v>
      </c>
      <c r="DR18" s="374">
        <v>28</v>
      </c>
      <c r="DS18" s="89">
        <f t="shared" si="19"/>
        <v>0</v>
      </c>
      <c r="DT18" s="89">
        <f t="shared" si="20"/>
        <v>1</v>
      </c>
      <c r="DU18" s="89">
        <f t="shared" si="21"/>
        <v>24</v>
      </c>
      <c r="DV18" s="89">
        <f t="shared" si="22"/>
        <v>125</v>
      </c>
      <c r="DW18" s="89">
        <f t="shared" si="23"/>
        <v>100</v>
      </c>
      <c r="DX18" s="375">
        <v>383</v>
      </c>
      <c r="DY18" s="375">
        <v>195</v>
      </c>
      <c r="DZ18" s="375">
        <v>110</v>
      </c>
      <c r="EA18" s="375">
        <v>492</v>
      </c>
      <c r="EB18" s="384">
        <v>34.700000000000003</v>
      </c>
      <c r="EC18" s="385">
        <v>13.2</v>
      </c>
    </row>
    <row r="19" spans="1:133" ht="12.95" customHeight="1">
      <c r="A19" s="2">
        <v>16</v>
      </c>
      <c r="B19" s="3" t="s">
        <v>63</v>
      </c>
      <c r="C19" s="3" t="s">
        <v>64</v>
      </c>
      <c r="D19" s="4">
        <f t="shared" si="0"/>
        <v>8</v>
      </c>
      <c r="E19" s="4">
        <f t="shared" si="1"/>
        <v>8</v>
      </c>
      <c r="F19" s="302">
        <v>0</v>
      </c>
      <c r="G19" s="366">
        <v>1</v>
      </c>
      <c r="H19" s="366">
        <v>1</v>
      </c>
      <c r="I19" s="366">
        <v>2</v>
      </c>
      <c r="J19" s="366">
        <v>1</v>
      </c>
      <c r="K19" s="366">
        <v>3</v>
      </c>
      <c r="L19" s="367">
        <v>4</v>
      </c>
      <c r="M19" s="367">
        <v>0</v>
      </c>
      <c r="N19" s="367">
        <v>2</v>
      </c>
      <c r="O19" s="367">
        <v>2</v>
      </c>
      <c r="P19" s="367">
        <v>0</v>
      </c>
      <c r="Q19" s="368">
        <v>0</v>
      </c>
      <c r="R19" s="368">
        <v>0</v>
      </c>
      <c r="S19" s="368">
        <v>0</v>
      </c>
      <c r="T19" s="368">
        <v>0</v>
      </c>
      <c r="U19" s="368">
        <v>0</v>
      </c>
      <c r="V19" s="368">
        <v>0</v>
      </c>
      <c r="W19" s="368">
        <v>0</v>
      </c>
      <c r="X19" s="368">
        <v>0</v>
      </c>
      <c r="Y19" s="368">
        <v>1</v>
      </c>
      <c r="Z19" s="368">
        <v>1</v>
      </c>
      <c r="AA19" s="368">
        <v>0</v>
      </c>
      <c r="AB19" s="368">
        <v>1</v>
      </c>
      <c r="AC19" s="368">
        <v>0</v>
      </c>
      <c r="AD19" s="368">
        <v>1</v>
      </c>
      <c r="AE19" s="368">
        <v>2</v>
      </c>
      <c r="AF19" s="368">
        <v>1</v>
      </c>
      <c r="AG19" s="368">
        <v>1</v>
      </c>
      <c r="AH19" s="368">
        <v>0</v>
      </c>
      <c r="AI19" s="24">
        <f t="shared" si="2"/>
        <v>0</v>
      </c>
      <c r="AJ19" s="24">
        <f t="shared" si="3"/>
        <v>0</v>
      </c>
      <c r="AK19" s="24">
        <f t="shared" si="4"/>
        <v>2</v>
      </c>
      <c r="AL19" s="24">
        <f t="shared" si="5"/>
        <v>4</v>
      </c>
      <c r="AM19" s="24">
        <f t="shared" si="6"/>
        <v>2</v>
      </c>
      <c r="AN19" s="369">
        <v>0</v>
      </c>
      <c r="AO19" s="369">
        <v>0</v>
      </c>
      <c r="AP19" s="369">
        <v>0</v>
      </c>
      <c r="AQ19" s="369">
        <v>0</v>
      </c>
      <c r="AR19" s="369">
        <v>0</v>
      </c>
      <c r="AS19" s="369">
        <v>0</v>
      </c>
      <c r="AT19" s="369">
        <v>0</v>
      </c>
      <c r="AU19" s="369">
        <v>0</v>
      </c>
      <c r="AV19" s="369">
        <v>0</v>
      </c>
      <c r="AW19" s="369">
        <v>0</v>
      </c>
      <c r="AX19" s="369">
        <v>2</v>
      </c>
      <c r="AY19" s="369">
        <v>0</v>
      </c>
      <c r="AZ19" s="369">
        <v>1</v>
      </c>
      <c r="BA19" s="369">
        <v>2</v>
      </c>
      <c r="BB19" s="369">
        <v>2</v>
      </c>
      <c r="BC19" s="369">
        <v>1</v>
      </c>
      <c r="BD19" s="369">
        <v>0</v>
      </c>
      <c r="BE19" s="369">
        <v>0</v>
      </c>
      <c r="BF19" s="88">
        <f t="shared" si="14"/>
        <v>0</v>
      </c>
      <c r="BG19" s="88">
        <f t="shared" si="15"/>
        <v>0</v>
      </c>
      <c r="BH19" s="88">
        <f t="shared" si="16"/>
        <v>2</v>
      </c>
      <c r="BI19" s="88">
        <f t="shared" si="17"/>
        <v>5</v>
      </c>
      <c r="BJ19" s="88">
        <f t="shared" si="18"/>
        <v>1</v>
      </c>
      <c r="BK19" s="370">
        <v>36</v>
      </c>
      <c r="BL19" s="370">
        <v>27</v>
      </c>
      <c r="BM19" s="370">
        <v>20</v>
      </c>
      <c r="BN19" s="370">
        <v>39</v>
      </c>
      <c r="BO19" s="381" t="s">
        <v>502</v>
      </c>
      <c r="BP19" s="381" t="s">
        <v>520</v>
      </c>
      <c r="BQ19" s="5">
        <f t="shared" si="7"/>
        <v>6</v>
      </c>
      <c r="BR19" s="5">
        <f t="shared" si="8"/>
        <v>9</v>
      </c>
      <c r="BS19" s="299">
        <v>0</v>
      </c>
      <c r="BT19" s="371">
        <v>1</v>
      </c>
      <c r="BU19" s="371">
        <v>1</v>
      </c>
      <c r="BV19" s="371">
        <v>0</v>
      </c>
      <c r="BW19" s="371">
        <v>1</v>
      </c>
      <c r="BX19" s="371">
        <v>3</v>
      </c>
      <c r="BY19" s="372">
        <v>3</v>
      </c>
      <c r="BZ19" s="372">
        <v>0</v>
      </c>
      <c r="CA19" s="372">
        <v>1</v>
      </c>
      <c r="CB19" s="372">
        <v>1</v>
      </c>
      <c r="CC19" s="372">
        <v>1</v>
      </c>
      <c r="CD19" s="373">
        <v>1</v>
      </c>
      <c r="CE19" s="373">
        <v>0</v>
      </c>
      <c r="CF19" s="373">
        <v>0</v>
      </c>
      <c r="CG19" s="373">
        <v>0</v>
      </c>
      <c r="CH19" s="373">
        <v>0</v>
      </c>
      <c r="CI19" s="373">
        <v>0</v>
      </c>
      <c r="CJ19" s="373">
        <v>0</v>
      </c>
      <c r="CK19" s="373">
        <v>0</v>
      </c>
      <c r="CL19" s="373">
        <v>0</v>
      </c>
      <c r="CM19" s="373">
        <v>0</v>
      </c>
      <c r="CN19" s="373">
        <v>0</v>
      </c>
      <c r="CO19" s="373">
        <v>1</v>
      </c>
      <c r="CP19" s="373">
        <v>0</v>
      </c>
      <c r="CQ19" s="373">
        <v>2</v>
      </c>
      <c r="CR19" s="373">
        <v>0</v>
      </c>
      <c r="CS19" s="373">
        <v>1</v>
      </c>
      <c r="CT19" s="373">
        <v>0</v>
      </c>
      <c r="CU19" s="373">
        <v>1</v>
      </c>
      <c r="CV19" s="25">
        <f t="shared" si="9"/>
        <v>1</v>
      </c>
      <c r="CW19" s="25">
        <f t="shared" si="10"/>
        <v>0</v>
      </c>
      <c r="CX19" s="25">
        <f t="shared" si="11"/>
        <v>0</v>
      </c>
      <c r="CY19" s="25">
        <f t="shared" si="12"/>
        <v>3</v>
      </c>
      <c r="CZ19" s="25">
        <f t="shared" si="13"/>
        <v>2</v>
      </c>
      <c r="DA19" s="374">
        <v>0</v>
      </c>
      <c r="DB19" s="374">
        <v>0</v>
      </c>
      <c r="DC19" s="374">
        <v>0</v>
      </c>
      <c r="DD19" s="374">
        <v>0</v>
      </c>
      <c r="DE19" s="374">
        <v>0</v>
      </c>
      <c r="DF19" s="374">
        <v>0</v>
      </c>
      <c r="DG19" s="374">
        <v>0</v>
      </c>
      <c r="DH19" s="374">
        <v>1</v>
      </c>
      <c r="DI19" s="374">
        <v>0</v>
      </c>
      <c r="DJ19" s="374">
        <v>1</v>
      </c>
      <c r="DK19" s="374">
        <v>0</v>
      </c>
      <c r="DL19" s="374">
        <v>1</v>
      </c>
      <c r="DM19" s="374">
        <v>3</v>
      </c>
      <c r="DN19" s="374">
        <v>2</v>
      </c>
      <c r="DO19" s="374">
        <v>0</v>
      </c>
      <c r="DP19" s="374">
        <v>1</v>
      </c>
      <c r="DQ19" s="374">
        <v>0</v>
      </c>
      <c r="DR19" s="374">
        <v>0</v>
      </c>
      <c r="DS19" s="89">
        <f t="shared" si="19"/>
        <v>0</v>
      </c>
      <c r="DT19" s="89">
        <f t="shared" si="20"/>
        <v>0</v>
      </c>
      <c r="DU19" s="89">
        <f t="shared" si="21"/>
        <v>2</v>
      </c>
      <c r="DV19" s="89">
        <f t="shared" si="22"/>
        <v>6</v>
      </c>
      <c r="DW19" s="89">
        <f t="shared" si="23"/>
        <v>1</v>
      </c>
      <c r="DX19" s="375">
        <v>28</v>
      </c>
      <c r="DY19" s="375">
        <v>21</v>
      </c>
      <c r="DZ19" s="375">
        <v>16</v>
      </c>
      <c r="EA19" s="375">
        <v>32</v>
      </c>
      <c r="EB19" s="384">
        <v>69.8</v>
      </c>
      <c r="EC19" s="385">
        <v>37.4</v>
      </c>
    </row>
    <row r="20" spans="1:133" ht="12.95" customHeight="1">
      <c r="A20" s="12">
        <v>17</v>
      </c>
      <c r="B20" s="3" t="s">
        <v>65</v>
      </c>
      <c r="C20" s="3" t="s">
        <v>66</v>
      </c>
      <c r="D20" s="4">
        <f t="shared" si="0"/>
        <v>64</v>
      </c>
      <c r="E20" s="4">
        <f t="shared" si="1"/>
        <v>32</v>
      </c>
      <c r="F20" s="302">
        <v>0</v>
      </c>
      <c r="G20" s="366">
        <v>18</v>
      </c>
      <c r="H20" s="366">
        <v>13</v>
      </c>
      <c r="I20" s="366">
        <v>7</v>
      </c>
      <c r="J20" s="366">
        <v>5</v>
      </c>
      <c r="K20" s="366">
        <v>21</v>
      </c>
      <c r="L20" s="367">
        <v>52</v>
      </c>
      <c r="M20" s="367">
        <v>1</v>
      </c>
      <c r="N20" s="367">
        <v>1</v>
      </c>
      <c r="O20" s="367">
        <v>9</v>
      </c>
      <c r="P20" s="367">
        <v>1</v>
      </c>
      <c r="Q20" s="368">
        <v>1</v>
      </c>
      <c r="R20" s="368">
        <v>0</v>
      </c>
      <c r="S20" s="368">
        <v>2</v>
      </c>
      <c r="T20" s="368">
        <v>1</v>
      </c>
      <c r="U20" s="368">
        <v>2</v>
      </c>
      <c r="V20" s="368">
        <v>0</v>
      </c>
      <c r="W20" s="368">
        <v>3</v>
      </c>
      <c r="X20" s="368">
        <v>2</v>
      </c>
      <c r="Y20" s="368">
        <v>4</v>
      </c>
      <c r="Z20" s="368">
        <v>4</v>
      </c>
      <c r="AA20" s="368">
        <v>7</v>
      </c>
      <c r="AB20" s="368">
        <v>1</v>
      </c>
      <c r="AC20" s="368">
        <v>7</v>
      </c>
      <c r="AD20" s="368">
        <v>10</v>
      </c>
      <c r="AE20" s="368">
        <v>7</v>
      </c>
      <c r="AF20" s="368">
        <v>9</v>
      </c>
      <c r="AG20" s="368">
        <v>1</v>
      </c>
      <c r="AH20" s="368">
        <v>3</v>
      </c>
      <c r="AI20" s="24">
        <f t="shared" si="2"/>
        <v>3</v>
      </c>
      <c r="AJ20" s="24">
        <f t="shared" si="3"/>
        <v>3</v>
      </c>
      <c r="AK20" s="24">
        <f t="shared" si="4"/>
        <v>20</v>
      </c>
      <c r="AL20" s="24">
        <f t="shared" si="5"/>
        <v>25</v>
      </c>
      <c r="AM20" s="24">
        <f t="shared" si="6"/>
        <v>13</v>
      </c>
      <c r="AN20" s="369">
        <v>1</v>
      </c>
      <c r="AO20" s="369">
        <v>0</v>
      </c>
      <c r="AP20" s="369">
        <v>0</v>
      </c>
      <c r="AQ20" s="369">
        <v>0</v>
      </c>
      <c r="AR20" s="369">
        <v>1</v>
      </c>
      <c r="AS20" s="369">
        <v>1</v>
      </c>
      <c r="AT20" s="369">
        <v>2</v>
      </c>
      <c r="AU20" s="369">
        <v>1</v>
      </c>
      <c r="AV20" s="369">
        <v>2</v>
      </c>
      <c r="AW20" s="369">
        <v>2</v>
      </c>
      <c r="AX20" s="369">
        <v>1</v>
      </c>
      <c r="AY20" s="369">
        <v>3</v>
      </c>
      <c r="AZ20" s="369">
        <v>4</v>
      </c>
      <c r="BA20" s="369">
        <v>5</v>
      </c>
      <c r="BB20" s="369">
        <v>3</v>
      </c>
      <c r="BC20" s="369">
        <v>2</v>
      </c>
      <c r="BD20" s="369">
        <v>3</v>
      </c>
      <c r="BE20" s="369">
        <v>1</v>
      </c>
      <c r="BF20" s="88">
        <f t="shared" si="14"/>
        <v>1</v>
      </c>
      <c r="BG20" s="88">
        <f t="shared" si="15"/>
        <v>2</v>
      </c>
      <c r="BH20" s="88">
        <f t="shared" si="16"/>
        <v>8</v>
      </c>
      <c r="BI20" s="88">
        <f t="shared" si="17"/>
        <v>15</v>
      </c>
      <c r="BJ20" s="88">
        <f t="shared" si="18"/>
        <v>6</v>
      </c>
      <c r="BK20" s="370">
        <v>328</v>
      </c>
      <c r="BL20" s="370">
        <v>215</v>
      </c>
      <c r="BM20" s="370">
        <v>130</v>
      </c>
      <c r="BN20" s="370">
        <v>366</v>
      </c>
      <c r="BO20" s="381" t="s">
        <v>503</v>
      </c>
      <c r="BP20" s="381" t="s">
        <v>521</v>
      </c>
      <c r="BQ20" s="5">
        <f t="shared" si="7"/>
        <v>69</v>
      </c>
      <c r="BR20" s="5">
        <f t="shared" si="8"/>
        <v>43</v>
      </c>
      <c r="BS20" s="299">
        <v>0</v>
      </c>
      <c r="BT20" s="371">
        <v>14</v>
      </c>
      <c r="BU20" s="371">
        <v>9</v>
      </c>
      <c r="BV20" s="371">
        <v>12</v>
      </c>
      <c r="BW20" s="371">
        <v>5</v>
      </c>
      <c r="BX20" s="371">
        <v>29</v>
      </c>
      <c r="BY20" s="372">
        <v>56</v>
      </c>
      <c r="BZ20" s="372">
        <v>2</v>
      </c>
      <c r="CA20" s="372">
        <v>1</v>
      </c>
      <c r="CB20" s="372">
        <v>10</v>
      </c>
      <c r="CC20" s="372">
        <v>1</v>
      </c>
      <c r="CD20" s="373">
        <v>0</v>
      </c>
      <c r="CE20" s="373">
        <v>1</v>
      </c>
      <c r="CF20" s="373">
        <v>3</v>
      </c>
      <c r="CG20" s="373">
        <v>1</v>
      </c>
      <c r="CH20" s="373">
        <v>1</v>
      </c>
      <c r="CI20" s="373">
        <v>3</v>
      </c>
      <c r="CJ20" s="373">
        <v>1</v>
      </c>
      <c r="CK20" s="373">
        <v>1</v>
      </c>
      <c r="CL20" s="373">
        <v>1</v>
      </c>
      <c r="CM20" s="373">
        <v>5</v>
      </c>
      <c r="CN20" s="373">
        <v>9</v>
      </c>
      <c r="CO20" s="373">
        <v>4</v>
      </c>
      <c r="CP20" s="373">
        <v>8</v>
      </c>
      <c r="CQ20" s="373">
        <v>5</v>
      </c>
      <c r="CR20" s="373">
        <v>5</v>
      </c>
      <c r="CS20" s="373">
        <v>8</v>
      </c>
      <c r="CT20" s="373">
        <v>4</v>
      </c>
      <c r="CU20" s="373">
        <v>9</v>
      </c>
      <c r="CV20" s="25">
        <f t="shared" si="9"/>
        <v>4</v>
      </c>
      <c r="CW20" s="25">
        <f t="shared" si="10"/>
        <v>5</v>
      </c>
      <c r="CX20" s="25">
        <f t="shared" si="11"/>
        <v>17</v>
      </c>
      <c r="CY20" s="25">
        <f t="shared" si="12"/>
        <v>22</v>
      </c>
      <c r="CZ20" s="25">
        <f t="shared" si="13"/>
        <v>21</v>
      </c>
      <c r="DA20" s="374">
        <v>0</v>
      </c>
      <c r="DB20" s="374">
        <v>1</v>
      </c>
      <c r="DC20" s="374">
        <v>1</v>
      </c>
      <c r="DD20" s="374">
        <v>1</v>
      </c>
      <c r="DE20" s="374">
        <v>3</v>
      </c>
      <c r="DF20" s="374">
        <v>0</v>
      </c>
      <c r="DG20" s="374">
        <v>0</v>
      </c>
      <c r="DH20" s="374">
        <v>0</v>
      </c>
      <c r="DI20" s="374">
        <v>1</v>
      </c>
      <c r="DJ20" s="374">
        <v>2</v>
      </c>
      <c r="DK20" s="374">
        <v>6</v>
      </c>
      <c r="DL20" s="374">
        <v>3</v>
      </c>
      <c r="DM20" s="374">
        <v>5</v>
      </c>
      <c r="DN20" s="374">
        <v>3</v>
      </c>
      <c r="DO20" s="374">
        <v>5</v>
      </c>
      <c r="DP20" s="374">
        <v>2</v>
      </c>
      <c r="DQ20" s="374">
        <v>4</v>
      </c>
      <c r="DR20" s="374">
        <v>6</v>
      </c>
      <c r="DS20" s="89">
        <f t="shared" si="19"/>
        <v>2</v>
      </c>
      <c r="DT20" s="89">
        <f t="shared" si="20"/>
        <v>4</v>
      </c>
      <c r="DU20" s="89">
        <f t="shared" si="21"/>
        <v>9</v>
      </c>
      <c r="DV20" s="89">
        <f t="shared" si="22"/>
        <v>16</v>
      </c>
      <c r="DW20" s="89">
        <f t="shared" si="23"/>
        <v>12</v>
      </c>
      <c r="DX20" s="375">
        <v>446</v>
      </c>
      <c r="DY20" s="375">
        <v>326</v>
      </c>
      <c r="DZ20" s="375">
        <v>205</v>
      </c>
      <c r="EA20" s="375">
        <v>489</v>
      </c>
      <c r="EB20" s="384">
        <v>67.8</v>
      </c>
      <c r="EC20" s="385">
        <v>51.5</v>
      </c>
    </row>
    <row r="21" spans="1:133" ht="12.95" customHeight="1">
      <c r="A21" s="2">
        <v>18</v>
      </c>
      <c r="B21" s="3" t="s">
        <v>67</v>
      </c>
      <c r="C21" s="3" t="s">
        <v>68</v>
      </c>
      <c r="D21" s="4">
        <f t="shared" si="0"/>
        <v>124</v>
      </c>
      <c r="E21" s="4">
        <f t="shared" si="1"/>
        <v>41</v>
      </c>
      <c r="F21" s="302">
        <v>0</v>
      </c>
      <c r="G21" s="366">
        <v>42</v>
      </c>
      <c r="H21" s="366">
        <v>60</v>
      </c>
      <c r="I21" s="366">
        <v>9</v>
      </c>
      <c r="J21" s="366">
        <v>7</v>
      </c>
      <c r="K21" s="366">
        <v>6</v>
      </c>
      <c r="L21" s="367">
        <v>117</v>
      </c>
      <c r="M21" s="367">
        <v>2</v>
      </c>
      <c r="N21" s="367">
        <v>3</v>
      </c>
      <c r="O21" s="367">
        <v>1</v>
      </c>
      <c r="P21" s="367">
        <v>1</v>
      </c>
      <c r="Q21" s="368">
        <v>0</v>
      </c>
      <c r="R21" s="368">
        <v>0</v>
      </c>
      <c r="S21" s="368">
        <v>1</v>
      </c>
      <c r="T21" s="368">
        <v>0</v>
      </c>
      <c r="U21" s="368">
        <v>1</v>
      </c>
      <c r="V21" s="368">
        <v>4</v>
      </c>
      <c r="W21" s="368">
        <v>5</v>
      </c>
      <c r="X21" s="368">
        <v>4</v>
      </c>
      <c r="Y21" s="368">
        <v>10</v>
      </c>
      <c r="Z21" s="368">
        <v>8</v>
      </c>
      <c r="AA21" s="368">
        <v>13</v>
      </c>
      <c r="AB21" s="368">
        <v>11</v>
      </c>
      <c r="AC21" s="368">
        <v>16</v>
      </c>
      <c r="AD21" s="368">
        <v>9</v>
      </c>
      <c r="AE21" s="368">
        <v>15</v>
      </c>
      <c r="AF21" s="368">
        <v>11</v>
      </c>
      <c r="AG21" s="368">
        <v>12</v>
      </c>
      <c r="AH21" s="368">
        <v>4</v>
      </c>
      <c r="AI21" s="24">
        <f t="shared" si="2"/>
        <v>1</v>
      </c>
      <c r="AJ21" s="24">
        <f t="shared" si="3"/>
        <v>5</v>
      </c>
      <c r="AK21" s="24">
        <f t="shared" si="4"/>
        <v>40</v>
      </c>
      <c r="AL21" s="24">
        <f t="shared" si="5"/>
        <v>51</v>
      </c>
      <c r="AM21" s="24">
        <f t="shared" si="6"/>
        <v>27</v>
      </c>
      <c r="AN21" s="369">
        <v>0</v>
      </c>
      <c r="AO21" s="369">
        <v>0</v>
      </c>
      <c r="AP21" s="369">
        <v>0</v>
      </c>
      <c r="AQ21" s="369">
        <v>0</v>
      </c>
      <c r="AR21" s="369">
        <v>0</v>
      </c>
      <c r="AS21" s="369">
        <v>1</v>
      </c>
      <c r="AT21" s="369">
        <v>0</v>
      </c>
      <c r="AU21" s="369">
        <v>2</v>
      </c>
      <c r="AV21" s="369">
        <v>2</v>
      </c>
      <c r="AW21" s="369">
        <v>3</v>
      </c>
      <c r="AX21" s="369">
        <v>1</v>
      </c>
      <c r="AY21" s="369">
        <v>5</v>
      </c>
      <c r="AZ21" s="369">
        <v>6</v>
      </c>
      <c r="BA21" s="369">
        <v>3</v>
      </c>
      <c r="BB21" s="369">
        <v>4</v>
      </c>
      <c r="BC21" s="369">
        <v>9</v>
      </c>
      <c r="BD21" s="369">
        <v>3</v>
      </c>
      <c r="BE21" s="369">
        <v>2</v>
      </c>
      <c r="BF21" s="88">
        <f t="shared" si="14"/>
        <v>0</v>
      </c>
      <c r="BG21" s="88">
        <f t="shared" si="15"/>
        <v>1</v>
      </c>
      <c r="BH21" s="88">
        <f t="shared" si="16"/>
        <v>8</v>
      </c>
      <c r="BI21" s="88">
        <f t="shared" si="17"/>
        <v>18</v>
      </c>
      <c r="BJ21" s="88">
        <f t="shared" si="18"/>
        <v>14</v>
      </c>
      <c r="BK21" s="370">
        <v>664</v>
      </c>
      <c r="BL21" s="370">
        <v>403</v>
      </c>
      <c r="BM21" s="370">
        <v>222</v>
      </c>
      <c r="BN21" s="370">
        <v>763</v>
      </c>
      <c r="BO21" s="381" t="s">
        <v>504</v>
      </c>
      <c r="BP21" s="381" t="s">
        <v>522</v>
      </c>
      <c r="BQ21" s="5">
        <f t="shared" si="7"/>
        <v>167</v>
      </c>
      <c r="BR21" s="5">
        <f t="shared" si="8"/>
        <v>58</v>
      </c>
      <c r="BS21" s="299">
        <v>0</v>
      </c>
      <c r="BT21" s="371">
        <v>74</v>
      </c>
      <c r="BU21" s="371">
        <v>65</v>
      </c>
      <c r="BV21" s="371">
        <v>6</v>
      </c>
      <c r="BW21" s="371">
        <v>7</v>
      </c>
      <c r="BX21" s="371">
        <v>15</v>
      </c>
      <c r="BY21" s="372">
        <v>156</v>
      </c>
      <c r="BZ21" s="372">
        <v>5</v>
      </c>
      <c r="CA21" s="372">
        <v>1</v>
      </c>
      <c r="CB21" s="372">
        <v>5</v>
      </c>
      <c r="CC21" s="372">
        <v>0</v>
      </c>
      <c r="CD21" s="373">
        <v>0</v>
      </c>
      <c r="CE21" s="373">
        <v>0</v>
      </c>
      <c r="CF21" s="373">
        <v>0</v>
      </c>
      <c r="CG21" s="373">
        <v>1</v>
      </c>
      <c r="CH21" s="373">
        <v>1</v>
      </c>
      <c r="CI21" s="373">
        <v>1</v>
      </c>
      <c r="CJ21" s="373">
        <v>1</v>
      </c>
      <c r="CK21" s="373">
        <v>7</v>
      </c>
      <c r="CL21" s="373">
        <v>11</v>
      </c>
      <c r="CM21" s="373">
        <v>10</v>
      </c>
      <c r="CN21" s="373">
        <v>21</v>
      </c>
      <c r="CO21" s="373">
        <v>16</v>
      </c>
      <c r="CP21" s="373">
        <v>13</v>
      </c>
      <c r="CQ21" s="373">
        <v>18</v>
      </c>
      <c r="CR21" s="373">
        <v>18</v>
      </c>
      <c r="CS21" s="373">
        <v>21</v>
      </c>
      <c r="CT21" s="373">
        <v>14</v>
      </c>
      <c r="CU21" s="373">
        <v>14</v>
      </c>
      <c r="CV21" s="25">
        <f t="shared" si="9"/>
        <v>0</v>
      </c>
      <c r="CW21" s="25">
        <f t="shared" si="10"/>
        <v>3</v>
      </c>
      <c r="CX21" s="25">
        <f t="shared" si="11"/>
        <v>50</v>
      </c>
      <c r="CY21" s="25">
        <f t="shared" si="12"/>
        <v>65</v>
      </c>
      <c r="CZ21" s="25">
        <f t="shared" si="13"/>
        <v>49</v>
      </c>
      <c r="DA21" s="374">
        <v>0</v>
      </c>
      <c r="DB21" s="374">
        <v>0</v>
      </c>
      <c r="DC21" s="374">
        <v>0</v>
      </c>
      <c r="DD21" s="374">
        <v>0</v>
      </c>
      <c r="DE21" s="374">
        <v>0</v>
      </c>
      <c r="DF21" s="374">
        <v>1</v>
      </c>
      <c r="DG21" s="374">
        <v>0</v>
      </c>
      <c r="DH21" s="374">
        <v>0</v>
      </c>
      <c r="DI21" s="374">
        <v>2</v>
      </c>
      <c r="DJ21" s="374">
        <v>4</v>
      </c>
      <c r="DK21" s="374">
        <v>0</v>
      </c>
      <c r="DL21" s="374">
        <v>4</v>
      </c>
      <c r="DM21" s="374">
        <v>7</v>
      </c>
      <c r="DN21" s="374">
        <v>3</v>
      </c>
      <c r="DO21" s="374">
        <v>5</v>
      </c>
      <c r="DP21" s="374">
        <v>14</v>
      </c>
      <c r="DQ21" s="374">
        <v>11</v>
      </c>
      <c r="DR21" s="374">
        <v>7</v>
      </c>
      <c r="DS21" s="89">
        <f t="shared" si="19"/>
        <v>0</v>
      </c>
      <c r="DT21" s="89">
        <f t="shared" si="20"/>
        <v>1</v>
      </c>
      <c r="DU21" s="89">
        <f t="shared" si="21"/>
        <v>6</v>
      </c>
      <c r="DV21" s="89">
        <f t="shared" si="22"/>
        <v>19</v>
      </c>
      <c r="DW21" s="89">
        <f t="shared" si="23"/>
        <v>32</v>
      </c>
      <c r="DX21" s="375">
        <v>1685</v>
      </c>
      <c r="DY21" s="375">
        <v>1120</v>
      </c>
      <c r="DZ21" s="375">
        <v>665</v>
      </c>
      <c r="EA21" s="375">
        <v>1825</v>
      </c>
      <c r="EB21" s="384">
        <v>94.3</v>
      </c>
      <c r="EC21" s="385">
        <v>80.5</v>
      </c>
    </row>
    <row r="22" spans="1:133" ht="12.95" customHeight="1">
      <c r="A22" s="12">
        <v>19</v>
      </c>
      <c r="B22" s="3" t="s">
        <v>69</v>
      </c>
      <c r="C22" s="3" t="s">
        <v>70</v>
      </c>
      <c r="D22" s="4">
        <f t="shared" si="0"/>
        <v>882</v>
      </c>
      <c r="E22" s="4">
        <f t="shared" si="1"/>
        <v>18</v>
      </c>
      <c r="F22" s="302">
        <v>0</v>
      </c>
      <c r="G22" s="366">
        <v>596</v>
      </c>
      <c r="H22" s="366">
        <v>239</v>
      </c>
      <c r="I22" s="366">
        <v>10</v>
      </c>
      <c r="J22" s="366">
        <v>5</v>
      </c>
      <c r="K22" s="366">
        <v>32</v>
      </c>
      <c r="L22" s="367">
        <v>789</v>
      </c>
      <c r="M22" s="367">
        <v>88</v>
      </c>
      <c r="N22" s="367">
        <v>4</v>
      </c>
      <c r="O22" s="367">
        <v>1</v>
      </c>
      <c r="P22" s="367">
        <v>0</v>
      </c>
      <c r="Q22" s="368">
        <v>0</v>
      </c>
      <c r="R22" s="368">
        <v>0</v>
      </c>
      <c r="S22" s="368">
        <v>0</v>
      </c>
      <c r="T22" s="368">
        <v>2</v>
      </c>
      <c r="U22" s="368">
        <v>0</v>
      </c>
      <c r="V22" s="368">
        <v>4</v>
      </c>
      <c r="W22" s="368">
        <v>9</v>
      </c>
      <c r="X22" s="368">
        <v>9</v>
      </c>
      <c r="Y22" s="368">
        <v>20</v>
      </c>
      <c r="Z22" s="368">
        <v>30</v>
      </c>
      <c r="AA22" s="368">
        <v>49</v>
      </c>
      <c r="AB22" s="368">
        <v>70</v>
      </c>
      <c r="AC22" s="368">
        <v>88</v>
      </c>
      <c r="AD22" s="368">
        <v>121</v>
      </c>
      <c r="AE22" s="368">
        <v>146</v>
      </c>
      <c r="AF22" s="368">
        <v>154</v>
      </c>
      <c r="AG22" s="368">
        <v>115</v>
      </c>
      <c r="AH22" s="368">
        <v>65</v>
      </c>
      <c r="AI22" s="24">
        <f t="shared" si="2"/>
        <v>0</v>
      </c>
      <c r="AJ22" s="24">
        <f t="shared" si="3"/>
        <v>6</v>
      </c>
      <c r="AK22" s="24">
        <f t="shared" si="4"/>
        <v>117</v>
      </c>
      <c r="AL22" s="24">
        <f t="shared" si="5"/>
        <v>425</v>
      </c>
      <c r="AM22" s="24">
        <f t="shared" si="6"/>
        <v>334</v>
      </c>
      <c r="AN22" s="369">
        <v>0</v>
      </c>
      <c r="AO22" s="369">
        <v>0</v>
      </c>
      <c r="AP22" s="369">
        <v>0</v>
      </c>
      <c r="AQ22" s="369">
        <v>0</v>
      </c>
      <c r="AR22" s="369">
        <v>0</v>
      </c>
      <c r="AS22" s="369">
        <v>0</v>
      </c>
      <c r="AT22" s="369">
        <v>0</v>
      </c>
      <c r="AU22" s="369">
        <v>0</v>
      </c>
      <c r="AV22" s="369">
        <v>0</v>
      </c>
      <c r="AW22" s="369">
        <v>0</v>
      </c>
      <c r="AX22" s="369">
        <v>0</v>
      </c>
      <c r="AY22" s="369">
        <v>3</v>
      </c>
      <c r="AZ22" s="369">
        <v>1</v>
      </c>
      <c r="BA22" s="369">
        <v>3</v>
      </c>
      <c r="BB22" s="369">
        <v>2</v>
      </c>
      <c r="BC22" s="369">
        <v>3</v>
      </c>
      <c r="BD22" s="369">
        <v>3</v>
      </c>
      <c r="BE22" s="369">
        <v>3</v>
      </c>
      <c r="BF22" s="88">
        <f t="shared" si="14"/>
        <v>0</v>
      </c>
      <c r="BG22" s="88">
        <f t="shared" si="15"/>
        <v>0</v>
      </c>
      <c r="BH22" s="88">
        <f t="shared" si="16"/>
        <v>0</v>
      </c>
      <c r="BI22" s="88">
        <f t="shared" si="17"/>
        <v>9</v>
      </c>
      <c r="BJ22" s="88">
        <f t="shared" si="18"/>
        <v>9</v>
      </c>
      <c r="BK22" s="370">
        <v>3149</v>
      </c>
      <c r="BL22" s="370">
        <v>638</v>
      </c>
      <c r="BM22" s="370">
        <v>363</v>
      </c>
      <c r="BN22" s="370">
        <v>3818</v>
      </c>
      <c r="BO22" s="381" t="s">
        <v>505</v>
      </c>
      <c r="BP22" s="381" t="s">
        <v>505</v>
      </c>
      <c r="BQ22" s="5">
        <f t="shared" si="7"/>
        <v>1448</v>
      </c>
      <c r="BR22" s="5">
        <f t="shared" si="8"/>
        <v>31</v>
      </c>
      <c r="BS22" s="299">
        <v>0</v>
      </c>
      <c r="BT22" s="371">
        <v>1049</v>
      </c>
      <c r="BU22" s="371">
        <v>318</v>
      </c>
      <c r="BV22" s="371">
        <v>8</v>
      </c>
      <c r="BW22" s="371">
        <v>8</v>
      </c>
      <c r="BX22" s="371">
        <v>65</v>
      </c>
      <c r="BY22" s="372">
        <v>1236</v>
      </c>
      <c r="BZ22" s="372">
        <v>198</v>
      </c>
      <c r="CA22" s="372">
        <v>8</v>
      </c>
      <c r="CB22" s="372">
        <v>6</v>
      </c>
      <c r="CC22" s="372">
        <v>0</v>
      </c>
      <c r="CD22" s="373">
        <v>0</v>
      </c>
      <c r="CE22" s="373">
        <v>1</v>
      </c>
      <c r="CF22" s="373">
        <v>1</v>
      </c>
      <c r="CG22" s="373">
        <v>0</v>
      </c>
      <c r="CH22" s="373">
        <v>4</v>
      </c>
      <c r="CI22" s="373">
        <v>6</v>
      </c>
      <c r="CJ22" s="373">
        <v>12</v>
      </c>
      <c r="CK22" s="373">
        <v>11</v>
      </c>
      <c r="CL22" s="373">
        <v>32</v>
      </c>
      <c r="CM22" s="373">
        <v>59</v>
      </c>
      <c r="CN22" s="373">
        <v>87</v>
      </c>
      <c r="CO22" s="373">
        <v>103</v>
      </c>
      <c r="CP22" s="373">
        <v>135</v>
      </c>
      <c r="CQ22" s="373">
        <v>178</v>
      </c>
      <c r="CR22" s="373">
        <v>242</v>
      </c>
      <c r="CS22" s="373">
        <v>246</v>
      </c>
      <c r="CT22" s="373">
        <v>185</v>
      </c>
      <c r="CU22" s="373">
        <v>146</v>
      </c>
      <c r="CV22" s="25">
        <f t="shared" si="9"/>
        <v>2</v>
      </c>
      <c r="CW22" s="25">
        <f t="shared" si="10"/>
        <v>10</v>
      </c>
      <c r="CX22" s="25">
        <f t="shared" si="11"/>
        <v>201</v>
      </c>
      <c r="CY22" s="25">
        <f t="shared" si="12"/>
        <v>658</v>
      </c>
      <c r="CZ22" s="25">
        <f t="shared" si="13"/>
        <v>577</v>
      </c>
      <c r="DA22" s="374">
        <v>0</v>
      </c>
      <c r="DB22" s="374">
        <v>0</v>
      </c>
      <c r="DC22" s="374">
        <v>0</v>
      </c>
      <c r="DD22" s="374">
        <v>0</v>
      </c>
      <c r="DE22" s="374">
        <v>0</v>
      </c>
      <c r="DF22" s="374">
        <v>0</v>
      </c>
      <c r="DG22" s="374">
        <v>0</v>
      </c>
      <c r="DH22" s="374">
        <v>0</v>
      </c>
      <c r="DI22" s="374">
        <v>0</v>
      </c>
      <c r="DJ22" s="374">
        <v>0</v>
      </c>
      <c r="DK22" s="374">
        <v>0</v>
      </c>
      <c r="DL22" s="374">
        <v>0</v>
      </c>
      <c r="DM22" s="374">
        <v>0</v>
      </c>
      <c r="DN22" s="374">
        <v>0</v>
      </c>
      <c r="DO22" s="374">
        <v>4</v>
      </c>
      <c r="DP22" s="374">
        <v>6</v>
      </c>
      <c r="DQ22" s="374">
        <v>4</v>
      </c>
      <c r="DR22" s="374">
        <v>17</v>
      </c>
      <c r="DS22" s="89">
        <f t="shared" si="19"/>
        <v>0</v>
      </c>
      <c r="DT22" s="89">
        <f t="shared" si="20"/>
        <v>0</v>
      </c>
      <c r="DU22" s="89">
        <f t="shared" si="21"/>
        <v>0</v>
      </c>
      <c r="DV22" s="89">
        <f t="shared" si="22"/>
        <v>4</v>
      </c>
      <c r="DW22" s="89">
        <f t="shared" si="23"/>
        <v>27</v>
      </c>
      <c r="DX22" s="375">
        <v>5974</v>
      </c>
      <c r="DY22" s="375">
        <v>1260</v>
      </c>
      <c r="DZ22" s="375">
        <v>745</v>
      </c>
      <c r="EA22" s="375">
        <v>7182</v>
      </c>
      <c r="EB22" s="384">
        <v>100</v>
      </c>
      <c r="EC22" s="385">
        <v>100</v>
      </c>
    </row>
    <row r="23" spans="1:133" ht="12.95" customHeight="1">
      <c r="A23" s="2">
        <v>20</v>
      </c>
      <c r="B23" s="3" t="s">
        <v>71</v>
      </c>
      <c r="C23" s="3" t="s">
        <v>72</v>
      </c>
      <c r="D23" s="4">
        <f t="shared" si="0"/>
        <v>10</v>
      </c>
      <c r="E23" s="4">
        <f t="shared" si="1"/>
        <v>4</v>
      </c>
      <c r="F23" s="302">
        <v>0</v>
      </c>
      <c r="G23" s="366">
        <v>1</v>
      </c>
      <c r="H23" s="366">
        <v>1</v>
      </c>
      <c r="I23" s="366">
        <v>4</v>
      </c>
      <c r="J23" s="366">
        <v>3</v>
      </c>
      <c r="K23" s="366">
        <v>1</v>
      </c>
      <c r="L23" s="367">
        <v>8</v>
      </c>
      <c r="M23" s="367">
        <v>1</v>
      </c>
      <c r="N23" s="367">
        <v>0</v>
      </c>
      <c r="O23" s="367">
        <v>1</v>
      </c>
      <c r="P23" s="367">
        <v>0</v>
      </c>
      <c r="Q23" s="368">
        <v>0</v>
      </c>
      <c r="R23" s="368">
        <v>0</v>
      </c>
      <c r="S23" s="368">
        <v>0</v>
      </c>
      <c r="T23" s="368">
        <v>0</v>
      </c>
      <c r="U23" s="368">
        <v>0</v>
      </c>
      <c r="V23" s="368">
        <v>0</v>
      </c>
      <c r="W23" s="368">
        <v>0</v>
      </c>
      <c r="X23" s="368">
        <v>0</v>
      </c>
      <c r="Y23" s="368">
        <v>0</v>
      </c>
      <c r="Z23" s="368">
        <v>2</v>
      </c>
      <c r="AA23" s="368">
        <v>1</v>
      </c>
      <c r="AB23" s="368">
        <v>1</v>
      </c>
      <c r="AC23" s="368">
        <v>0</v>
      </c>
      <c r="AD23" s="368">
        <v>2</v>
      </c>
      <c r="AE23" s="368">
        <v>0</v>
      </c>
      <c r="AF23" s="368">
        <v>2</v>
      </c>
      <c r="AG23" s="368">
        <v>1</v>
      </c>
      <c r="AH23" s="368">
        <v>1</v>
      </c>
      <c r="AI23" s="24">
        <f t="shared" si="2"/>
        <v>0</v>
      </c>
      <c r="AJ23" s="24">
        <f t="shared" si="3"/>
        <v>0</v>
      </c>
      <c r="AK23" s="24">
        <f t="shared" si="4"/>
        <v>3</v>
      </c>
      <c r="AL23" s="24">
        <f t="shared" si="5"/>
        <v>3</v>
      </c>
      <c r="AM23" s="24">
        <f t="shared" si="6"/>
        <v>4</v>
      </c>
      <c r="AN23" s="369">
        <v>0</v>
      </c>
      <c r="AO23" s="369">
        <v>0</v>
      </c>
      <c r="AP23" s="369">
        <v>0</v>
      </c>
      <c r="AQ23" s="369">
        <v>0</v>
      </c>
      <c r="AR23" s="369">
        <v>0</v>
      </c>
      <c r="AS23" s="369">
        <v>0</v>
      </c>
      <c r="AT23" s="369">
        <v>0</v>
      </c>
      <c r="AU23" s="369">
        <v>0</v>
      </c>
      <c r="AV23" s="369">
        <v>0</v>
      </c>
      <c r="AW23" s="369">
        <v>0</v>
      </c>
      <c r="AX23" s="369">
        <v>0</v>
      </c>
      <c r="AY23" s="369">
        <v>0</v>
      </c>
      <c r="AZ23" s="369">
        <v>0</v>
      </c>
      <c r="BA23" s="369">
        <v>0</v>
      </c>
      <c r="BB23" s="369">
        <v>2</v>
      </c>
      <c r="BC23" s="369">
        <v>1</v>
      </c>
      <c r="BD23" s="369">
        <v>0</v>
      </c>
      <c r="BE23" s="369">
        <v>1</v>
      </c>
      <c r="BF23" s="88">
        <f t="shared" si="14"/>
        <v>0</v>
      </c>
      <c r="BG23" s="88">
        <f t="shared" si="15"/>
        <v>0</v>
      </c>
      <c r="BH23" s="88">
        <f t="shared" si="16"/>
        <v>0</v>
      </c>
      <c r="BI23" s="88">
        <f t="shared" si="17"/>
        <v>2</v>
      </c>
      <c r="BJ23" s="88">
        <f t="shared" si="18"/>
        <v>2</v>
      </c>
      <c r="BK23" s="370">
        <v>72</v>
      </c>
      <c r="BL23" s="370">
        <v>44</v>
      </c>
      <c r="BM23" s="370">
        <v>21</v>
      </c>
      <c r="BN23" s="370">
        <v>81</v>
      </c>
      <c r="BO23" s="381" t="s">
        <v>506</v>
      </c>
      <c r="BP23" s="381" t="s">
        <v>505</v>
      </c>
      <c r="BQ23" s="5">
        <f t="shared" si="7"/>
        <v>1534</v>
      </c>
      <c r="BR23" s="5">
        <f t="shared" si="8"/>
        <v>565</v>
      </c>
      <c r="BS23" s="299">
        <v>0</v>
      </c>
      <c r="BT23" s="371">
        <v>514</v>
      </c>
      <c r="BU23" s="371">
        <v>525</v>
      </c>
      <c r="BV23" s="371">
        <v>279</v>
      </c>
      <c r="BW23" s="371">
        <v>95</v>
      </c>
      <c r="BX23" s="371">
        <v>121</v>
      </c>
      <c r="BY23" s="372">
        <v>1361</v>
      </c>
      <c r="BZ23" s="372">
        <v>42</v>
      </c>
      <c r="CA23" s="372">
        <v>51</v>
      </c>
      <c r="CB23" s="372">
        <v>71</v>
      </c>
      <c r="CC23" s="372">
        <v>9</v>
      </c>
      <c r="CD23" s="373">
        <v>0</v>
      </c>
      <c r="CE23" s="373">
        <v>0</v>
      </c>
      <c r="CF23" s="373">
        <v>0</v>
      </c>
      <c r="CG23" s="373">
        <v>0</v>
      </c>
      <c r="CH23" s="373">
        <v>1</v>
      </c>
      <c r="CI23" s="373">
        <v>12</v>
      </c>
      <c r="CJ23" s="373">
        <v>20</v>
      </c>
      <c r="CK23" s="373">
        <v>48</v>
      </c>
      <c r="CL23" s="373">
        <v>103</v>
      </c>
      <c r="CM23" s="373">
        <v>126</v>
      </c>
      <c r="CN23" s="373">
        <v>183</v>
      </c>
      <c r="CO23" s="373">
        <v>201</v>
      </c>
      <c r="CP23" s="373">
        <v>202</v>
      </c>
      <c r="CQ23" s="373">
        <v>185</v>
      </c>
      <c r="CR23" s="373">
        <v>154</v>
      </c>
      <c r="CS23" s="373">
        <v>139</v>
      </c>
      <c r="CT23" s="373">
        <v>97</v>
      </c>
      <c r="CU23" s="373">
        <v>63</v>
      </c>
      <c r="CV23" s="25">
        <f t="shared" si="9"/>
        <v>0</v>
      </c>
      <c r="CW23" s="25">
        <f t="shared" si="10"/>
        <v>13</v>
      </c>
      <c r="CX23" s="25">
        <f t="shared" si="11"/>
        <v>480</v>
      </c>
      <c r="CY23" s="25">
        <f t="shared" si="12"/>
        <v>742</v>
      </c>
      <c r="CZ23" s="25">
        <f t="shared" si="13"/>
        <v>299</v>
      </c>
      <c r="DA23" s="374">
        <v>0</v>
      </c>
      <c r="DB23" s="374">
        <v>0</v>
      </c>
      <c r="DC23" s="374">
        <v>0</v>
      </c>
      <c r="DD23" s="374">
        <v>0</v>
      </c>
      <c r="DE23" s="374">
        <v>0</v>
      </c>
      <c r="DF23" s="374">
        <v>1</v>
      </c>
      <c r="DG23" s="374">
        <v>4</v>
      </c>
      <c r="DH23" s="374">
        <v>3</v>
      </c>
      <c r="DI23" s="374">
        <v>12</v>
      </c>
      <c r="DJ23" s="374">
        <v>24</v>
      </c>
      <c r="DK23" s="374">
        <v>50</v>
      </c>
      <c r="DL23" s="374">
        <v>64</v>
      </c>
      <c r="DM23" s="374">
        <v>59</v>
      </c>
      <c r="DN23" s="374">
        <v>49</v>
      </c>
      <c r="DO23" s="374">
        <v>76</v>
      </c>
      <c r="DP23" s="374">
        <v>90</v>
      </c>
      <c r="DQ23" s="374">
        <v>68</v>
      </c>
      <c r="DR23" s="374">
        <v>65</v>
      </c>
      <c r="DS23" s="89">
        <f t="shared" si="19"/>
        <v>0</v>
      </c>
      <c r="DT23" s="89">
        <f t="shared" si="20"/>
        <v>1</v>
      </c>
      <c r="DU23" s="89">
        <f t="shared" si="21"/>
        <v>93</v>
      </c>
      <c r="DV23" s="89">
        <f t="shared" si="22"/>
        <v>248</v>
      </c>
      <c r="DW23" s="89">
        <f t="shared" si="23"/>
        <v>223</v>
      </c>
      <c r="DX23" s="375">
        <v>12819</v>
      </c>
      <c r="DY23" s="375">
        <v>8554</v>
      </c>
      <c r="DZ23" s="375">
        <v>4868</v>
      </c>
      <c r="EA23" s="375">
        <v>14040</v>
      </c>
      <c r="EB23" s="384">
        <v>92.8</v>
      </c>
      <c r="EC23" s="385">
        <v>76.599999999999994</v>
      </c>
    </row>
    <row r="24" spans="1:133" ht="12.95" customHeight="1">
      <c r="A24" s="12">
        <v>21</v>
      </c>
      <c r="B24" s="3" t="s">
        <v>79</v>
      </c>
      <c r="C24" s="3" t="s">
        <v>80</v>
      </c>
      <c r="D24" s="4">
        <f>SUM(F24:K24)</f>
        <v>0</v>
      </c>
      <c r="E24" s="4">
        <f>SUM(AN24:BE24)</f>
        <v>0</v>
      </c>
      <c r="F24" s="302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7">
        <v>0</v>
      </c>
      <c r="M24" s="367">
        <v>0</v>
      </c>
      <c r="N24" s="367">
        <v>0</v>
      </c>
      <c r="O24" s="367">
        <v>0</v>
      </c>
      <c r="P24" s="367">
        <v>0</v>
      </c>
      <c r="Q24" s="368">
        <v>0</v>
      </c>
      <c r="R24" s="368">
        <v>0</v>
      </c>
      <c r="S24" s="368">
        <v>0</v>
      </c>
      <c r="T24" s="368">
        <v>0</v>
      </c>
      <c r="U24" s="368">
        <v>0</v>
      </c>
      <c r="V24" s="368">
        <v>0</v>
      </c>
      <c r="W24" s="368">
        <v>0</v>
      </c>
      <c r="X24" s="368">
        <v>0</v>
      </c>
      <c r="Y24" s="368">
        <v>0</v>
      </c>
      <c r="Z24" s="368">
        <v>0</v>
      </c>
      <c r="AA24" s="368">
        <v>0</v>
      </c>
      <c r="AB24" s="368">
        <v>0</v>
      </c>
      <c r="AC24" s="368">
        <v>0</v>
      </c>
      <c r="AD24" s="368">
        <v>0</v>
      </c>
      <c r="AE24" s="368">
        <v>0</v>
      </c>
      <c r="AF24" s="368">
        <v>0</v>
      </c>
      <c r="AG24" s="368">
        <v>0</v>
      </c>
      <c r="AH24" s="368">
        <v>0</v>
      </c>
      <c r="AI24" s="24">
        <f>Q24+R24+S24</f>
        <v>0</v>
      </c>
      <c r="AJ24" s="24">
        <f>T24+U24+V24</f>
        <v>0</v>
      </c>
      <c r="AK24" s="24">
        <f>W24+X24+Y24+Z24+AA24</f>
        <v>0</v>
      </c>
      <c r="AL24" s="24">
        <f>AB24+AC24+AD24+AE24</f>
        <v>0</v>
      </c>
      <c r="AM24" s="24">
        <f>AF24+AG24+AH24</f>
        <v>0</v>
      </c>
      <c r="AN24" s="369">
        <v>0</v>
      </c>
      <c r="AO24" s="369">
        <v>0</v>
      </c>
      <c r="AP24" s="369">
        <v>0</v>
      </c>
      <c r="AQ24" s="369">
        <v>0</v>
      </c>
      <c r="AR24" s="369">
        <v>0</v>
      </c>
      <c r="AS24" s="369">
        <v>0</v>
      </c>
      <c r="AT24" s="369">
        <v>0</v>
      </c>
      <c r="AU24" s="369">
        <v>0</v>
      </c>
      <c r="AV24" s="369">
        <v>0</v>
      </c>
      <c r="AW24" s="369">
        <v>0</v>
      </c>
      <c r="AX24" s="369">
        <v>0</v>
      </c>
      <c r="AY24" s="369">
        <v>0</v>
      </c>
      <c r="AZ24" s="369">
        <v>0</v>
      </c>
      <c r="BA24" s="369">
        <v>0</v>
      </c>
      <c r="BB24" s="369">
        <v>0</v>
      </c>
      <c r="BC24" s="369">
        <v>0</v>
      </c>
      <c r="BD24" s="369">
        <v>0</v>
      </c>
      <c r="BE24" s="369">
        <v>0</v>
      </c>
      <c r="BF24" s="88">
        <f t="shared" si="14"/>
        <v>0</v>
      </c>
      <c r="BG24" s="88">
        <f t="shared" si="15"/>
        <v>0</v>
      </c>
      <c r="BH24" s="88">
        <f t="shared" si="16"/>
        <v>0</v>
      </c>
      <c r="BI24" s="88">
        <f t="shared" si="17"/>
        <v>0</v>
      </c>
      <c r="BJ24" s="88">
        <f t="shared" si="18"/>
        <v>0</v>
      </c>
      <c r="BK24" s="370">
        <v>0</v>
      </c>
      <c r="BL24" s="370">
        <v>0</v>
      </c>
      <c r="BM24" s="370">
        <v>0</v>
      </c>
      <c r="BN24" s="370">
        <v>0</v>
      </c>
      <c r="BO24" s="380"/>
      <c r="BP24" s="380"/>
      <c r="BQ24" s="5">
        <f>SUM(BS24:BX24)</f>
        <v>55</v>
      </c>
      <c r="BR24" s="5">
        <f>SUM(DA24:DR24)</f>
        <v>25</v>
      </c>
      <c r="BS24" s="299">
        <v>0</v>
      </c>
      <c r="BT24" s="371">
        <v>21</v>
      </c>
      <c r="BU24" s="371">
        <v>8</v>
      </c>
      <c r="BV24" s="371">
        <v>12</v>
      </c>
      <c r="BW24" s="371">
        <v>8</v>
      </c>
      <c r="BX24" s="371">
        <v>6</v>
      </c>
      <c r="BY24" s="372">
        <v>52</v>
      </c>
      <c r="BZ24" s="372">
        <v>0</v>
      </c>
      <c r="CA24" s="372">
        <v>1</v>
      </c>
      <c r="CB24" s="372">
        <v>2</v>
      </c>
      <c r="CC24" s="372">
        <v>0</v>
      </c>
      <c r="CD24" s="373">
        <v>0</v>
      </c>
      <c r="CE24" s="373">
        <v>0</v>
      </c>
      <c r="CF24" s="373">
        <v>0</v>
      </c>
      <c r="CG24" s="373">
        <v>0</v>
      </c>
      <c r="CH24" s="373">
        <v>0</v>
      </c>
      <c r="CI24" s="373">
        <v>0</v>
      </c>
      <c r="CJ24" s="373">
        <v>0</v>
      </c>
      <c r="CK24" s="373">
        <v>1</v>
      </c>
      <c r="CL24" s="373">
        <v>2</v>
      </c>
      <c r="CM24" s="373">
        <v>1</v>
      </c>
      <c r="CN24" s="373">
        <v>1</v>
      </c>
      <c r="CO24" s="373">
        <v>5</v>
      </c>
      <c r="CP24" s="373">
        <v>3</v>
      </c>
      <c r="CQ24" s="373">
        <v>5</v>
      </c>
      <c r="CR24" s="373">
        <v>11</v>
      </c>
      <c r="CS24" s="373">
        <v>9</v>
      </c>
      <c r="CT24" s="373">
        <v>9</v>
      </c>
      <c r="CU24" s="373">
        <v>8</v>
      </c>
      <c r="CV24" s="25">
        <f>CD24+CE24+CF24</f>
        <v>0</v>
      </c>
      <c r="CW24" s="25">
        <f>CG24+CH24+CI24</f>
        <v>0</v>
      </c>
      <c r="CX24" s="25">
        <f>CJ24+CK24+CL24+CM24+CN24</f>
        <v>5</v>
      </c>
      <c r="CY24" s="25">
        <f>CO24+CP24+CQ24+CR24</f>
        <v>24</v>
      </c>
      <c r="CZ24" s="25">
        <f>CS24+CT24+CU24</f>
        <v>26</v>
      </c>
      <c r="DA24" s="374">
        <v>0</v>
      </c>
      <c r="DB24" s="374">
        <v>0</v>
      </c>
      <c r="DC24" s="374">
        <v>0</v>
      </c>
      <c r="DD24" s="374">
        <v>0</v>
      </c>
      <c r="DE24" s="374">
        <v>0</v>
      </c>
      <c r="DF24" s="374">
        <v>0</v>
      </c>
      <c r="DG24" s="374">
        <v>0</v>
      </c>
      <c r="DH24" s="374">
        <v>0</v>
      </c>
      <c r="DI24" s="374">
        <v>0</v>
      </c>
      <c r="DJ24" s="374">
        <v>0</v>
      </c>
      <c r="DK24" s="374">
        <v>0</v>
      </c>
      <c r="DL24" s="374">
        <v>0</v>
      </c>
      <c r="DM24" s="374">
        <v>2</v>
      </c>
      <c r="DN24" s="374">
        <v>1</v>
      </c>
      <c r="DO24" s="374">
        <v>2</v>
      </c>
      <c r="DP24" s="374">
        <v>7</v>
      </c>
      <c r="DQ24" s="374">
        <v>9</v>
      </c>
      <c r="DR24" s="374">
        <v>4</v>
      </c>
      <c r="DS24" s="89">
        <f t="shared" si="19"/>
        <v>0</v>
      </c>
      <c r="DT24" s="89">
        <f t="shared" si="20"/>
        <v>0</v>
      </c>
      <c r="DU24" s="89">
        <f t="shared" si="21"/>
        <v>0</v>
      </c>
      <c r="DV24" s="89">
        <f t="shared" si="22"/>
        <v>5</v>
      </c>
      <c r="DW24" s="89">
        <f t="shared" si="23"/>
        <v>20</v>
      </c>
      <c r="DX24" s="375">
        <v>264</v>
      </c>
      <c r="DY24" s="375">
        <v>159</v>
      </c>
      <c r="DZ24" s="375">
        <v>82</v>
      </c>
      <c r="EA24" s="375">
        <v>309</v>
      </c>
      <c r="EB24" s="384">
        <v>77.400000000000006</v>
      </c>
      <c r="EC24" s="385">
        <v>51.7</v>
      </c>
    </row>
    <row r="25" spans="1:133" ht="12.95" customHeight="1">
      <c r="A25" s="2">
        <v>22</v>
      </c>
      <c r="B25" s="3" t="s">
        <v>73</v>
      </c>
      <c r="C25" s="3" t="s">
        <v>74</v>
      </c>
      <c r="D25" s="4">
        <f t="shared" si="0"/>
        <v>0</v>
      </c>
      <c r="E25" s="4">
        <f t="shared" si="1"/>
        <v>0</v>
      </c>
      <c r="F25" s="302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7">
        <v>0</v>
      </c>
      <c r="M25" s="367">
        <v>0</v>
      </c>
      <c r="N25" s="367">
        <v>0</v>
      </c>
      <c r="O25" s="367">
        <v>0</v>
      </c>
      <c r="P25" s="367">
        <v>0</v>
      </c>
      <c r="Q25" s="368">
        <v>0</v>
      </c>
      <c r="R25" s="368">
        <v>0</v>
      </c>
      <c r="S25" s="368">
        <v>0</v>
      </c>
      <c r="T25" s="368">
        <v>0</v>
      </c>
      <c r="U25" s="368">
        <v>0</v>
      </c>
      <c r="V25" s="368">
        <v>0</v>
      </c>
      <c r="W25" s="368">
        <v>0</v>
      </c>
      <c r="X25" s="368">
        <v>0</v>
      </c>
      <c r="Y25" s="368">
        <v>0</v>
      </c>
      <c r="Z25" s="368">
        <v>0</v>
      </c>
      <c r="AA25" s="368">
        <v>0</v>
      </c>
      <c r="AB25" s="368">
        <v>0</v>
      </c>
      <c r="AC25" s="368">
        <v>0</v>
      </c>
      <c r="AD25" s="368">
        <v>0</v>
      </c>
      <c r="AE25" s="368">
        <v>0</v>
      </c>
      <c r="AF25" s="368">
        <v>0</v>
      </c>
      <c r="AG25" s="368">
        <v>0</v>
      </c>
      <c r="AH25" s="368">
        <v>0</v>
      </c>
      <c r="AI25" s="24">
        <f t="shared" si="2"/>
        <v>0</v>
      </c>
      <c r="AJ25" s="24">
        <f t="shared" si="3"/>
        <v>0</v>
      </c>
      <c r="AK25" s="24">
        <f t="shared" si="4"/>
        <v>0</v>
      </c>
      <c r="AL25" s="24">
        <f t="shared" si="5"/>
        <v>0</v>
      </c>
      <c r="AM25" s="24">
        <f t="shared" si="6"/>
        <v>0</v>
      </c>
      <c r="AN25" s="369">
        <v>0</v>
      </c>
      <c r="AO25" s="369">
        <v>0</v>
      </c>
      <c r="AP25" s="369">
        <v>0</v>
      </c>
      <c r="AQ25" s="369">
        <v>0</v>
      </c>
      <c r="AR25" s="369">
        <v>0</v>
      </c>
      <c r="AS25" s="369">
        <v>0</v>
      </c>
      <c r="AT25" s="369">
        <v>0</v>
      </c>
      <c r="AU25" s="369">
        <v>0</v>
      </c>
      <c r="AV25" s="369">
        <v>0</v>
      </c>
      <c r="AW25" s="369">
        <v>0</v>
      </c>
      <c r="AX25" s="369">
        <v>0</v>
      </c>
      <c r="AY25" s="369">
        <v>0</v>
      </c>
      <c r="AZ25" s="369">
        <v>0</v>
      </c>
      <c r="BA25" s="369">
        <v>0</v>
      </c>
      <c r="BB25" s="369">
        <v>0</v>
      </c>
      <c r="BC25" s="369">
        <v>0</v>
      </c>
      <c r="BD25" s="369">
        <v>0</v>
      </c>
      <c r="BE25" s="369">
        <v>0</v>
      </c>
      <c r="BF25" s="88">
        <f t="shared" si="14"/>
        <v>0</v>
      </c>
      <c r="BG25" s="88">
        <f t="shared" si="15"/>
        <v>0</v>
      </c>
      <c r="BH25" s="88">
        <f t="shared" si="16"/>
        <v>0</v>
      </c>
      <c r="BI25" s="88">
        <f t="shared" si="17"/>
        <v>0</v>
      </c>
      <c r="BJ25" s="88">
        <f t="shared" si="18"/>
        <v>0</v>
      </c>
      <c r="BK25" s="370">
        <v>0</v>
      </c>
      <c r="BL25" s="370">
        <v>0</v>
      </c>
      <c r="BM25" s="370">
        <v>0</v>
      </c>
      <c r="BN25" s="370">
        <v>0</v>
      </c>
      <c r="BO25" s="380"/>
      <c r="BP25" s="380"/>
      <c r="BQ25" s="5">
        <f t="shared" si="7"/>
        <v>397</v>
      </c>
      <c r="BR25" s="5">
        <f t="shared" si="8"/>
        <v>181</v>
      </c>
      <c r="BS25" s="299">
        <v>0</v>
      </c>
      <c r="BT25" s="371">
        <v>142</v>
      </c>
      <c r="BU25" s="371">
        <v>58</v>
      </c>
      <c r="BV25" s="371">
        <v>103</v>
      </c>
      <c r="BW25" s="371">
        <v>36</v>
      </c>
      <c r="BX25" s="371">
        <v>58</v>
      </c>
      <c r="BY25" s="372">
        <v>360</v>
      </c>
      <c r="BZ25" s="372">
        <v>1</v>
      </c>
      <c r="CA25" s="372">
        <v>8</v>
      </c>
      <c r="CB25" s="372">
        <v>25</v>
      </c>
      <c r="CC25" s="372">
        <v>3</v>
      </c>
      <c r="CD25" s="373">
        <v>0</v>
      </c>
      <c r="CE25" s="373">
        <v>0</v>
      </c>
      <c r="CF25" s="373">
        <v>0</v>
      </c>
      <c r="CG25" s="373">
        <v>0</v>
      </c>
      <c r="CH25" s="373">
        <v>0</v>
      </c>
      <c r="CI25" s="373">
        <v>10</v>
      </c>
      <c r="CJ25" s="373">
        <v>27</v>
      </c>
      <c r="CK25" s="373">
        <v>27</v>
      </c>
      <c r="CL25" s="373">
        <v>45</v>
      </c>
      <c r="CM25" s="373">
        <v>55</v>
      </c>
      <c r="CN25" s="373">
        <v>52</v>
      </c>
      <c r="CO25" s="373">
        <v>40</v>
      </c>
      <c r="CP25" s="373">
        <v>37</v>
      </c>
      <c r="CQ25" s="373">
        <v>30</v>
      </c>
      <c r="CR25" s="373">
        <v>21</v>
      </c>
      <c r="CS25" s="373">
        <v>25</v>
      </c>
      <c r="CT25" s="373">
        <v>20</v>
      </c>
      <c r="CU25" s="373">
        <v>8</v>
      </c>
      <c r="CV25" s="25">
        <f t="shared" si="9"/>
        <v>0</v>
      </c>
      <c r="CW25" s="25">
        <f t="shared" si="10"/>
        <v>10</v>
      </c>
      <c r="CX25" s="25">
        <f t="shared" si="11"/>
        <v>206</v>
      </c>
      <c r="CY25" s="25">
        <f t="shared" si="12"/>
        <v>128</v>
      </c>
      <c r="CZ25" s="25">
        <f t="shared" si="13"/>
        <v>53</v>
      </c>
      <c r="DA25" s="374">
        <v>0</v>
      </c>
      <c r="DB25" s="374">
        <v>0</v>
      </c>
      <c r="DC25" s="374">
        <v>0</v>
      </c>
      <c r="DD25" s="374">
        <v>0</v>
      </c>
      <c r="DE25" s="374">
        <v>0</v>
      </c>
      <c r="DF25" s="374">
        <v>2</v>
      </c>
      <c r="DG25" s="374">
        <v>4</v>
      </c>
      <c r="DH25" s="374">
        <v>7</v>
      </c>
      <c r="DI25" s="374">
        <v>11</v>
      </c>
      <c r="DJ25" s="374">
        <v>23</v>
      </c>
      <c r="DK25" s="374">
        <v>17</v>
      </c>
      <c r="DL25" s="374">
        <v>18</v>
      </c>
      <c r="DM25" s="374">
        <v>16</v>
      </c>
      <c r="DN25" s="374">
        <v>17</v>
      </c>
      <c r="DO25" s="374">
        <v>20</v>
      </c>
      <c r="DP25" s="374">
        <v>17</v>
      </c>
      <c r="DQ25" s="374">
        <v>18</v>
      </c>
      <c r="DR25" s="374">
        <v>11</v>
      </c>
      <c r="DS25" s="89">
        <f t="shared" si="19"/>
        <v>0</v>
      </c>
      <c r="DT25" s="89">
        <f t="shared" si="20"/>
        <v>2</v>
      </c>
      <c r="DU25" s="89">
        <f t="shared" si="21"/>
        <v>62</v>
      </c>
      <c r="DV25" s="89">
        <f t="shared" si="22"/>
        <v>71</v>
      </c>
      <c r="DW25" s="89">
        <f t="shared" si="23"/>
        <v>46</v>
      </c>
      <c r="DX25" s="375">
        <v>4544</v>
      </c>
      <c r="DY25" s="375">
        <v>3398</v>
      </c>
      <c r="DZ25" s="375">
        <v>2086</v>
      </c>
      <c r="EA25" s="375">
        <v>4851</v>
      </c>
      <c r="EB25" s="384">
        <v>83.1</v>
      </c>
      <c r="EC25" s="385">
        <v>64.5</v>
      </c>
    </row>
    <row r="26" spans="1:133" ht="12.95" customHeight="1">
      <c r="A26" s="12">
        <v>23</v>
      </c>
      <c r="B26" s="3" t="s">
        <v>75</v>
      </c>
      <c r="C26" s="3" t="s">
        <v>76</v>
      </c>
      <c r="D26" s="4">
        <f t="shared" si="0"/>
        <v>0</v>
      </c>
      <c r="E26" s="4">
        <f t="shared" si="1"/>
        <v>0</v>
      </c>
      <c r="F26" s="302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7">
        <v>0</v>
      </c>
      <c r="M26" s="367">
        <v>0</v>
      </c>
      <c r="N26" s="367">
        <v>0</v>
      </c>
      <c r="O26" s="367">
        <v>0</v>
      </c>
      <c r="P26" s="367">
        <v>0</v>
      </c>
      <c r="Q26" s="368">
        <v>0</v>
      </c>
      <c r="R26" s="368">
        <v>0</v>
      </c>
      <c r="S26" s="368">
        <v>0</v>
      </c>
      <c r="T26" s="368">
        <v>0</v>
      </c>
      <c r="U26" s="368">
        <v>0</v>
      </c>
      <c r="V26" s="368">
        <v>0</v>
      </c>
      <c r="W26" s="368">
        <v>0</v>
      </c>
      <c r="X26" s="368">
        <v>0</v>
      </c>
      <c r="Y26" s="368">
        <v>0</v>
      </c>
      <c r="Z26" s="368">
        <v>0</v>
      </c>
      <c r="AA26" s="368">
        <v>0</v>
      </c>
      <c r="AB26" s="368">
        <v>0</v>
      </c>
      <c r="AC26" s="368">
        <v>0</v>
      </c>
      <c r="AD26" s="368">
        <v>0</v>
      </c>
      <c r="AE26" s="368">
        <v>0</v>
      </c>
      <c r="AF26" s="368">
        <v>0</v>
      </c>
      <c r="AG26" s="368">
        <v>0</v>
      </c>
      <c r="AH26" s="368">
        <v>0</v>
      </c>
      <c r="AI26" s="24">
        <f t="shared" si="2"/>
        <v>0</v>
      </c>
      <c r="AJ26" s="24">
        <f t="shared" si="3"/>
        <v>0</v>
      </c>
      <c r="AK26" s="24">
        <f t="shared" si="4"/>
        <v>0</v>
      </c>
      <c r="AL26" s="24">
        <f t="shared" si="5"/>
        <v>0</v>
      </c>
      <c r="AM26" s="24">
        <f t="shared" si="6"/>
        <v>0</v>
      </c>
      <c r="AN26" s="369">
        <v>0</v>
      </c>
      <c r="AO26" s="369">
        <v>0</v>
      </c>
      <c r="AP26" s="369">
        <v>0</v>
      </c>
      <c r="AQ26" s="369">
        <v>0</v>
      </c>
      <c r="AR26" s="369">
        <v>0</v>
      </c>
      <c r="AS26" s="369">
        <v>0</v>
      </c>
      <c r="AT26" s="369">
        <v>0</v>
      </c>
      <c r="AU26" s="369">
        <v>0</v>
      </c>
      <c r="AV26" s="369">
        <v>0</v>
      </c>
      <c r="AW26" s="369">
        <v>0</v>
      </c>
      <c r="AX26" s="369">
        <v>0</v>
      </c>
      <c r="AY26" s="369">
        <v>0</v>
      </c>
      <c r="AZ26" s="369">
        <v>0</v>
      </c>
      <c r="BA26" s="369">
        <v>0</v>
      </c>
      <c r="BB26" s="369">
        <v>0</v>
      </c>
      <c r="BC26" s="369">
        <v>0</v>
      </c>
      <c r="BD26" s="369">
        <v>0</v>
      </c>
      <c r="BE26" s="369">
        <v>0</v>
      </c>
      <c r="BF26" s="88">
        <f t="shared" si="14"/>
        <v>0</v>
      </c>
      <c r="BG26" s="88">
        <f t="shared" si="15"/>
        <v>0</v>
      </c>
      <c r="BH26" s="88">
        <f t="shared" si="16"/>
        <v>0</v>
      </c>
      <c r="BI26" s="88">
        <f t="shared" si="17"/>
        <v>0</v>
      </c>
      <c r="BJ26" s="88">
        <f t="shared" si="18"/>
        <v>0</v>
      </c>
      <c r="BK26" s="370">
        <v>0</v>
      </c>
      <c r="BL26" s="370">
        <v>0</v>
      </c>
      <c r="BM26" s="370">
        <v>0</v>
      </c>
      <c r="BN26" s="370">
        <v>0</v>
      </c>
      <c r="BO26" s="380"/>
      <c r="BP26" s="380"/>
      <c r="BQ26" s="5">
        <f t="shared" si="7"/>
        <v>641</v>
      </c>
      <c r="BR26" s="5">
        <f t="shared" si="8"/>
        <v>158</v>
      </c>
      <c r="BS26" s="299">
        <v>0</v>
      </c>
      <c r="BT26" s="371">
        <v>403</v>
      </c>
      <c r="BU26" s="371">
        <v>52</v>
      </c>
      <c r="BV26" s="371">
        <v>63</v>
      </c>
      <c r="BW26" s="371">
        <v>35</v>
      </c>
      <c r="BX26" s="371">
        <v>88</v>
      </c>
      <c r="BY26" s="372">
        <v>604</v>
      </c>
      <c r="BZ26" s="372">
        <v>0</v>
      </c>
      <c r="CA26" s="372">
        <v>11</v>
      </c>
      <c r="CB26" s="372">
        <v>25</v>
      </c>
      <c r="CC26" s="372">
        <v>1</v>
      </c>
      <c r="CD26" s="373">
        <v>0</v>
      </c>
      <c r="CE26" s="373">
        <v>0</v>
      </c>
      <c r="CF26" s="373">
        <v>0</v>
      </c>
      <c r="CG26" s="373">
        <v>0</v>
      </c>
      <c r="CH26" s="373">
        <v>0</v>
      </c>
      <c r="CI26" s="373">
        <v>0</v>
      </c>
      <c r="CJ26" s="373">
        <v>2</v>
      </c>
      <c r="CK26" s="373">
        <v>7</v>
      </c>
      <c r="CL26" s="373">
        <v>13</v>
      </c>
      <c r="CM26" s="373">
        <v>41</v>
      </c>
      <c r="CN26" s="373">
        <v>74</v>
      </c>
      <c r="CO26" s="373">
        <v>89</v>
      </c>
      <c r="CP26" s="373">
        <v>103</v>
      </c>
      <c r="CQ26" s="373">
        <v>84</v>
      </c>
      <c r="CR26" s="373">
        <v>88</v>
      </c>
      <c r="CS26" s="373">
        <v>71</v>
      </c>
      <c r="CT26" s="373">
        <v>47</v>
      </c>
      <c r="CU26" s="373">
        <v>22</v>
      </c>
      <c r="CV26" s="25">
        <f t="shared" si="9"/>
        <v>0</v>
      </c>
      <c r="CW26" s="25">
        <f t="shared" si="10"/>
        <v>0</v>
      </c>
      <c r="CX26" s="25">
        <f t="shared" si="11"/>
        <v>137</v>
      </c>
      <c r="CY26" s="25">
        <f t="shared" si="12"/>
        <v>364</v>
      </c>
      <c r="CZ26" s="25">
        <f t="shared" si="13"/>
        <v>140</v>
      </c>
      <c r="DA26" s="374">
        <v>0</v>
      </c>
      <c r="DB26" s="374">
        <v>0</v>
      </c>
      <c r="DC26" s="374">
        <v>0</v>
      </c>
      <c r="DD26" s="374">
        <v>0</v>
      </c>
      <c r="DE26" s="374">
        <v>0</v>
      </c>
      <c r="DF26" s="374">
        <v>0</v>
      </c>
      <c r="DG26" s="374">
        <v>0</v>
      </c>
      <c r="DH26" s="374">
        <v>0</v>
      </c>
      <c r="DI26" s="374">
        <v>2</v>
      </c>
      <c r="DJ26" s="374">
        <v>2</v>
      </c>
      <c r="DK26" s="374">
        <v>7</v>
      </c>
      <c r="DL26" s="374">
        <v>9</v>
      </c>
      <c r="DM26" s="374">
        <v>17</v>
      </c>
      <c r="DN26" s="374">
        <v>19</v>
      </c>
      <c r="DO26" s="374">
        <v>34</v>
      </c>
      <c r="DP26" s="374">
        <v>29</v>
      </c>
      <c r="DQ26" s="374">
        <v>23</v>
      </c>
      <c r="DR26" s="374">
        <v>16</v>
      </c>
      <c r="DS26" s="89">
        <f t="shared" si="19"/>
        <v>0</v>
      </c>
      <c r="DT26" s="89">
        <f t="shared" si="20"/>
        <v>0</v>
      </c>
      <c r="DU26" s="89">
        <f t="shared" si="21"/>
        <v>11</v>
      </c>
      <c r="DV26" s="89">
        <f t="shared" si="22"/>
        <v>79</v>
      </c>
      <c r="DW26" s="89">
        <f t="shared" si="23"/>
        <v>68</v>
      </c>
      <c r="DX26" s="375">
        <v>5943</v>
      </c>
      <c r="DY26" s="375">
        <v>4196</v>
      </c>
      <c r="DZ26" s="375">
        <v>2593</v>
      </c>
      <c r="EA26" s="375">
        <v>6459</v>
      </c>
      <c r="EB26" s="384">
        <v>92.3</v>
      </c>
      <c r="EC26" s="385">
        <v>81.8</v>
      </c>
    </row>
    <row r="27" spans="1:133" ht="12.95" customHeight="1">
      <c r="A27" s="2">
        <v>24</v>
      </c>
      <c r="B27" s="3" t="s">
        <v>77</v>
      </c>
      <c r="C27" s="3" t="s">
        <v>78</v>
      </c>
      <c r="D27" s="4">
        <f t="shared" si="0"/>
        <v>0</v>
      </c>
      <c r="E27" s="4">
        <f t="shared" si="1"/>
        <v>0</v>
      </c>
      <c r="F27" s="302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7">
        <v>0</v>
      </c>
      <c r="M27" s="367">
        <v>0</v>
      </c>
      <c r="N27" s="367">
        <v>0</v>
      </c>
      <c r="O27" s="367">
        <v>0</v>
      </c>
      <c r="P27" s="367">
        <v>0</v>
      </c>
      <c r="Q27" s="368">
        <v>0</v>
      </c>
      <c r="R27" s="368">
        <v>0</v>
      </c>
      <c r="S27" s="368">
        <v>0</v>
      </c>
      <c r="T27" s="368">
        <v>0</v>
      </c>
      <c r="U27" s="368">
        <v>0</v>
      </c>
      <c r="V27" s="368">
        <v>0</v>
      </c>
      <c r="W27" s="368">
        <v>0</v>
      </c>
      <c r="X27" s="368">
        <v>0</v>
      </c>
      <c r="Y27" s="368">
        <v>0</v>
      </c>
      <c r="Z27" s="368">
        <v>0</v>
      </c>
      <c r="AA27" s="368">
        <v>0</v>
      </c>
      <c r="AB27" s="368">
        <v>0</v>
      </c>
      <c r="AC27" s="368">
        <v>0</v>
      </c>
      <c r="AD27" s="368">
        <v>0</v>
      </c>
      <c r="AE27" s="368">
        <v>0</v>
      </c>
      <c r="AF27" s="368">
        <v>0</v>
      </c>
      <c r="AG27" s="368">
        <v>0</v>
      </c>
      <c r="AH27" s="368">
        <v>0</v>
      </c>
      <c r="AI27" s="24">
        <f t="shared" si="2"/>
        <v>0</v>
      </c>
      <c r="AJ27" s="24">
        <f t="shared" si="3"/>
        <v>0</v>
      </c>
      <c r="AK27" s="24">
        <f t="shared" si="4"/>
        <v>0</v>
      </c>
      <c r="AL27" s="24">
        <f t="shared" si="5"/>
        <v>0</v>
      </c>
      <c r="AM27" s="24">
        <f t="shared" si="6"/>
        <v>0</v>
      </c>
      <c r="AN27" s="369">
        <v>0</v>
      </c>
      <c r="AO27" s="369">
        <v>0</v>
      </c>
      <c r="AP27" s="369">
        <v>0</v>
      </c>
      <c r="AQ27" s="369">
        <v>0</v>
      </c>
      <c r="AR27" s="369">
        <v>0</v>
      </c>
      <c r="AS27" s="369">
        <v>0</v>
      </c>
      <c r="AT27" s="369">
        <v>0</v>
      </c>
      <c r="AU27" s="369">
        <v>0</v>
      </c>
      <c r="AV27" s="369">
        <v>0</v>
      </c>
      <c r="AW27" s="369">
        <v>0</v>
      </c>
      <c r="AX27" s="369">
        <v>0</v>
      </c>
      <c r="AY27" s="369">
        <v>0</v>
      </c>
      <c r="AZ27" s="369">
        <v>0</v>
      </c>
      <c r="BA27" s="369">
        <v>0</v>
      </c>
      <c r="BB27" s="369">
        <v>0</v>
      </c>
      <c r="BC27" s="369">
        <v>0</v>
      </c>
      <c r="BD27" s="369">
        <v>0</v>
      </c>
      <c r="BE27" s="369">
        <v>0</v>
      </c>
      <c r="BF27" s="88">
        <f t="shared" si="14"/>
        <v>0</v>
      </c>
      <c r="BG27" s="88">
        <f t="shared" si="15"/>
        <v>0</v>
      </c>
      <c r="BH27" s="88">
        <f t="shared" si="16"/>
        <v>0</v>
      </c>
      <c r="BI27" s="88">
        <f t="shared" si="17"/>
        <v>0</v>
      </c>
      <c r="BJ27" s="88">
        <f t="shared" si="18"/>
        <v>0</v>
      </c>
      <c r="BK27" s="370">
        <v>0</v>
      </c>
      <c r="BL27" s="370">
        <v>0</v>
      </c>
      <c r="BM27" s="370">
        <v>0</v>
      </c>
      <c r="BN27" s="370">
        <v>0</v>
      </c>
      <c r="BO27" s="380"/>
      <c r="BP27" s="380"/>
      <c r="BQ27" s="5">
        <f t="shared" si="7"/>
        <v>363</v>
      </c>
      <c r="BR27" s="5">
        <f t="shared" si="8"/>
        <v>249</v>
      </c>
      <c r="BS27" s="299">
        <v>0</v>
      </c>
      <c r="BT27" s="371">
        <v>63</v>
      </c>
      <c r="BU27" s="371">
        <v>9</v>
      </c>
      <c r="BV27" s="371">
        <v>136</v>
      </c>
      <c r="BW27" s="371">
        <v>86</v>
      </c>
      <c r="BX27" s="371">
        <v>69</v>
      </c>
      <c r="BY27" s="372">
        <v>277</v>
      </c>
      <c r="BZ27" s="372">
        <v>10</v>
      </c>
      <c r="CA27" s="372">
        <v>21</v>
      </c>
      <c r="CB27" s="372">
        <v>46</v>
      </c>
      <c r="CC27" s="372">
        <v>9</v>
      </c>
      <c r="CD27" s="373">
        <v>0</v>
      </c>
      <c r="CE27" s="373">
        <v>0</v>
      </c>
      <c r="CF27" s="373">
        <v>0</v>
      </c>
      <c r="CG27" s="373">
        <v>0</v>
      </c>
      <c r="CH27" s="373">
        <v>2</v>
      </c>
      <c r="CI27" s="373">
        <v>4</v>
      </c>
      <c r="CJ27" s="373">
        <v>4</v>
      </c>
      <c r="CK27" s="373">
        <v>3</v>
      </c>
      <c r="CL27" s="373">
        <v>14</v>
      </c>
      <c r="CM27" s="373">
        <v>29</v>
      </c>
      <c r="CN27" s="373">
        <v>52</v>
      </c>
      <c r="CO27" s="373">
        <v>45</v>
      </c>
      <c r="CP27" s="373">
        <v>38</v>
      </c>
      <c r="CQ27" s="373">
        <v>37</v>
      </c>
      <c r="CR27" s="373">
        <v>31</v>
      </c>
      <c r="CS27" s="373">
        <v>39</v>
      </c>
      <c r="CT27" s="373">
        <v>43</v>
      </c>
      <c r="CU27" s="373">
        <v>22</v>
      </c>
      <c r="CV27" s="25">
        <f t="shared" si="9"/>
        <v>0</v>
      </c>
      <c r="CW27" s="25">
        <f t="shared" si="10"/>
        <v>6</v>
      </c>
      <c r="CX27" s="25">
        <f t="shared" si="11"/>
        <v>102</v>
      </c>
      <c r="CY27" s="25">
        <f t="shared" si="12"/>
        <v>151</v>
      </c>
      <c r="CZ27" s="25">
        <f t="shared" si="13"/>
        <v>104</v>
      </c>
      <c r="DA27" s="374">
        <v>0</v>
      </c>
      <c r="DB27" s="374">
        <v>0</v>
      </c>
      <c r="DC27" s="374">
        <v>0</v>
      </c>
      <c r="DD27" s="374">
        <v>0</v>
      </c>
      <c r="DE27" s="374">
        <v>0</v>
      </c>
      <c r="DF27" s="374">
        <v>0</v>
      </c>
      <c r="DG27" s="374">
        <v>2</v>
      </c>
      <c r="DH27" s="374">
        <v>3</v>
      </c>
      <c r="DI27" s="374">
        <v>7</v>
      </c>
      <c r="DJ27" s="374">
        <v>14</v>
      </c>
      <c r="DK27" s="374">
        <v>23</v>
      </c>
      <c r="DL27" s="374">
        <v>24</v>
      </c>
      <c r="DM27" s="374">
        <v>25</v>
      </c>
      <c r="DN27" s="374">
        <v>25</v>
      </c>
      <c r="DO27" s="374">
        <v>38</v>
      </c>
      <c r="DP27" s="374">
        <v>37</v>
      </c>
      <c r="DQ27" s="374">
        <v>37</v>
      </c>
      <c r="DR27" s="374">
        <v>14</v>
      </c>
      <c r="DS27" s="89">
        <f t="shared" si="19"/>
        <v>0</v>
      </c>
      <c r="DT27" s="89">
        <f t="shared" si="20"/>
        <v>0</v>
      </c>
      <c r="DU27" s="89">
        <f t="shared" si="21"/>
        <v>49</v>
      </c>
      <c r="DV27" s="89">
        <f t="shared" si="22"/>
        <v>112</v>
      </c>
      <c r="DW27" s="89">
        <f t="shared" si="23"/>
        <v>88</v>
      </c>
      <c r="DX27" s="375">
        <v>2223</v>
      </c>
      <c r="DY27" s="375">
        <v>1510</v>
      </c>
      <c r="DZ27" s="375">
        <v>985</v>
      </c>
      <c r="EA27" s="375">
        <v>2451</v>
      </c>
      <c r="EB27" s="384">
        <v>71.599999999999994</v>
      </c>
      <c r="EC27" s="385">
        <v>43.9</v>
      </c>
    </row>
    <row r="28" spans="1:133" ht="12.95" customHeight="1">
      <c r="A28" s="12">
        <v>25</v>
      </c>
      <c r="B28" s="3" t="s">
        <v>81</v>
      </c>
      <c r="C28" s="3" t="s">
        <v>82</v>
      </c>
      <c r="D28" s="4">
        <f t="shared" si="0"/>
        <v>3223</v>
      </c>
      <c r="E28" s="4">
        <f t="shared" si="1"/>
        <v>529</v>
      </c>
      <c r="F28" s="302">
        <v>0</v>
      </c>
      <c r="G28" s="366">
        <v>642</v>
      </c>
      <c r="H28" s="366">
        <v>918</v>
      </c>
      <c r="I28" s="366">
        <v>518</v>
      </c>
      <c r="J28" s="366">
        <v>112</v>
      </c>
      <c r="K28" s="366">
        <v>1033</v>
      </c>
      <c r="L28" s="367">
        <v>3044</v>
      </c>
      <c r="M28" s="367">
        <v>9</v>
      </c>
      <c r="N28" s="367">
        <v>53</v>
      </c>
      <c r="O28" s="367">
        <v>97</v>
      </c>
      <c r="P28" s="367">
        <v>22</v>
      </c>
      <c r="Q28" s="368">
        <v>0</v>
      </c>
      <c r="R28" s="368">
        <v>0</v>
      </c>
      <c r="S28" s="368">
        <v>0</v>
      </c>
      <c r="T28" s="368">
        <v>0</v>
      </c>
      <c r="U28" s="368">
        <v>0</v>
      </c>
      <c r="V28" s="368">
        <v>1</v>
      </c>
      <c r="W28" s="368">
        <v>0</v>
      </c>
      <c r="X28" s="368">
        <v>1</v>
      </c>
      <c r="Y28" s="368">
        <v>9</v>
      </c>
      <c r="Z28" s="368">
        <v>32</v>
      </c>
      <c r="AA28" s="368">
        <v>296</v>
      </c>
      <c r="AB28" s="368">
        <v>420</v>
      </c>
      <c r="AC28" s="368">
        <v>608</v>
      </c>
      <c r="AD28" s="368">
        <v>630</v>
      </c>
      <c r="AE28" s="368">
        <v>668</v>
      </c>
      <c r="AF28" s="368">
        <v>288</v>
      </c>
      <c r="AG28" s="368">
        <v>167</v>
      </c>
      <c r="AH28" s="368">
        <v>103</v>
      </c>
      <c r="AI28" s="24">
        <f t="shared" si="2"/>
        <v>0</v>
      </c>
      <c r="AJ28" s="24">
        <f t="shared" si="3"/>
        <v>1</v>
      </c>
      <c r="AK28" s="24">
        <f t="shared" si="4"/>
        <v>338</v>
      </c>
      <c r="AL28" s="24">
        <f t="shared" si="5"/>
        <v>2326</v>
      </c>
      <c r="AM28" s="24">
        <f t="shared" si="6"/>
        <v>558</v>
      </c>
      <c r="AN28" s="369">
        <v>0</v>
      </c>
      <c r="AO28" s="369">
        <v>0</v>
      </c>
      <c r="AP28" s="369">
        <v>0</v>
      </c>
      <c r="AQ28" s="369">
        <v>0</v>
      </c>
      <c r="AR28" s="369">
        <v>0</v>
      </c>
      <c r="AS28" s="369">
        <v>1</v>
      </c>
      <c r="AT28" s="369">
        <v>0</v>
      </c>
      <c r="AU28" s="369">
        <v>0</v>
      </c>
      <c r="AV28" s="369">
        <v>0</v>
      </c>
      <c r="AW28" s="369">
        <v>3</v>
      </c>
      <c r="AX28" s="369">
        <v>4</v>
      </c>
      <c r="AY28" s="369">
        <v>19</v>
      </c>
      <c r="AZ28" s="369">
        <v>30</v>
      </c>
      <c r="BA28" s="369">
        <v>54</v>
      </c>
      <c r="BB28" s="369">
        <v>89</v>
      </c>
      <c r="BC28" s="369">
        <v>108</v>
      </c>
      <c r="BD28" s="369">
        <v>135</v>
      </c>
      <c r="BE28" s="369">
        <v>86</v>
      </c>
      <c r="BF28" s="88">
        <f t="shared" si="14"/>
        <v>0</v>
      </c>
      <c r="BG28" s="88">
        <f t="shared" si="15"/>
        <v>1</v>
      </c>
      <c r="BH28" s="88">
        <f t="shared" si="16"/>
        <v>7</v>
      </c>
      <c r="BI28" s="88">
        <f t="shared" si="17"/>
        <v>192</v>
      </c>
      <c r="BJ28" s="88">
        <f t="shared" si="18"/>
        <v>329</v>
      </c>
      <c r="BK28" s="370">
        <v>21059</v>
      </c>
      <c r="BL28" s="370">
        <v>11035</v>
      </c>
      <c r="BM28" s="370">
        <v>1670</v>
      </c>
      <c r="BN28" s="370">
        <v>23862</v>
      </c>
      <c r="BO28" s="381" t="s">
        <v>505</v>
      </c>
      <c r="BP28" s="381" t="s">
        <v>505</v>
      </c>
      <c r="BQ28" s="5">
        <f t="shared" si="7"/>
        <v>0</v>
      </c>
      <c r="BR28" s="5">
        <f t="shared" si="8"/>
        <v>0</v>
      </c>
      <c r="BS28" s="299">
        <v>0</v>
      </c>
      <c r="BT28" s="371">
        <v>0</v>
      </c>
      <c r="BU28" s="371">
        <v>0</v>
      </c>
      <c r="BV28" s="371">
        <v>0</v>
      </c>
      <c r="BW28" s="371">
        <v>0</v>
      </c>
      <c r="BX28" s="371">
        <v>0</v>
      </c>
      <c r="BY28" s="372">
        <v>0</v>
      </c>
      <c r="BZ28" s="372">
        <v>0</v>
      </c>
      <c r="CA28" s="372">
        <v>0</v>
      </c>
      <c r="CB28" s="372">
        <v>0</v>
      </c>
      <c r="CC28" s="372">
        <v>0</v>
      </c>
      <c r="CD28" s="373">
        <v>0</v>
      </c>
      <c r="CE28" s="373">
        <v>0</v>
      </c>
      <c r="CF28" s="373">
        <v>0</v>
      </c>
      <c r="CG28" s="373">
        <v>0</v>
      </c>
      <c r="CH28" s="373">
        <v>0</v>
      </c>
      <c r="CI28" s="373">
        <v>0</v>
      </c>
      <c r="CJ28" s="373">
        <v>0</v>
      </c>
      <c r="CK28" s="373">
        <v>0</v>
      </c>
      <c r="CL28" s="373">
        <v>0</v>
      </c>
      <c r="CM28" s="373">
        <v>0</v>
      </c>
      <c r="CN28" s="373">
        <v>0</v>
      </c>
      <c r="CO28" s="373">
        <v>0</v>
      </c>
      <c r="CP28" s="373">
        <v>0</v>
      </c>
      <c r="CQ28" s="373">
        <v>0</v>
      </c>
      <c r="CR28" s="373">
        <v>0</v>
      </c>
      <c r="CS28" s="373">
        <v>0</v>
      </c>
      <c r="CT28" s="373">
        <v>0</v>
      </c>
      <c r="CU28" s="373">
        <v>0</v>
      </c>
      <c r="CV28" s="25">
        <f t="shared" si="9"/>
        <v>0</v>
      </c>
      <c r="CW28" s="25">
        <f t="shared" si="10"/>
        <v>0</v>
      </c>
      <c r="CX28" s="25">
        <f t="shared" si="11"/>
        <v>0</v>
      </c>
      <c r="CY28" s="25">
        <f t="shared" si="12"/>
        <v>0</v>
      </c>
      <c r="CZ28" s="25">
        <f t="shared" si="13"/>
        <v>0</v>
      </c>
      <c r="DA28" s="374">
        <v>0</v>
      </c>
      <c r="DB28" s="374">
        <v>0</v>
      </c>
      <c r="DC28" s="374">
        <v>0</v>
      </c>
      <c r="DD28" s="374">
        <v>0</v>
      </c>
      <c r="DE28" s="374">
        <v>0</v>
      </c>
      <c r="DF28" s="374">
        <v>0</v>
      </c>
      <c r="DG28" s="374">
        <v>0</v>
      </c>
      <c r="DH28" s="374">
        <v>0</v>
      </c>
      <c r="DI28" s="374">
        <v>0</v>
      </c>
      <c r="DJ28" s="374">
        <v>0</v>
      </c>
      <c r="DK28" s="374">
        <v>0</v>
      </c>
      <c r="DL28" s="374">
        <v>0</v>
      </c>
      <c r="DM28" s="374">
        <v>0</v>
      </c>
      <c r="DN28" s="374">
        <v>0</v>
      </c>
      <c r="DO28" s="374">
        <v>0</v>
      </c>
      <c r="DP28" s="374">
        <v>0</v>
      </c>
      <c r="DQ28" s="374">
        <v>0</v>
      </c>
      <c r="DR28" s="374">
        <v>0</v>
      </c>
      <c r="DS28" s="89">
        <f t="shared" si="19"/>
        <v>0</v>
      </c>
      <c r="DT28" s="89">
        <f t="shared" si="20"/>
        <v>0</v>
      </c>
      <c r="DU28" s="89">
        <f t="shared" si="21"/>
        <v>0</v>
      </c>
      <c r="DV28" s="89">
        <f t="shared" si="22"/>
        <v>0</v>
      </c>
      <c r="DW28" s="89">
        <f t="shared" si="23"/>
        <v>0</v>
      </c>
      <c r="DX28" s="375">
        <v>0</v>
      </c>
      <c r="DY28" s="375">
        <v>0</v>
      </c>
      <c r="DZ28" s="375">
        <v>0</v>
      </c>
      <c r="EA28" s="375">
        <v>0</v>
      </c>
      <c r="EB28" s="384"/>
      <c r="EC28" s="385"/>
    </row>
    <row r="29" spans="1:133" ht="12.95" customHeight="1">
      <c r="A29" s="2">
        <v>26</v>
      </c>
      <c r="B29" s="3" t="s">
        <v>83</v>
      </c>
      <c r="C29" s="3" t="s">
        <v>84</v>
      </c>
      <c r="D29" s="4">
        <f t="shared" si="0"/>
        <v>47</v>
      </c>
      <c r="E29" s="4">
        <f t="shared" si="1"/>
        <v>7</v>
      </c>
      <c r="F29" s="302">
        <v>0</v>
      </c>
      <c r="G29" s="366">
        <v>35</v>
      </c>
      <c r="H29" s="366">
        <v>5</v>
      </c>
      <c r="I29" s="366">
        <v>5</v>
      </c>
      <c r="J29" s="366">
        <v>2</v>
      </c>
      <c r="K29" s="366">
        <v>0</v>
      </c>
      <c r="L29" s="367">
        <v>46</v>
      </c>
      <c r="M29" s="367">
        <v>0</v>
      </c>
      <c r="N29" s="367">
        <v>1</v>
      </c>
      <c r="O29" s="367">
        <v>0</v>
      </c>
      <c r="P29" s="367">
        <v>0</v>
      </c>
      <c r="Q29" s="368">
        <v>0</v>
      </c>
      <c r="R29" s="368">
        <v>0</v>
      </c>
      <c r="S29" s="368">
        <v>1</v>
      </c>
      <c r="T29" s="368">
        <v>1</v>
      </c>
      <c r="U29" s="368">
        <v>6</v>
      </c>
      <c r="V29" s="368">
        <v>8</v>
      </c>
      <c r="W29" s="368">
        <v>10</v>
      </c>
      <c r="X29" s="368">
        <v>6</v>
      </c>
      <c r="Y29" s="368">
        <v>8</v>
      </c>
      <c r="Z29" s="368">
        <v>0</v>
      </c>
      <c r="AA29" s="368">
        <v>2</v>
      </c>
      <c r="AB29" s="368">
        <v>2</v>
      </c>
      <c r="AC29" s="368">
        <v>1</v>
      </c>
      <c r="AD29" s="368">
        <v>0</v>
      </c>
      <c r="AE29" s="368">
        <v>1</v>
      </c>
      <c r="AF29" s="368">
        <v>0</v>
      </c>
      <c r="AG29" s="368">
        <v>1</v>
      </c>
      <c r="AH29" s="368">
        <v>0</v>
      </c>
      <c r="AI29" s="24">
        <f t="shared" si="2"/>
        <v>1</v>
      </c>
      <c r="AJ29" s="24">
        <f t="shared" si="3"/>
        <v>15</v>
      </c>
      <c r="AK29" s="24">
        <f t="shared" si="4"/>
        <v>26</v>
      </c>
      <c r="AL29" s="24">
        <f t="shared" si="5"/>
        <v>4</v>
      </c>
      <c r="AM29" s="24">
        <f t="shared" si="6"/>
        <v>1</v>
      </c>
      <c r="AN29" s="369">
        <v>0</v>
      </c>
      <c r="AO29" s="369">
        <v>0</v>
      </c>
      <c r="AP29" s="369">
        <v>0</v>
      </c>
      <c r="AQ29" s="369">
        <v>0</v>
      </c>
      <c r="AR29" s="369">
        <v>0</v>
      </c>
      <c r="AS29" s="369">
        <v>0</v>
      </c>
      <c r="AT29" s="369">
        <v>1</v>
      </c>
      <c r="AU29" s="369">
        <v>1</v>
      </c>
      <c r="AV29" s="369">
        <v>2</v>
      </c>
      <c r="AW29" s="369">
        <v>0</v>
      </c>
      <c r="AX29" s="369">
        <v>0</v>
      </c>
      <c r="AY29" s="369">
        <v>1</v>
      </c>
      <c r="AZ29" s="369">
        <v>1</v>
      </c>
      <c r="BA29" s="369">
        <v>0</v>
      </c>
      <c r="BB29" s="369">
        <v>0</v>
      </c>
      <c r="BC29" s="369">
        <v>0</v>
      </c>
      <c r="BD29" s="369">
        <v>1</v>
      </c>
      <c r="BE29" s="369">
        <v>0</v>
      </c>
      <c r="BF29" s="88">
        <f t="shared" si="14"/>
        <v>0</v>
      </c>
      <c r="BG29" s="88">
        <f t="shared" si="15"/>
        <v>0</v>
      </c>
      <c r="BH29" s="88">
        <f t="shared" si="16"/>
        <v>4</v>
      </c>
      <c r="BI29" s="88">
        <f t="shared" si="17"/>
        <v>2</v>
      </c>
      <c r="BJ29" s="88">
        <f t="shared" si="18"/>
        <v>1</v>
      </c>
      <c r="BK29" s="370">
        <v>501</v>
      </c>
      <c r="BL29" s="370">
        <v>359</v>
      </c>
      <c r="BM29" s="370">
        <v>227</v>
      </c>
      <c r="BN29" s="370">
        <v>544</v>
      </c>
      <c r="BO29" s="381" t="s">
        <v>523</v>
      </c>
      <c r="BP29" s="381" t="s">
        <v>504</v>
      </c>
      <c r="BQ29" s="5">
        <f t="shared" si="7"/>
        <v>0</v>
      </c>
      <c r="BR29" s="5">
        <f t="shared" si="8"/>
        <v>0</v>
      </c>
      <c r="BS29" s="299">
        <v>0</v>
      </c>
      <c r="BT29" s="371">
        <v>0</v>
      </c>
      <c r="BU29" s="371">
        <v>0</v>
      </c>
      <c r="BV29" s="371">
        <v>0</v>
      </c>
      <c r="BW29" s="371">
        <v>0</v>
      </c>
      <c r="BX29" s="371">
        <v>0</v>
      </c>
      <c r="BY29" s="372">
        <v>0</v>
      </c>
      <c r="BZ29" s="372">
        <v>0</v>
      </c>
      <c r="CA29" s="372">
        <v>0</v>
      </c>
      <c r="CB29" s="372">
        <v>0</v>
      </c>
      <c r="CC29" s="372">
        <v>0</v>
      </c>
      <c r="CD29" s="373">
        <v>0</v>
      </c>
      <c r="CE29" s="373">
        <v>0</v>
      </c>
      <c r="CF29" s="373">
        <v>0</v>
      </c>
      <c r="CG29" s="373">
        <v>0</v>
      </c>
      <c r="CH29" s="373">
        <v>0</v>
      </c>
      <c r="CI29" s="373">
        <v>0</v>
      </c>
      <c r="CJ29" s="373">
        <v>0</v>
      </c>
      <c r="CK29" s="373">
        <v>0</v>
      </c>
      <c r="CL29" s="373">
        <v>0</v>
      </c>
      <c r="CM29" s="373">
        <v>0</v>
      </c>
      <c r="CN29" s="373">
        <v>0</v>
      </c>
      <c r="CO29" s="373">
        <v>0</v>
      </c>
      <c r="CP29" s="373">
        <v>0</v>
      </c>
      <c r="CQ29" s="373">
        <v>0</v>
      </c>
      <c r="CR29" s="373">
        <v>0</v>
      </c>
      <c r="CS29" s="373">
        <v>0</v>
      </c>
      <c r="CT29" s="373">
        <v>0</v>
      </c>
      <c r="CU29" s="373">
        <v>0</v>
      </c>
      <c r="CV29" s="25">
        <f t="shared" si="9"/>
        <v>0</v>
      </c>
      <c r="CW29" s="25">
        <f t="shared" si="10"/>
        <v>0</v>
      </c>
      <c r="CX29" s="25">
        <f t="shared" si="11"/>
        <v>0</v>
      </c>
      <c r="CY29" s="25">
        <f t="shared" si="12"/>
        <v>0</v>
      </c>
      <c r="CZ29" s="25">
        <f t="shared" si="13"/>
        <v>0</v>
      </c>
      <c r="DA29" s="374">
        <v>0</v>
      </c>
      <c r="DB29" s="374">
        <v>0</v>
      </c>
      <c r="DC29" s="374">
        <v>0</v>
      </c>
      <c r="DD29" s="374">
        <v>0</v>
      </c>
      <c r="DE29" s="374">
        <v>0</v>
      </c>
      <c r="DF29" s="374">
        <v>0</v>
      </c>
      <c r="DG29" s="374">
        <v>0</v>
      </c>
      <c r="DH29" s="374">
        <v>0</v>
      </c>
      <c r="DI29" s="374">
        <v>0</v>
      </c>
      <c r="DJ29" s="374">
        <v>0</v>
      </c>
      <c r="DK29" s="374">
        <v>0</v>
      </c>
      <c r="DL29" s="374">
        <v>0</v>
      </c>
      <c r="DM29" s="374">
        <v>0</v>
      </c>
      <c r="DN29" s="374">
        <v>0</v>
      </c>
      <c r="DO29" s="374">
        <v>0</v>
      </c>
      <c r="DP29" s="374">
        <v>0</v>
      </c>
      <c r="DQ29" s="374">
        <v>0</v>
      </c>
      <c r="DR29" s="374">
        <v>0</v>
      </c>
      <c r="DS29" s="89">
        <f t="shared" si="19"/>
        <v>0</v>
      </c>
      <c r="DT29" s="89">
        <f t="shared" si="20"/>
        <v>0</v>
      </c>
      <c r="DU29" s="89">
        <f t="shared" si="21"/>
        <v>0</v>
      </c>
      <c r="DV29" s="89">
        <f t="shared" si="22"/>
        <v>0</v>
      </c>
      <c r="DW29" s="89">
        <f t="shared" si="23"/>
        <v>0</v>
      </c>
      <c r="DX29" s="375">
        <v>0</v>
      </c>
      <c r="DY29" s="375">
        <v>0</v>
      </c>
      <c r="DZ29" s="375">
        <v>0</v>
      </c>
      <c r="EA29" s="375">
        <v>0</v>
      </c>
      <c r="EB29" s="384"/>
      <c r="EC29" s="385"/>
    </row>
    <row r="30" spans="1:133" ht="12.95" customHeight="1">
      <c r="A30" s="12">
        <v>27</v>
      </c>
      <c r="B30" s="3" t="s">
        <v>85</v>
      </c>
      <c r="C30" s="3" t="s">
        <v>86</v>
      </c>
      <c r="D30" s="4">
        <f t="shared" si="0"/>
        <v>28</v>
      </c>
      <c r="E30" s="4">
        <f t="shared" si="1"/>
        <v>8</v>
      </c>
      <c r="F30" s="302">
        <v>0</v>
      </c>
      <c r="G30" s="366">
        <v>6</v>
      </c>
      <c r="H30" s="366">
        <v>12</v>
      </c>
      <c r="I30" s="366">
        <v>2</v>
      </c>
      <c r="J30" s="366">
        <v>6</v>
      </c>
      <c r="K30" s="366">
        <v>2</v>
      </c>
      <c r="L30" s="367">
        <v>25</v>
      </c>
      <c r="M30" s="367">
        <v>1</v>
      </c>
      <c r="N30" s="367">
        <v>1</v>
      </c>
      <c r="O30" s="367">
        <v>1</v>
      </c>
      <c r="P30" s="367">
        <v>0</v>
      </c>
      <c r="Q30" s="368">
        <v>0</v>
      </c>
      <c r="R30" s="368">
        <v>1</v>
      </c>
      <c r="S30" s="368">
        <v>0</v>
      </c>
      <c r="T30" s="368">
        <v>0</v>
      </c>
      <c r="U30" s="368">
        <v>0</v>
      </c>
      <c r="V30" s="368">
        <v>0</v>
      </c>
      <c r="W30" s="368">
        <v>1</v>
      </c>
      <c r="X30" s="368">
        <v>0</v>
      </c>
      <c r="Y30" s="368">
        <v>3</v>
      </c>
      <c r="Z30" s="368">
        <v>0</v>
      </c>
      <c r="AA30" s="368">
        <v>1</v>
      </c>
      <c r="AB30" s="368">
        <v>8</v>
      </c>
      <c r="AC30" s="368">
        <v>6</v>
      </c>
      <c r="AD30" s="368">
        <v>1</v>
      </c>
      <c r="AE30" s="368">
        <v>2</v>
      </c>
      <c r="AF30" s="368">
        <v>3</v>
      </c>
      <c r="AG30" s="368">
        <v>1</v>
      </c>
      <c r="AH30" s="368">
        <v>1</v>
      </c>
      <c r="AI30" s="24">
        <f t="shared" si="2"/>
        <v>1</v>
      </c>
      <c r="AJ30" s="24">
        <f t="shared" si="3"/>
        <v>0</v>
      </c>
      <c r="AK30" s="24">
        <f t="shared" si="4"/>
        <v>5</v>
      </c>
      <c r="AL30" s="24">
        <f t="shared" si="5"/>
        <v>17</v>
      </c>
      <c r="AM30" s="24">
        <f t="shared" si="6"/>
        <v>5</v>
      </c>
      <c r="AN30" s="369">
        <v>0</v>
      </c>
      <c r="AO30" s="369">
        <v>0</v>
      </c>
      <c r="AP30" s="369">
        <v>0</v>
      </c>
      <c r="AQ30" s="369">
        <v>0</v>
      </c>
      <c r="AR30" s="369">
        <v>0</v>
      </c>
      <c r="AS30" s="369">
        <v>0</v>
      </c>
      <c r="AT30" s="369">
        <v>0</v>
      </c>
      <c r="AU30" s="369">
        <v>0</v>
      </c>
      <c r="AV30" s="369">
        <v>1</v>
      </c>
      <c r="AW30" s="369">
        <v>0</v>
      </c>
      <c r="AX30" s="369">
        <v>0</v>
      </c>
      <c r="AY30" s="369">
        <v>1</v>
      </c>
      <c r="AZ30" s="369">
        <v>2</v>
      </c>
      <c r="BA30" s="369">
        <v>1</v>
      </c>
      <c r="BB30" s="369">
        <v>1</v>
      </c>
      <c r="BC30" s="369">
        <v>0</v>
      </c>
      <c r="BD30" s="369">
        <v>2</v>
      </c>
      <c r="BE30" s="369">
        <v>0</v>
      </c>
      <c r="BF30" s="88">
        <f t="shared" si="14"/>
        <v>0</v>
      </c>
      <c r="BG30" s="88">
        <f t="shared" si="15"/>
        <v>0</v>
      </c>
      <c r="BH30" s="88">
        <f t="shared" si="16"/>
        <v>1</v>
      </c>
      <c r="BI30" s="88">
        <f t="shared" si="17"/>
        <v>5</v>
      </c>
      <c r="BJ30" s="88">
        <f t="shared" si="18"/>
        <v>2</v>
      </c>
      <c r="BK30" s="370">
        <v>167</v>
      </c>
      <c r="BL30" s="370">
        <v>109</v>
      </c>
      <c r="BM30" s="370">
        <v>55</v>
      </c>
      <c r="BN30" s="370">
        <v>185</v>
      </c>
      <c r="BO30" s="381" t="s">
        <v>524</v>
      </c>
      <c r="BP30" s="381" t="s">
        <v>537</v>
      </c>
      <c r="BQ30" s="5">
        <f t="shared" si="7"/>
        <v>31</v>
      </c>
      <c r="BR30" s="5">
        <f t="shared" si="8"/>
        <v>16</v>
      </c>
      <c r="BS30" s="299">
        <v>0</v>
      </c>
      <c r="BT30" s="371">
        <v>3</v>
      </c>
      <c r="BU30" s="371">
        <v>6</v>
      </c>
      <c r="BV30" s="371">
        <v>6</v>
      </c>
      <c r="BW30" s="371">
        <v>8</v>
      </c>
      <c r="BX30" s="371">
        <v>8</v>
      </c>
      <c r="BY30" s="372">
        <v>27</v>
      </c>
      <c r="BZ30" s="372">
        <v>0</v>
      </c>
      <c r="CA30" s="372">
        <v>1</v>
      </c>
      <c r="CB30" s="372">
        <v>3</v>
      </c>
      <c r="CC30" s="372">
        <v>0</v>
      </c>
      <c r="CD30" s="373">
        <v>0</v>
      </c>
      <c r="CE30" s="373">
        <v>0</v>
      </c>
      <c r="CF30" s="373">
        <v>0</v>
      </c>
      <c r="CG30" s="373">
        <v>0</v>
      </c>
      <c r="CH30" s="373">
        <v>0</v>
      </c>
      <c r="CI30" s="373">
        <v>0</v>
      </c>
      <c r="CJ30" s="373">
        <v>0</v>
      </c>
      <c r="CK30" s="373">
        <v>2</v>
      </c>
      <c r="CL30" s="373">
        <v>1</v>
      </c>
      <c r="CM30" s="373">
        <v>2</v>
      </c>
      <c r="CN30" s="373">
        <v>5</v>
      </c>
      <c r="CO30" s="373">
        <v>3</v>
      </c>
      <c r="CP30" s="373">
        <v>3</v>
      </c>
      <c r="CQ30" s="373">
        <v>1</v>
      </c>
      <c r="CR30" s="373">
        <v>7</v>
      </c>
      <c r="CS30" s="373">
        <v>3</v>
      </c>
      <c r="CT30" s="373">
        <v>2</v>
      </c>
      <c r="CU30" s="373">
        <v>2</v>
      </c>
      <c r="CV30" s="25">
        <f t="shared" si="9"/>
        <v>0</v>
      </c>
      <c r="CW30" s="25">
        <f t="shared" si="10"/>
        <v>0</v>
      </c>
      <c r="CX30" s="25">
        <f t="shared" si="11"/>
        <v>10</v>
      </c>
      <c r="CY30" s="25">
        <f t="shared" si="12"/>
        <v>14</v>
      </c>
      <c r="CZ30" s="25">
        <f t="shared" si="13"/>
        <v>7</v>
      </c>
      <c r="DA30" s="374">
        <v>0</v>
      </c>
      <c r="DB30" s="374">
        <v>0</v>
      </c>
      <c r="DC30" s="374">
        <v>0</v>
      </c>
      <c r="DD30" s="374">
        <v>0</v>
      </c>
      <c r="DE30" s="374">
        <v>0</v>
      </c>
      <c r="DF30" s="374">
        <v>0</v>
      </c>
      <c r="DG30" s="374">
        <v>0</v>
      </c>
      <c r="DH30" s="374">
        <v>0</v>
      </c>
      <c r="DI30" s="374">
        <v>0</v>
      </c>
      <c r="DJ30" s="374">
        <v>0</v>
      </c>
      <c r="DK30" s="374">
        <v>3</v>
      </c>
      <c r="DL30" s="374">
        <v>0</v>
      </c>
      <c r="DM30" s="374">
        <v>0</v>
      </c>
      <c r="DN30" s="374">
        <v>0</v>
      </c>
      <c r="DO30" s="374">
        <v>4</v>
      </c>
      <c r="DP30" s="374">
        <v>3</v>
      </c>
      <c r="DQ30" s="374">
        <v>4</v>
      </c>
      <c r="DR30" s="374">
        <v>2</v>
      </c>
      <c r="DS30" s="89">
        <f t="shared" si="19"/>
        <v>0</v>
      </c>
      <c r="DT30" s="89">
        <f t="shared" si="20"/>
        <v>0</v>
      </c>
      <c r="DU30" s="89">
        <f t="shared" si="21"/>
        <v>3</v>
      </c>
      <c r="DV30" s="89">
        <f t="shared" si="22"/>
        <v>4</v>
      </c>
      <c r="DW30" s="89">
        <f t="shared" si="23"/>
        <v>9</v>
      </c>
      <c r="DX30" s="375">
        <v>162</v>
      </c>
      <c r="DY30" s="375">
        <v>104</v>
      </c>
      <c r="DZ30" s="375">
        <v>77</v>
      </c>
      <c r="EA30" s="375">
        <v>178</v>
      </c>
      <c r="EB30" s="384">
        <v>79.8</v>
      </c>
      <c r="EC30" s="385">
        <v>51.3</v>
      </c>
    </row>
    <row r="31" spans="1:133" ht="12.95" customHeight="1">
      <c r="A31" s="2">
        <v>28</v>
      </c>
      <c r="B31" s="3" t="s">
        <v>87</v>
      </c>
      <c r="C31" s="3" t="s">
        <v>88</v>
      </c>
      <c r="D31" s="4">
        <f t="shared" si="0"/>
        <v>366</v>
      </c>
      <c r="E31" s="4">
        <f t="shared" si="1"/>
        <v>164</v>
      </c>
      <c r="F31" s="302">
        <v>0</v>
      </c>
      <c r="G31" s="366">
        <v>146</v>
      </c>
      <c r="H31" s="366">
        <v>33</v>
      </c>
      <c r="I31" s="366">
        <v>70</v>
      </c>
      <c r="J31" s="366">
        <v>71</v>
      </c>
      <c r="K31" s="366">
        <v>46</v>
      </c>
      <c r="L31" s="367">
        <v>293</v>
      </c>
      <c r="M31" s="367">
        <v>1</v>
      </c>
      <c r="N31" s="367">
        <v>41</v>
      </c>
      <c r="O31" s="367">
        <v>28</v>
      </c>
      <c r="P31" s="367">
        <v>3</v>
      </c>
      <c r="Q31" s="368">
        <v>1</v>
      </c>
      <c r="R31" s="368">
        <v>0</v>
      </c>
      <c r="S31" s="368">
        <v>0</v>
      </c>
      <c r="T31" s="368">
        <v>0</v>
      </c>
      <c r="U31" s="368">
        <v>0</v>
      </c>
      <c r="V31" s="368">
        <v>2</v>
      </c>
      <c r="W31" s="368">
        <v>3</v>
      </c>
      <c r="X31" s="368">
        <v>6</v>
      </c>
      <c r="Y31" s="368">
        <v>13</v>
      </c>
      <c r="Z31" s="368">
        <v>28</v>
      </c>
      <c r="AA31" s="368">
        <v>39</v>
      </c>
      <c r="AB31" s="368">
        <v>43</v>
      </c>
      <c r="AC31" s="368">
        <v>41</v>
      </c>
      <c r="AD31" s="368">
        <v>45</v>
      </c>
      <c r="AE31" s="368">
        <v>62</v>
      </c>
      <c r="AF31" s="368">
        <v>43</v>
      </c>
      <c r="AG31" s="368">
        <v>29</v>
      </c>
      <c r="AH31" s="368">
        <v>11</v>
      </c>
      <c r="AI31" s="24">
        <f t="shared" si="2"/>
        <v>1</v>
      </c>
      <c r="AJ31" s="24">
        <f t="shared" si="3"/>
        <v>2</v>
      </c>
      <c r="AK31" s="24">
        <f t="shared" si="4"/>
        <v>89</v>
      </c>
      <c r="AL31" s="24">
        <f t="shared" si="5"/>
        <v>191</v>
      </c>
      <c r="AM31" s="24">
        <f t="shared" si="6"/>
        <v>83</v>
      </c>
      <c r="AN31" s="369">
        <v>0</v>
      </c>
      <c r="AO31" s="369">
        <v>0</v>
      </c>
      <c r="AP31" s="369">
        <v>0</v>
      </c>
      <c r="AQ31" s="369">
        <v>0</v>
      </c>
      <c r="AR31" s="369">
        <v>0</v>
      </c>
      <c r="AS31" s="369">
        <v>0</v>
      </c>
      <c r="AT31" s="369">
        <v>1</v>
      </c>
      <c r="AU31" s="369">
        <v>1</v>
      </c>
      <c r="AV31" s="369">
        <v>2</v>
      </c>
      <c r="AW31" s="369">
        <v>7</v>
      </c>
      <c r="AX31" s="369">
        <v>7</v>
      </c>
      <c r="AY31" s="369">
        <v>20</v>
      </c>
      <c r="AZ31" s="369">
        <v>17</v>
      </c>
      <c r="BA31" s="369">
        <v>18</v>
      </c>
      <c r="BB31" s="369">
        <v>31</v>
      </c>
      <c r="BC31" s="369">
        <v>30</v>
      </c>
      <c r="BD31" s="369">
        <v>18</v>
      </c>
      <c r="BE31" s="369">
        <v>12</v>
      </c>
      <c r="BF31" s="88">
        <f t="shared" si="14"/>
        <v>0</v>
      </c>
      <c r="BG31" s="88">
        <f t="shared" si="15"/>
        <v>0</v>
      </c>
      <c r="BH31" s="88">
        <f t="shared" si="16"/>
        <v>18</v>
      </c>
      <c r="BI31" s="88">
        <f t="shared" si="17"/>
        <v>86</v>
      </c>
      <c r="BJ31" s="88">
        <f t="shared" si="18"/>
        <v>60</v>
      </c>
      <c r="BK31" s="370">
        <v>2167</v>
      </c>
      <c r="BL31" s="370">
        <v>1362</v>
      </c>
      <c r="BM31" s="370">
        <v>625</v>
      </c>
      <c r="BN31" s="370">
        <v>2407</v>
      </c>
      <c r="BO31" s="381" t="s">
        <v>525</v>
      </c>
      <c r="BP31" s="381" t="s">
        <v>538</v>
      </c>
      <c r="BQ31" s="5">
        <f t="shared" si="7"/>
        <v>268</v>
      </c>
      <c r="BR31" s="5">
        <f t="shared" si="8"/>
        <v>85</v>
      </c>
      <c r="BS31" s="299">
        <v>0</v>
      </c>
      <c r="BT31" s="371">
        <v>127</v>
      </c>
      <c r="BU31" s="371">
        <v>17</v>
      </c>
      <c r="BV31" s="371">
        <v>49</v>
      </c>
      <c r="BW31" s="371">
        <v>30</v>
      </c>
      <c r="BX31" s="371">
        <v>45</v>
      </c>
      <c r="BY31" s="372">
        <v>199</v>
      </c>
      <c r="BZ31" s="372">
        <v>0</v>
      </c>
      <c r="CA31" s="372">
        <v>34</v>
      </c>
      <c r="CB31" s="372">
        <v>31</v>
      </c>
      <c r="CC31" s="372">
        <v>4</v>
      </c>
      <c r="CD31" s="373">
        <v>2</v>
      </c>
      <c r="CE31" s="373">
        <v>1</v>
      </c>
      <c r="CF31" s="373">
        <v>0</v>
      </c>
      <c r="CG31" s="373">
        <v>0</v>
      </c>
      <c r="CH31" s="373">
        <v>1</v>
      </c>
      <c r="CI31" s="373">
        <v>1</v>
      </c>
      <c r="CJ31" s="373">
        <v>1</v>
      </c>
      <c r="CK31" s="373">
        <v>1</v>
      </c>
      <c r="CL31" s="373">
        <v>6</v>
      </c>
      <c r="CM31" s="373">
        <v>8</v>
      </c>
      <c r="CN31" s="373">
        <v>20</v>
      </c>
      <c r="CO31" s="373">
        <v>24</v>
      </c>
      <c r="CP31" s="373">
        <v>36</v>
      </c>
      <c r="CQ31" s="373">
        <v>39</v>
      </c>
      <c r="CR31" s="373">
        <v>45</v>
      </c>
      <c r="CS31" s="373">
        <v>39</v>
      </c>
      <c r="CT31" s="373">
        <v>27</v>
      </c>
      <c r="CU31" s="373">
        <v>17</v>
      </c>
      <c r="CV31" s="25">
        <f t="shared" si="9"/>
        <v>3</v>
      </c>
      <c r="CW31" s="25">
        <f t="shared" si="10"/>
        <v>2</v>
      </c>
      <c r="CX31" s="25">
        <f t="shared" si="11"/>
        <v>36</v>
      </c>
      <c r="CY31" s="25">
        <f t="shared" si="12"/>
        <v>144</v>
      </c>
      <c r="CZ31" s="25">
        <f t="shared" si="13"/>
        <v>83</v>
      </c>
      <c r="DA31" s="374">
        <v>0</v>
      </c>
      <c r="DB31" s="374">
        <v>0</v>
      </c>
      <c r="DC31" s="374">
        <v>0</v>
      </c>
      <c r="DD31" s="374">
        <v>0</v>
      </c>
      <c r="DE31" s="374">
        <v>0</v>
      </c>
      <c r="DF31" s="374">
        <v>0</v>
      </c>
      <c r="DG31" s="374">
        <v>0</v>
      </c>
      <c r="DH31" s="374">
        <v>0</v>
      </c>
      <c r="DI31" s="374">
        <v>0</v>
      </c>
      <c r="DJ31" s="374">
        <v>2</v>
      </c>
      <c r="DK31" s="374">
        <v>2</v>
      </c>
      <c r="DL31" s="374">
        <v>3</v>
      </c>
      <c r="DM31" s="374">
        <v>11</v>
      </c>
      <c r="DN31" s="374">
        <v>11</v>
      </c>
      <c r="DO31" s="374">
        <v>11</v>
      </c>
      <c r="DP31" s="374">
        <v>16</v>
      </c>
      <c r="DQ31" s="374">
        <v>12</v>
      </c>
      <c r="DR31" s="374">
        <v>17</v>
      </c>
      <c r="DS31" s="89">
        <f t="shared" si="19"/>
        <v>0</v>
      </c>
      <c r="DT31" s="89">
        <f t="shared" si="20"/>
        <v>0</v>
      </c>
      <c r="DU31" s="89">
        <f t="shared" si="21"/>
        <v>4</v>
      </c>
      <c r="DV31" s="89">
        <f t="shared" si="22"/>
        <v>36</v>
      </c>
      <c r="DW31" s="89">
        <f t="shared" si="23"/>
        <v>45</v>
      </c>
      <c r="DX31" s="375">
        <v>2128</v>
      </c>
      <c r="DY31" s="375">
        <v>1404</v>
      </c>
      <c r="DZ31" s="375">
        <v>734</v>
      </c>
      <c r="EA31" s="375">
        <v>2315</v>
      </c>
      <c r="EB31">
        <v>83.1</v>
      </c>
      <c r="EC31" s="384">
        <v>76.400000000000006</v>
      </c>
    </row>
    <row r="32" spans="1:133" ht="12.95" customHeight="1">
      <c r="A32" s="12">
        <v>29</v>
      </c>
      <c r="B32" s="3" t="s">
        <v>89</v>
      </c>
      <c r="C32" s="3" t="s">
        <v>90</v>
      </c>
      <c r="D32" s="4">
        <f t="shared" si="0"/>
        <v>275</v>
      </c>
      <c r="E32" s="4">
        <f t="shared" si="1"/>
        <v>146</v>
      </c>
      <c r="F32" s="302">
        <v>0</v>
      </c>
      <c r="G32" s="366">
        <v>113</v>
      </c>
      <c r="H32" s="366">
        <v>67</v>
      </c>
      <c r="I32" s="366">
        <v>19</v>
      </c>
      <c r="J32" s="366">
        <v>24</v>
      </c>
      <c r="K32" s="366">
        <v>52</v>
      </c>
      <c r="L32" s="367">
        <v>217</v>
      </c>
      <c r="M32" s="367">
        <v>1</v>
      </c>
      <c r="N32" s="367">
        <v>22</v>
      </c>
      <c r="O32" s="367">
        <v>30</v>
      </c>
      <c r="P32" s="367">
        <v>5</v>
      </c>
      <c r="Q32" s="368">
        <v>0</v>
      </c>
      <c r="R32" s="368">
        <v>0</v>
      </c>
      <c r="S32" s="368">
        <v>0</v>
      </c>
      <c r="T32" s="368">
        <v>0</v>
      </c>
      <c r="U32" s="368">
        <v>0</v>
      </c>
      <c r="V32" s="368">
        <v>1</v>
      </c>
      <c r="W32" s="368">
        <v>2</v>
      </c>
      <c r="X32" s="368">
        <v>2</v>
      </c>
      <c r="Y32" s="368">
        <v>7</v>
      </c>
      <c r="Z32" s="368">
        <v>3</v>
      </c>
      <c r="AA32" s="368">
        <v>14</v>
      </c>
      <c r="AB32" s="368">
        <v>19</v>
      </c>
      <c r="AC32" s="368">
        <v>21</v>
      </c>
      <c r="AD32" s="368">
        <v>29</v>
      </c>
      <c r="AE32" s="368">
        <v>56</v>
      </c>
      <c r="AF32" s="368">
        <v>64</v>
      </c>
      <c r="AG32" s="368">
        <v>32</v>
      </c>
      <c r="AH32" s="368">
        <v>25</v>
      </c>
      <c r="AI32" s="24">
        <f t="shared" si="2"/>
        <v>0</v>
      </c>
      <c r="AJ32" s="24">
        <f t="shared" si="3"/>
        <v>1</v>
      </c>
      <c r="AK32" s="24">
        <f t="shared" si="4"/>
        <v>28</v>
      </c>
      <c r="AL32" s="24">
        <f t="shared" si="5"/>
        <v>125</v>
      </c>
      <c r="AM32" s="24">
        <f t="shared" si="6"/>
        <v>121</v>
      </c>
      <c r="AN32" s="369">
        <v>0</v>
      </c>
      <c r="AO32" s="369">
        <v>0</v>
      </c>
      <c r="AP32" s="369">
        <v>0</v>
      </c>
      <c r="AQ32" s="369">
        <v>0</v>
      </c>
      <c r="AR32" s="369">
        <v>0</v>
      </c>
      <c r="AS32" s="369">
        <v>0</v>
      </c>
      <c r="AT32" s="369">
        <v>0</v>
      </c>
      <c r="AU32" s="369">
        <v>0</v>
      </c>
      <c r="AV32" s="369">
        <v>0</v>
      </c>
      <c r="AW32" s="369">
        <v>0</v>
      </c>
      <c r="AX32" s="369">
        <v>7</v>
      </c>
      <c r="AY32" s="369">
        <v>7</v>
      </c>
      <c r="AZ32" s="369">
        <v>14</v>
      </c>
      <c r="BA32" s="369">
        <v>12</v>
      </c>
      <c r="BB32" s="369">
        <v>31</v>
      </c>
      <c r="BC32" s="369">
        <v>39</v>
      </c>
      <c r="BD32" s="369">
        <v>17</v>
      </c>
      <c r="BE32" s="369">
        <v>19</v>
      </c>
      <c r="BF32" s="88">
        <f t="shared" si="14"/>
        <v>0</v>
      </c>
      <c r="BG32" s="88">
        <f t="shared" si="15"/>
        <v>0</v>
      </c>
      <c r="BH32" s="88">
        <f t="shared" si="16"/>
        <v>7</v>
      </c>
      <c r="BI32" s="88">
        <f t="shared" si="17"/>
        <v>64</v>
      </c>
      <c r="BJ32" s="88">
        <f t="shared" si="18"/>
        <v>75</v>
      </c>
      <c r="BK32" s="370">
        <v>1447</v>
      </c>
      <c r="BL32" s="370">
        <v>955</v>
      </c>
      <c r="BM32" s="370">
        <v>537</v>
      </c>
      <c r="BN32" s="370">
        <v>1610</v>
      </c>
      <c r="BO32" s="381" t="s">
        <v>526</v>
      </c>
      <c r="BP32" s="381" t="s">
        <v>539</v>
      </c>
      <c r="BQ32" s="5">
        <f t="shared" si="7"/>
        <v>81</v>
      </c>
      <c r="BR32" s="5">
        <f t="shared" si="8"/>
        <v>68</v>
      </c>
      <c r="BS32" s="299">
        <v>0</v>
      </c>
      <c r="BT32" s="371">
        <v>29</v>
      </c>
      <c r="BU32" s="371">
        <v>22</v>
      </c>
      <c r="BV32" s="371">
        <v>4</v>
      </c>
      <c r="BW32" s="371">
        <v>6</v>
      </c>
      <c r="BX32" s="371">
        <v>20</v>
      </c>
      <c r="BY32" s="372">
        <v>62</v>
      </c>
      <c r="BZ32" s="372">
        <v>1</v>
      </c>
      <c r="CA32" s="372">
        <v>3</v>
      </c>
      <c r="CB32" s="372">
        <v>15</v>
      </c>
      <c r="CC32" s="372">
        <v>0</v>
      </c>
      <c r="CD32" s="373">
        <v>1</v>
      </c>
      <c r="CE32" s="373">
        <v>0</v>
      </c>
      <c r="CF32" s="373">
        <v>0</v>
      </c>
      <c r="CG32" s="373">
        <v>0</v>
      </c>
      <c r="CH32" s="373">
        <v>0</v>
      </c>
      <c r="CI32" s="373">
        <v>0</v>
      </c>
      <c r="CJ32" s="373">
        <v>0</v>
      </c>
      <c r="CK32" s="373">
        <v>0</v>
      </c>
      <c r="CL32" s="373">
        <v>0</v>
      </c>
      <c r="CM32" s="373">
        <v>1</v>
      </c>
      <c r="CN32" s="373">
        <v>2</v>
      </c>
      <c r="CO32" s="373">
        <v>6</v>
      </c>
      <c r="CP32" s="373">
        <v>10</v>
      </c>
      <c r="CQ32" s="373">
        <v>8</v>
      </c>
      <c r="CR32" s="373">
        <v>9</v>
      </c>
      <c r="CS32" s="373">
        <v>14</v>
      </c>
      <c r="CT32" s="373">
        <v>17</v>
      </c>
      <c r="CU32" s="373">
        <v>13</v>
      </c>
      <c r="CV32" s="25">
        <f t="shared" si="9"/>
        <v>1</v>
      </c>
      <c r="CW32" s="25">
        <f t="shared" si="10"/>
        <v>0</v>
      </c>
      <c r="CX32" s="25">
        <f t="shared" si="11"/>
        <v>3</v>
      </c>
      <c r="CY32" s="25">
        <f t="shared" si="12"/>
        <v>33</v>
      </c>
      <c r="CZ32" s="25">
        <f t="shared" si="13"/>
        <v>44</v>
      </c>
      <c r="DA32" s="374">
        <v>0</v>
      </c>
      <c r="DB32" s="374">
        <v>0</v>
      </c>
      <c r="DC32" s="374">
        <v>0</v>
      </c>
      <c r="DD32" s="374">
        <v>0</v>
      </c>
      <c r="DE32" s="374">
        <v>0</v>
      </c>
      <c r="DF32" s="374">
        <v>0</v>
      </c>
      <c r="DG32" s="374">
        <v>0</v>
      </c>
      <c r="DH32" s="374">
        <v>0</v>
      </c>
      <c r="DI32" s="374">
        <v>0</v>
      </c>
      <c r="DJ32" s="374">
        <v>0</v>
      </c>
      <c r="DK32" s="374">
        <v>0</v>
      </c>
      <c r="DL32" s="374">
        <v>2</v>
      </c>
      <c r="DM32" s="374">
        <v>5</v>
      </c>
      <c r="DN32" s="374">
        <v>1</v>
      </c>
      <c r="DO32" s="374">
        <v>9</v>
      </c>
      <c r="DP32" s="374">
        <v>19</v>
      </c>
      <c r="DQ32" s="374">
        <v>10</v>
      </c>
      <c r="DR32" s="374">
        <v>22</v>
      </c>
      <c r="DS32" s="89">
        <f t="shared" si="19"/>
        <v>0</v>
      </c>
      <c r="DT32" s="89">
        <f t="shared" si="20"/>
        <v>0</v>
      </c>
      <c r="DU32" s="89">
        <f t="shared" si="21"/>
        <v>0</v>
      </c>
      <c r="DV32" s="89">
        <f t="shared" si="22"/>
        <v>17</v>
      </c>
      <c r="DW32" s="89">
        <f t="shared" si="23"/>
        <v>51</v>
      </c>
      <c r="DX32" s="375">
        <v>555</v>
      </c>
      <c r="DY32" s="375">
        <v>388</v>
      </c>
      <c r="DZ32" s="375">
        <v>221</v>
      </c>
      <c r="EA32" s="375">
        <v>590</v>
      </c>
      <c r="EB32">
        <v>76.7</v>
      </c>
      <c r="EC32" s="384">
        <v>60.1</v>
      </c>
    </row>
    <row r="33" spans="1:133" ht="12.95" customHeight="1">
      <c r="A33" s="2">
        <v>30</v>
      </c>
      <c r="B33" s="3" t="s">
        <v>91</v>
      </c>
      <c r="C33" s="3" t="s">
        <v>92</v>
      </c>
      <c r="D33" s="4">
        <f t="shared" si="0"/>
        <v>20</v>
      </c>
      <c r="E33" s="4">
        <f t="shared" si="1"/>
        <v>13</v>
      </c>
      <c r="F33" s="302">
        <v>0</v>
      </c>
      <c r="G33" s="366">
        <v>3</v>
      </c>
      <c r="H33" s="366">
        <v>3</v>
      </c>
      <c r="I33" s="366">
        <v>4</v>
      </c>
      <c r="J33" s="366">
        <v>6</v>
      </c>
      <c r="K33" s="366">
        <v>4</v>
      </c>
      <c r="L33" s="367">
        <v>16</v>
      </c>
      <c r="M33" s="367">
        <v>0</v>
      </c>
      <c r="N33" s="367">
        <v>1</v>
      </c>
      <c r="O33" s="367">
        <v>3</v>
      </c>
      <c r="P33" s="367">
        <v>0</v>
      </c>
      <c r="Q33" s="368">
        <v>0</v>
      </c>
      <c r="R33" s="368">
        <v>0</v>
      </c>
      <c r="S33" s="368">
        <v>0</v>
      </c>
      <c r="T33" s="368">
        <v>0</v>
      </c>
      <c r="U33" s="368">
        <v>0</v>
      </c>
      <c r="V33" s="368">
        <v>0</v>
      </c>
      <c r="W33" s="368">
        <v>0</v>
      </c>
      <c r="X33" s="368">
        <v>0</v>
      </c>
      <c r="Y33" s="368">
        <v>0</v>
      </c>
      <c r="Z33" s="368">
        <v>1</v>
      </c>
      <c r="AA33" s="368">
        <v>1</v>
      </c>
      <c r="AB33" s="368">
        <v>1</v>
      </c>
      <c r="AC33" s="368">
        <v>1</v>
      </c>
      <c r="AD33" s="368">
        <v>5</v>
      </c>
      <c r="AE33" s="368">
        <v>4</v>
      </c>
      <c r="AF33" s="368">
        <v>2</v>
      </c>
      <c r="AG33" s="368">
        <v>5</v>
      </c>
      <c r="AH33" s="368">
        <v>0</v>
      </c>
      <c r="AI33" s="24">
        <f t="shared" si="2"/>
        <v>0</v>
      </c>
      <c r="AJ33" s="24">
        <f t="shared" si="3"/>
        <v>0</v>
      </c>
      <c r="AK33" s="24">
        <f t="shared" si="4"/>
        <v>2</v>
      </c>
      <c r="AL33" s="24">
        <f t="shared" si="5"/>
        <v>11</v>
      </c>
      <c r="AM33" s="24">
        <f t="shared" si="6"/>
        <v>7</v>
      </c>
      <c r="AN33" s="369">
        <v>0</v>
      </c>
      <c r="AO33" s="369">
        <v>0</v>
      </c>
      <c r="AP33" s="369">
        <v>0</v>
      </c>
      <c r="AQ33" s="369">
        <v>0</v>
      </c>
      <c r="AR33" s="369">
        <v>0</v>
      </c>
      <c r="AS33" s="369">
        <v>0</v>
      </c>
      <c r="AT33" s="369">
        <v>0</v>
      </c>
      <c r="AU33" s="369">
        <v>0</v>
      </c>
      <c r="AV33" s="369">
        <v>0</v>
      </c>
      <c r="AW33" s="369">
        <v>2</v>
      </c>
      <c r="AX33" s="369">
        <v>2</v>
      </c>
      <c r="AY33" s="369">
        <v>1</v>
      </c>
      <c r="AZ33" s="369">
        <v>0</v>
      </c>
      <c r="BA33" s="369">
        <v>2</v>
      </c>
      <c r="BB33" s="369">
        <v>3</v>
      </c>
      <c r="BC33" s="369">
        <v>2</v>
      </c>
      <c r="BD33" s="369">
        <v>1</v>
      </c>
      <c r="BE33" s="369">
        <v>0</v>
      </c>
      <c r="BF33" s="88">
        <f t="shared" si="14"/>
        <v>0</v>
      </c>
      <c r="BG33" s="88">
        <f t="shared" si="15"/>
        <v>0</v>
      </c>
      <c r="BH33" s="88">
        <f t="shared" si="16"/>
        <v>4</v>
      </c>
      <c r="BI33" s="88">
        <f t="shared" si="17"/>
        <v>6</v>
      </c>
      <c r="BJ33" s="88">
        <f t="shared" si="18"/>
        <v>3</v>
      </c>
      <c r="BK33" s="370">
        <v>72</v>
      </c>
      <c r="BL33" s="370">
        <v>50</v>
      </c>
      <c r="BM33" s="370">
        <v>29</v>
      </c>
      <c r="BN33" s="370">
        <v>82</v>
      </c>
      <c r="BO33" s="381" t="s">
        <v>527</v>
      </c>
      <c r="BP33" s="381" t="s">
        <v>540</v>
      </c>
      <c r="BQ33" s="5">
        <f t="shared" si="7"/>
        <v>6</v>
      </c>
      <c r="BR33" s="5">
        <f t="shared" si="8"/>
        <v>7</v>
      </c>
      <c r="BS33" s="299">
        <v>0</v>
      </c>
      <c r="BT33" s="371">
        <v>0</v>
      </c>
      <c r="BU33" s="371">
        <v>1</v>
      </c>
      <c r="BV33" s="371">
        <v>2</v>
      </c>
      <c r="BW33" s="371">
        <v>1</v>
      </c>
      <c r="BX33" s="371">
        <v>2</v>
      </c>
      <c r="BY33" s="372">
        <v>4</v>
      </c>
      <c r="BZ33" s="372">
        <v>0</v>
      </c>
      <c r="CA33" s="372">
        <v>0</v>
      </c>
      <c r="CB33" s="372">
        <v>2</v>
      </c>
      <c r="CC33" s="372">
        <v>0</v>
      </c>
      <c r="CD33" s="373">
        <v>0</v>
      </c>
      <c r="CE33" s="373">
        <v>0</v>
      </c>
      <c r="CF33" s="373">
        <v>0</v>
      </c>
      <c r="CG33" s="373">
        <v>0</v>
      </c>
      <c r="CH33" s="373">
        <v>0</v>
      </c>
      <c r="CI33" s="373">
        <v>0</v>
      </c>
      <c r="CJ33" s="373">
        <v>0</v>
      </c>
      <c r="CK33" s="373">
        <v>0</v>
      </c>
      <c r="CL33" s="373">
        <v>0</v>
      </c>
      <c r="CM33" s="373">
        <v>0</v>
      </c>
      <c r="CN33" s="373">
        <v>0</v>
      </c>
      <c r="CO33" s="373">
        <v>0</v>
      </c>
      <c r="CP33" s="373">
        <v>0</v>
      </c>
      <c r="CQ33" s="373">
        <v>2</v>
      </c>
      <c r="CR33" s="373">
        <v>1</v>
      </c>
      <c r="CS33" s="373">
        <v>1</v>
      </c>
      <c r="CT33" s="373">
        <v>1</v>
      </c>
      <c r="CU33" s="373">
        <v>1</v>
      </c>
      <c r="CV33" s="25">
        <f t="shared" si="9"/>
        <v>0</v>
      </c>
      <c r="CW33" s="25">
        <f t="shared" si="10"/>
        <v>0</v>
      </c>
      <c r="CX33" s="25">
        <f t="shared" si="11"/>
        <v>0</v>
      </c>
      <c r="CY33" s="25">
        <f t="shared" si="12"/>
        <v>3</v>
      </c>
      <c r="CZ33" s="25">
        <f t="shared" si="13"/>
        <v>3</v>
      </c>
      <c r="DA33" s="374">
        <v>0</v>
      </c>
      <c r="DB33" s="374">
        <v>0</v>
      </c>
      <c r="DC33" s="374">
        <v>0</v>
      </c>
      <c r="DD33" s="374">
        <v>0</v>
      </c>
      <c r="DE33" s="374">
        <v>0</v>
      </c>
      <c r="DF33" s="374">
        <v>0</v>
      </c>
      <c r="DG33" s="374">
        <v>0</v>
      </c>
      <c r="DH33" s="374">
        <v>0</v>
      </c>
      <c r="DI33" s="374">
        <v>0</v>
      </c>
      <c r="DJ33" s="374">
        <v>0</v>
      </c>
      <c r="DK33" s="374">
        <v>0</v>
      </c>
      <c r="DL33" s="374">
        <v>0</v>
      </c>
      <c r="DM33" s="374">
        <v>1</v>
      </c>
      <c r="DN33" s="374">
        <v>0</v>
      </c>
      <c r="DO33" s="374">
        <v>0</v>
      </c>
      <c r="DP33" s="374">
        <v>2</v>
      </c>
      <c r="DQ33" s="374">
        <v>0</v>
      </c>
      <c r="DR33" s="374">
        <v>4</v>
      </c>
      <c r="DS33" s="89">
        <f t="shared" si="19"/>
        <v>0</v>
      </c>
      <c r="DT33" s="89">
        <f t="shared" si="20"/>
        <v>0</v>
      </c>
      <c r="DU33" s="89">
        <f t="shared" si="21"/>
        <v>0</v>
      </c>
      <c r="DV33" s="89">
        <f t="shared" si="22"/>
        <v>1</v>
      </c>
      <c r="DW33" s="89">
        <f t="shared" si="23"/>
        <v>6</v>
      </c>
      <c r="DX33" s="375">
        <v>69</v>
      </c>
      <c r="DY33" s="375">
        <v>40</v>
      </c>
      <c r="DZ33" s="375">
        <v>28</v>
      </c>
      <c r="EA33" s="375">
        <v>72</v>
      </c>
      <c r="EB33" s="384">
        <v>83.7</v>
      </c>
      <c r="EC33" s="384">
        <v>50.4</v>
      </c>
    </row>
    <row r="34" spans="1:133" ht="12.95" customHeight="1">
      <c r="A34" s="12">
        <v>31</v>
      </c>
      <c r="B34" s="3" t="s">
        <v>93</v>
      </c>
      <c r="C34" s="3" t="s">
        <v>94</v>
      </c>
      <c r="D34" s="4">
        <f t="shared" si="0"/>
        <v>16</v>
      </c>
      <c r="E34" s="4">
        <f t="shared" si="1"/>
        <v>3</v>
      </c>
      <c r="F34" s="302">
        <v>0</v>
      </c>
      <c r="G34" s="366">
        <v>0</v>
      </c>
      <c r="H34" s="366">
        <v>2</v>
      </c>
      <c r="I34" s="366">
        <v>10</v>
      </c>
      <c r="J34" s="366">
        <v>2</v>
      </c>
      <c r="K34" s="366">
        <v>2</v>
      </c>
      <c r="L34" s="367">
        <v>15</v>
      </c>
      <c r="M34" s="367">
        <v>0</v>
      </c>
      <c r="N34" s="367">
        <v>1</v>
      </c>
      <c r="O34" s="367">
        <v>0</v>
      </c>
      <c r="P34" s="367">
        <v>0</v>
      </c>
      <c r="Q34" s="368">
        <v>1</v>
      </c>
      <c r="R34" s="368">
        <v>0</v>
      </c>
      <c r="S34" s="368">
        <v>0</v>
      </c>
      <c r="T34" s="368">
        <v>0</v>
      </c>
      <c r="U34" s="368">
        <v>1</v>
      </c>
      <c r="V34" s="368">
        <v>0</v>
      </c>
      <c r="W34" s="368">
        <v>0</v>
      </c>
      <c r="X34" s="368">
        <v>0</v>
      </c>
      <c r="Y34" s="368">
        <v>0</v>
      </c>
      <c r="Z34" s="368">
        <v>0</v>
      </c>
      <c r="AA34" s="368">
        <v>1</v>
      </c>
      <c r="AB34" s="368">
        <v>1</v>
      </c>
      <c r="AC34" s="368">
        <v>3</v>
      </c>
      <c r="AD34" s="368">
        <v>4</v>
      </c>
      <c r="AE34" s="368">
        <v>0</v>
      </c>
      <c r="AF34" s="368">
        <v>3</v>
      </c>
      <c r="AG34" s="368">
        <v>2</v>
      </c>
      <c r="AH34" s="368">
        <v>0</v>
      </c>
      <c r="AI34" s="24">
        <f t="shared" si="2"/>
        <v>1</v>
      </c>
      <c r="AJ34" s="24">
        <f t="shared" si="3"/>
        <v>1</v>
      </c>
      <c r="AK34" s="24">
        <f t="shared" si="4"/>
        <v>1</v>
      </c>
      <c r="AL34" s="24">
        <f t="shared" si="5"/>
        <v>8</v>
      </c>
      <c r="AM34" s="24">
        <f t="shared" si="6"/>
        <v>5</v>
      </c>
      <c r="AN34" s="369">
        <v>0</v>
      </c>
      <c r="AO34" s="369">
        <v>0</v>
      </c>
      <c r="AP34" s="369">
        <v>0</v>
      </c>
      <c r="AQ34" s="369">
        <v>0</v>
      </c>
      <c r="AR34" s="369">
        <v>0</v>
      </c>
      <c r="AS34" s="369">
        <v>0</v>
      </c>
      <c r="AT34" s="369">
        <v>0</v>
      </c>
      <c r="AU34" s="369">
        <v>0</v>
      </c>
      <c r="AV34" s="369">
        <v>0</v>
      </c>
      <c r="AW34" s="369">
        <v>0</v>
      </c>
      <c r="AX34" s="369">
        <v>0</v>
      </c>
      <c r="AY34" s="369">
        <v>2</v>
      </c>
      <c r="AZ34" s="369">
        <v>0</v>
      </c>
      <c r="BA34" s="369">
        <v>1</v>
      </c>
      <c r="BB34" s="369">
        <v>0</v>
      </c>
      <c r="BC34" s="369">
        <v>0</v>
      </c>
      <c r="BD34" s="369">
        <v>0</v>
      </c>
      <c r="BE34" s="369">
        <v>0</v>
      </c>
      <c r="BF34" s="88">
        <f t="shared" si="14"/>
        <v>0</v>
      </c>
      <c r="BG34" s="88">
        <f t="shared" si="15"/>
        <v>0</v>
      </c>
      <c r="BH34" s="88">
        <f t="shared" si="16"/>
        <v>0</v>
      </c>
      <c r="BI34" s="88">
        <f t="shared" si="17"/>
        <v>3</v>
      </c>
      <c r="BJ34" s="88">
        <f t="shared" si="18"/>
        <v>0</v>
      </c>
      <c r="BK34" s="370">
        <v>85</v>
      </c>
      <c r="BL34" s="370">
        <v>56</v>
      </c>
      <c r="BM34" s="370">
        <v>36</v>
      </c>
      <c r="BN34" s="370">
        <v>99</v>
      </c>
      <c r="BO34" s="381" t="s">
        <v>528</v>
      </c>
      <c r="BP34" s="381" t="s">
        <v>541</v>
      </c>
      <c r="BQ34" s="5">
        <f t="shared" si="7"/>
        <v>16</v>
      </c>
      <c r="BR34" s="5">
        <f t="shared" si="8"/>
        <v>8</v>
      </c>
      <c r="BS34" s="299">
        <v>0</v>
      </c>
      <c r="BT34" s="371">
        <v>1</v>
      </c>
      <c r="BU34" s="371">
        <v>8</v>
      </c>
      <c r="BV34" s="371">
        <v>5</v>
      </c>
      <c r="BW34" s="371">
        <v>1</v>
      </c>
      <c r="BX34" s="371">
        <v>1</v>
      </c>
      <c r="BY34" s="372">
        <v>11</v>
      </c>
      <c r="BZ34" s="372">
        <v>0</v>
      </c>
      <c r="CA34" s="372">
        <v>5</v>
      </c>
      <c r="CB34" s="372">
        <v>0</v>
      </c>
      <c r="CC34" s="372">
        <v>1</v>
      </c>
      <c r="CD34" s="373">
        <v>0</v>
      </c>
      <c r="CE34" s="373">
        <v>0</v>
      </c>
      <c r="CF34" s="373">
        <v>0</v>
      </c>
      <c r="CG34" s="373">
        <v>0</v>
      </c>
      <c r="CH34" s="373">
        <v>0</v>
      </c>
      <c r="CI34" s="373">
        <v>0</v>
      </c>
      <c r="CJ34" s="373">
        <v>0</v>
      </c>
      <c r="CK34" s="373">
        <v>0</v>
      </c>
      <c r="CL34" s="373">
        <v>1</v>
      </c>
      <c r="CM34" s="373">
        <v>0</v>
      </c>
      <c r="CN34" s="373">
        <v>1</v>
      </c>
      <c r="CO34" s="373">
        <v>3</v>
      </c>
      <c r="CP34" s="373">
        <v>3</v>
      </c>
      <c r="CQ34" s="373">
        <v>2</v>
      </c>
      <c r="CR34" s="373">
        <v>3</v>
      </c>
      <c r="CS34" s="373">
        <v>0</v>
      </c>
      <c r="CT34" s="373">
        <v>1</v>
      </c>
      <c r="CU34" s="373">
        <v>2</v>
      </c>
      <c r="CV34" s="25">
        <f t="shared" si="9"/>
        <v>0</v>
      </c>
      <c r="CW34" s="25">
        <f t="shared" si="10"/>
        <v>0</v>
      </c>
      <c r="CX34" s="25">
        <f t="shared" si="11"/>
        <v>2</v>
      </c>
      <c r="CY34" s="25">
        <f t="shared" si="12"/>
        <v>11</v>
      </c>
      <c r="CZ34" s="25">
        <f t="shared" si="13"/>
        <v>3</v>
      </c>
      <c r="DA34" s="374">
        <v>0</v>
      </c>
      <c r="DB34" s="374">
        <v>0</v>
      </c>
      <c r="DC34" s="374">
        <v>0</v>
      </c>
      <c r="DD34" s="374">
        <v>0</v>
      </c>
      <c r="DE34" s="374">
        <v>0</v>
      </c>
      <c r="DF34" s="374">
        <v>0</v>
      </c>
      <c r="DG34" s="374">
        <v>0</v>
      </c>
      <c r="DH34" s="374">
        <v>1</v>
      </c>
      <c r="DI34" s="374">
        <v>1</v>
      </c>
      <c r="DJ34" s="374">
        <v>0</v>
      </c>
      <c r="DK34" s="374">
        <v>0</v>
      </c>
      <c r="DL34" s="374">
        <v>0</v>
      </c>
      <c r="DM34" s="374">
        <v>1</v>
      </c>
      <c r="DN34" s="374">
        <v>0</v>
      </c>
      <c r="DO34" s="374">
        <v>2</v>
      </c>
      <c r="DP34" s="374">
        <v>2</v>
      </c>
      <c r="DQ34" s="374">
        <v>0</v>
      </c>
      <c r="DR34" s="374">
        <v>1</v>
      </c>
      <c r="DS34" s="89">
        <f t="shared" si="19"/>
        <v>0</v>
      </c>
      <c r="DT34" s="89">
        <f t="shared" si="20"/>
        <v>0</v>
      </c>
      <c r="DU34" s="89">
        <f t="shared" si="21"/>
        <v>2</v>
      </c>
      <c r="DV34" s="89">
        <f t="shared" si="22"/>
        <v>3</v>
      </c>
      <c r="DW34" s="89">
        <f t="shared" si="23"/>
        <v>3</v>
      </c>
      <c r="DX34" s="375">
        <v>154</v>
      </c>
      <c r="DY34" s="375">
        <v>115</v>
      </c>
      <c r="DZ34" s="375">
        <v>63</v>
      </c>
      <c r="EA34" s="375">
        <v>165</v>
      </c>
      <c r="EB34" s="384">
        <v>100</v>
      </c>
      <c r="EC34" s="384">
        <v>79.5</v>
      </c>
    </row>
    <row r="35" spans="1:133" ht="12.95" customHeight="1">
      <c r="A35" s="2">
        <v>32</v>
      </c>
      <c r="B35" s="3" t="s">
        <v>95</v>
      </c>
      <c r="C35" s="3" t="s">
        <v>96</v>
      </c>
      <c r="D35" s="4">
        <f t="shared" si="0"/>
        <v>146</v>
      </c>
      <c r="E35" s="4">
        <f t="shared" si="1"/>
        <v>118</v>
      </c>
      <c r="F35" s="302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146</v>
      </c>
      <c r="L35" s="367">
        <v>103</v>
      </c>
      <c r="M35" s="367">
        <v>0</v>
      </c>
      <c r="N35" s="367">
        <v>12</v>
      </c>
      <c r="O35" s="367">
        <v>26</v>
      </c>
      <c r="P35" s="367">
        <v>5</v>
      </c>
      <c r="Q35" s="368">
        <v>1</v>
      </c>
      <c r="R35" s="368">
        <v>0</v>
      </c>
      <c r="S35" s="368">
        <v>1</v>
      </c>
      <c r="T35" s="368">
        <v>3</v>
      </c>
      <c r="U35" s="368">
        <v>4</v>
      </c>
      <c r="V35" s="368">
        <v>7</v>
      </c>
      <c r="W35" s="368">
        <v>7</v>
      </c>
      <c r="X35" s="368">
        <v>6</v>
      </c>
      <c r="Y35" s="368">
        <v>4</v>
      </c>
      <c r="Z35" s="368">
        <v>10</v>
      </c>
      <c r="AA35" s="368">
        <v>18</v>
      </c>
      <c r="AB35" s="368">
        <v>10</v>
      </c>
      <c r="AC35" s="368">
        <v>11</v>
      </c>
      <c r="AD35" s="368">
        <v>15</v>
      </c>
      <c r="AE35" s="368">
        <v>22</v>
      </c>
      <c r="AF35" s="368">
        <v>13</v>
      </c>
      <c r="AG35" s="368">
        <v>11</v>
      </c>
      <c r="AH35" s="368">
        <v>3</v>
      </c>
      <c r="AI35" s="24">
        <f t="shared" si="2"/>
        <v>2</v>
      </c>
      <c r="AJ35" s="24">
        <f t="shared" si="3"/>
        <v>14</v>
      </c>
      <c r="AK35" s="24">
        <f t="shared" si="4"/>
        <v>45</v>
      </c>
      <c r="AL35" s="24">
        <f t="shared" si="5"/>
        <v>58</v>
      </c>
      <c r="AM35" s="24">
        <f t="shared" si="6"/>
        <v>27</v>
      </c>
      <c r="AN35" s="369">
        <v>0</v>
      </c>
      <c r="AO35" s="369">
        <v>0</v>
      </c>
      <c r="AP35" s="369">
        <v>2</v>
      </c>
      <c r="AQ35" s="369">
        <v>1</v>
      </c>
      <c r="AR35" s="369">
        <v>1</v>
      </c>
      <c r="AS35" s="369">
        <v>1</v>
      </c>
      <c r="AT35" s="369">
        <v>1</v>
      </c>
      <c r="AU35" s="369">
        <v>7</v>
      </c>
      <c r="AV35" s="369">
        <v>5</v>
      </c>
      <c r="AW35" s="369">
        <v>7</v>
      </c>
      <c r="AX35" s="369">
        <v>15</v>
      </c>
      <c r="AY35" s="369">
        <v>15</v>
      </c>
      <c r="AZ35" s="369">
        <v>16</v>
      </c>
      <c r="BA35" s="369">
        <v>8</v>
      </c>
      <c r="BB35" s="369">
        <v>18</v>
      </c>
      <c r="BC35" s="369">
        <v>9</v>
      </c>
      <c r="BD35" s="369">
        <v>9</v>
      </c>
      <c r="BE35" s="369">
        <v>3</v>
      </c>
      <c r="BF35" s="88">
        <f t="shared" si="14"/>
        <v>2</v>
      </c>
      <c r="BG35" s="88">
        <f t="shared" si="15"/>
        <v>3</v>
      </c>
      <c r="BH35" s="88">
        <f t="shared" si="16"/>
        <v>35</v>
      </c>
      <c r="BI35" s="88">
        <f t="shared" si="17"/>
        <v>57</v>
      </c>
      <c r="BJ35" s="88">
        <f t="shared" si="18"/>
        <v>21</v>
      </c>
      <c r="BK35" s="370">
        <v>343</v>
      </c>
      <c r="BL35" s="370">
        <v>221</v>
      </c>
      <c r="BM35" s="370">
        <v>130</v>
      </c>
      <c r="BN35" s="370">
        <v>416</v>
      </c>
      <c r="BO35" s="381" t="s">
        <v>529</v>
      </c>
      <c r="BP35" s="381" t="s">
        <v>542</v>
      </c>
      <c r="BQ35" s="5">
        <f t="shared" si="7"/>
        <v>157</v>
      </c>
      <c r="BR35" s="5">
        <f t="shared" si="8"/>
        <v>142</v>
      </c>
      <c r="BS35" s="299">
        <v>0</v>
      </c>
      <c r="BT35" s="371">
        <v>0</v>
      </c>
      <c r="BU35" s="371">
        <v>0</v>
      </c>
      <c r="BV35" s="371">
        <v>0</v>
      </c>
      <c r="BW35" s="371">
        <v>0</v>
      </c>
      <c r="BX35" s="371">
        <v>157</v>
      </c>
      <c r="BY35" s="372">
        <v>106</v>
      </c>
      <c r="BZ35" s="372">
        <v>0</v>
      </c>
      <c r="CA35" s="372">
        <v>11</v>
      </c>
      <c r="CB35" s="372">
        <v>33</v>
      </c>
      <c r="CC35" s="372">
        <v>7</v>
      </c>
      <c r="CD35" s="373">
        <v>3</v>
      </c>
      <c r="CE35" s="373">
        <v>2</v>
      </c>
      <c r="CF35" s="373">
        <v>1</v>
      </c>
      <c r="CG35" s="373">
        <v>1</v>
      </c>
      <c r="CH35" s="373">
        <v>2</v>
      </c>
      <c r="CI35" s="373">
        <v>5</v>
      </c>
      <c r="CJ35" s="373">
        <v>4</v>
      </c>
      <c r="CK35" s="373">
        <v>2</v>
      </c>
      <c r="CL35" s="373">
        <v>3</v>
      </c>
      <c r="CM35" s="373">
        <v>6</v>
      </c>
      <c r="CN35" s="373">
        <v>14</v>
      </c>
      <c r="CO35" s="373">
        <v>15</v>
      </c>
      <c r="CP35" s="373">
        <v>13</v>
      </c>
      <c r="CQ35" s="373">
        <v>10</v>
      </c>
      <c r="CR35" s="373">
        <v>28</v>
      </c>
      <c r="CS35" s="373">
        <v>18</v>
      </c>
      <c r="CT35" s="373">
        <v>16</v>
      </c>
      <c r="CU35" s="373">
        <v>14</v>
      </c>
      <c r="CV35" s="25">
        <f t="shared" si="9"/>
        <v>6</v>
      </c>
      <c r="CW35" s="25">
        <f t="shared" si="10"/>
        <v>8</v>
      </c>
      <c r="CX35" s="25">
        <f t="shared" si="11"/>
        <v>29</v>
      </c>
      <c r="CY35" s="25">
        <f t="shared" si="12"/>
        <v>66</v>
      </c>
      <c r="CZ35" s="25">
        <f t="shared" si="13"/>
        <v>48</v>
      </c>
      <c r="DA35" s="374">
        <v>0</v>
      </c>
      <c r="DB35" s="374">
        <v>2</v>
      </c>
      <c r="DC35" s="374">
        <v>1</v>
      </c>
      <c r="DD35" s="374">
        <v>0</v>
      </c>
      <c r="DE35" s="374">
        <v>2</v>
      </c>
      <c r="DF35" s="374">
        <v>2</v>
      </c>
      <c r="DG35" s="374">
        <v>4</v>
      </c>
      <c r="DH35" s="374">
        <v>3</v>
      </c>
      <c r="DI35" s="374">
        <v>8</v>
      </c>
      <c r="DJ35" s="374">
        <v>7</v>
      </c>
      <c r="DK35" s="374">
        <v>10</v>
      </c>
      <c r="DL35" s="374">
        <v>15</v>
      </c>
      <c r="DM35" s="374">
        <v>13</v>
      </c>
      <c r="DN35" s="374">
        <v>14</v>
      </c>
      <c r="DO35" s="374">
        <v>22</v>
      </c>
      <c r="DP35" s="374">
        <v>11</v>
      </c>
      <c r="DQ35" s="374">
        <v>15</v>
      </c>
      <c r="DR35" s="374">
        <v>13</v>
      </c>
      <c r="DS35" s="89">
        <f t="shared" si="19"/>
        <v>3</v>
      </c>
      <c r="DT35" s="89">
        <f t="shared" si="20"/>
        <v>4</v>
      </c>
      <c r="DU35" s="89">
        <f t="shared" si="21"/>
        <v>32</v>
      </c>
      <c r="DV35" s="89">
        <f t="shared" si="22"/>
        <v>64</v>
      </c>
      <c r="DW35" s="89">
        <f t="shared" si="23"/>
        <v>39</v>
      </c>
      <c r="DX35" s="375">
        <v>365</v>
      </c>
      <c r="DY35" s="375">
        <v>230</v>
      </c>
      <c r="DZ35" s="375">
        <v>137</v>
      </c>
      <c r="EA35" s="375">
        <v>443</v>
      </c>
      <c r="EB35" s="384">
        <v>40.9</v>
      </c>
      <c r="EC35" s="386">
        <v>21.5</v>
      </c>
    </row>
    <row r="36" spans="1:133" ht="12.95" customHeight="1">
      <c r="A36" s="12">
        <v>33</v>
      </c>
      <c r="B36" s="3" t="s">
        <v>97</v>
      </c>
      <c r="C36" s="3" t="s">
        <v>98</v>
      </c>
      <c r="D36" s="4">
        <f t="shared" si="0"/>
        <v>57</v>
      </c>
      <c r="E36" s="4">
        <f t="shared" si="1"/>
        <v>3</v>
      </c>
      <c r="F36" s="302">
        <v>0</v>
      </c>
      <c r="G36" s="366">
        <v>25</v>
      </c>
      <c r="H36" s="366">
        <v>7</v>
      </c>
      <c r="I36" s="366">
        <v>17</v>
      </c>
      <c r="J36" s="366">
        <v>8</v>
      </c>
      <c r="K36" s="366">
        <v>0</v>
      </c>
      <c r="L36" s="367">
        <v>57</v>
      </c>
      <c r="M36" s="367">
        <v>0</v>
      </c>
      <c r="N36" s="367">
        <v>0</v>
      </c>
      <c r="O36" s="367">
        <v>0</v>
      </c>
      <c r="P36" s="367">
        <v>0</v>
      </c>
      <c r="Q36" s="368">
        <v>0</v>
      </c>
      <c r="R36" s="368">
        <v>0</v>
      </c>
      <c r="S36" s="368">
        <v>1</v>
      </c>
      <c r="T36" s="368">
        <v>1</v>
      </c>
      <c r="U36" s="368">
        <v>2</v>
      </c>
      <c r="V36" s="368">
        <v>2</v>
      </c>
      <c r="W36" s="368">
        <v>2</v>
      </c>
      <c r="X36" s="368">
        <v>3</v>
      </c>
      <c r="Y36" s="368">
        <v>7</v>
      </c>
      <c r="Z36" s="368">
        <v>6</v>
      </c>
      <c r="AA36" s="368">
        <v>11</v>
      </c>
      <c r="AB36" s="368">
        <v>6</v>
      </c>
      <c r="AC36" s="368">
        <v>5</v>
      </c>
      <c r="AD36" s="368">
        <v>4</v>
      </c>
      <c r="AE36" s="368">
        <v>6</v>
      </c>
      <c r="AF36" s="368">
        <v>1</v>
      </c>
      <c r="AG36" s="368">
        <v>0</v>
      </c>
      <c r="AH36" s="368">
        <v>0</v>
      </c>
      <c r="AI36" s="24">
        <f t="shared" si="2"/>
        <v>1</v>
      </c>
      <c r="AJ36" s="24">
        <f t="shared" si="3"/>
        <v>5</v>
      </c>
      <c r="AK36" s="24">
        <f t="shared" si="4"/>
        <v>29</v>
      </c>
      <c r="AL36" s="24">
        <f t="shared" si="5"/>
        <v>21</v>
      </c>
      <c r="AM36" s="24">
        <f t="shared" si="6"/>
        <v>1</v>
      </c>
      <c r="AN36" s="369">
        <v>0</v>
      </c>
      <c r="AO36" s="369">
        <v>0</v>
      </c>
      <c r="AP36" s="369">
        <v>0</v>
      </c>
      <c r="AQ36" s="369">
        <v>0</v>
      </c>
      <c r="AR36" s="369">
        <v>0</v>
      </c>
      <c r="AS36" s="369">
        <v>0</v>
      </c>
      <c r="AT36" s="369">
        <v>0</v>
      </c>
      <c r="AU36" s="369">
        <v>0</v>
      </c>
      <c r="AV36" s="369">
        <v>1</v>
      </c>
      <c r="AW36" s="369">
        <v>0</v>
      </c>
      <c r="AX36" s="369">
        <v>1</v>
      </c>
      <c r="AY36" s="369">
        <v>0</v>
      </c>
      <c r="AZ36" s="369">
        <v>0</v>
      </c>
      <c r="BA36" s="369">
        <v>0</v>
      </c>
      <c r="BB36" s="369">
        <v>1</v>
      </c>
      <c r="BC36" s="369">
        <v>0</v>
      </c>
      <c r="BD36" s="369">
        <v>0</v>
      </c>
      <c r="BE36" s="369">
        <v>0</v>
      </c>
      <c r="BF36" s="88">
        <f t="shared" si="14"/>
        <v>0</v>
      </c>
      <c r="BG36" s="88">
        <f t="shared" si="15"/>
        <v>0</v>
      </c>
      <c r="BH36" s="88">
        <f t="shared" si="16"/>
        <v>2</v>
      </c>
      <c r="BI36" s="88">
        <f t="shared" si="17"/>
        <v>1</v>
      </c>
      <c r="BJ36" s="88">
        <f t="shared" si="18"/>
        <v>0</v>
      </c>
      <c r="BK36" s="370">
        <v>473</v>
      </c>
      <c r="BL36" s="370">
        <v>294</v>
      </c>
      <c r="BM36" s="370">
        <v>139</v>
      </c>
      <c r="BN36" s="370">
        <v>522</v>
      </c>
      <c r="BO36" s="381" t="s">
        <v>530</v>
      </c>
      <c r="BP36" s="381" t="s">
        <v>543</v>
      </c>
      <c r="BQ36" s="5">
        <f t="shared" si="7"/>
        <v>295</v>
      </c>
      <c r="BR36" s="5">
        <f t="shared" si="8"/>
        <v>15</v>
      </c>
      <c r="BS36" s="299">
        <v>0</v>
      </c>
      <c r="BT36" s="371">
        <v>166</v>
      </c>
      <c r="BU36" s="371">
        <v>20</v>
      </c>
      <c r="BV36" s="371">
        <v>79</v>
      </c>
      <c r="BW36" s="371">
        <v>25</v>
      </c>
      <c r="BX36" s="371">
        <v>5</v>
      </c>
      <c r="BY36" s="372">
        <v>284</v>
      </c>
      <c r="BZ36" s="372">
        <v>5</v>
      </c>
      <c r="CA36" s="372">
        <v>1</v>
      </c>
      <c r="CB36" s="372">
        <v>4</v>
      </c>
      <c r="CC36" s="372">
        <v>1</v>
      </c>
      <c r="CD36" s="373">
        <v>0</v>
      </c>
      <c r="CE36" s="373">
        <v>0</v>
      </c>
      <c r="CF36" s="373">
        <v>0</v>
      </c>
      <c r="CG36" s="373">
        <v>1</v>
      </c>
      <c r="CH36" s="373">
        <v>6</v>
      </c>
      <c r="CI36" s="373">
        <v>7</v>
      </c>
      <c r="CJ36" s="373">
        <v>23</v>
      </c>
      <c r="CK36" s="373">
        <v>18</v>
      </c>
      <c r="CL36" s="373">
        <v>21</v>
      </c>
      <c r="CM36" s="373">
        <v>33</v>
      </c>
      <c r="CN36" s="373">
        <v>27</v>
      </c>
      <c r="CO36" s="373">
        <v>36</v>
      </c>
      <c r="CP36" s="373">
        <v>37</v>
      </c>
      <c r="CQ36" s="373">
        <v>37</v>
      </c>
      <c r="CR36" s="373">
        <v>30</v>
      </c>
      <c r="CS36" s="373">
        <v>8</v>
      </c>
      <c r="CT36" s="373">
        <v>5</v>
      </c>
      <c r="CU36" s="373">
        <v>6</v>
      </c>
      <c r="CV36" s="25">
        <f t="shared" si="9"/>
        <v>0</v>
      </c>
      <c r="CW36" s="25">
        <f t="shared" si="10"/>
        <v>14</v>
      </c>
      <c r="CX36" s="25">
        <f t="shared" si="11"/>
        <v>122</v>
      </c>
      <c r="CY36" s="25">
        <f t="shared" si="12"/>
        <v>140</v>
      </c>
      <c r="CZ36" s="25">
        <f t="shared" si="13"/>
        <v>19</v>
      </c>
      <c r="DA36" s="374">
        <v>0</v>
      </c>
      <c r="DB36" s="374">
        <v>0</v>
      </c>
      <c r="DC36" s="374">
        <v>0</v>
      </c>
      <c r="DD36" s="374">
        <v>0</v>
      </c>
      <c r="DE36" s="374">
        <v>0</v>
      </c>
      <c r="DF36" s="374">
        <v>0</v>
      </c>
      <c r="DG36" s="374">
        <v>0</v>
      </c>
      <c r="DH36" s="374">
        <v>0</v>
      </c>
      <c r="DI36" s="374">
        <v>0</v>
      </c>
      <c r="DJ36" s="374">
        <v>0</v>
      </c>
      <c r="DK36" s="374">
        <v>1</v>
      </c>
      <c r="DL36" s="374">
        <v>0</v>
      </c>
      <c r="DM36" s="374">
        <v>1</v>
      </c>
      <c r="DN36" s="374">
        <v>0</v>
      </c>
      <c r="DO36" s="374">
        <v>4</v>
      </c>
      <c r="DP36" s="374">
        <v>5</v>
      </c>
      <c r="DQ36" s="374">
        <v>1</v>
      </c>
      <c r="DR36" s="374">
        <v>3</v>
      </c>
      <c r="DS36" s="89">
        <f t="shared" si="19"/>
        <v>0</v>
      </c>
      <c r="DT36" s="89">
        <f t="shared" si="20"/>
        <v>0</v>
      </c>
      <c r="DU36" s="89">
        <f t="shared" si="21"/>
        <v>1</v>
      </c>
      <c r="DV36" s="89">
        <f t="shared" si="22"/>
        <v>5</v>
      </c>
      <c r="DW36" s="89">
        <f t="shared" si="23"/>
        <v>9</v>
      </c>
      <c r="DX36" s="375">
        <v>3516</v>
      </c>
      <c r="DY36" s="375">
        <v>2463</v>
      </c>
      <c r="DZ36" s="375">
        <v>1258</v>
      </c>
      <c r="EA36" s="375">
        <v>3770</v>
      </c>
      <c r="EB36" s="384">
        <v>98.8</v>
      </c>
      <c r="EC36" s="386">
        <v>97.3</v>
      </c>
    </row>
    <row r="37" spans="1:133" ht="12.95" customHeight="1">
      <c r="A37" s="2">
        <v>34</v>
      </c>
      <c r="B37" s="3" t="s">
        <v>99</v>
      </c>
      <c r="C37" s="3" t="s">
        <v>100</v>
      </c>
      <c r="D37" s="4">
        <f t="shared" si="0"/>
        <v>12</v>
      </c>
      <c r="E37" s="4">
        <f t="shared" si="1"/>
        <v>12</v>
      </c>
      <c r="F37" s="302">
        <v>0</v>
      </c>
      <c r="G37" s="366">
        <v>0</v>
      </c>
      <c r="H37" s="366">
        <v>0</v>
      </c>
      <c r="I37" s="366">
        <v>2</v>
      </c>
      <c r="J37" s="366">
        <v>3</v>
      </c>
      <c r="K37" s="366">
        <v>7</v>
      </c>
      <c r="L37" s="367">
        <v>7</v>
      </c>
      <c r="M37" s="367">
        <v>0</v>
      </c>
      <c r="N37" s="367">
        <v>2</v>
      </c>
      <c r="O37" s="367">
        <v>3</v>
      </c>
      <c r="P37" s="367">
        <v>0</v>
      </c>
      <c r="Q37" s="368">
        <v>0</v>
      </c>
      <c r="R37" s="368">
        <v>0</v>
      </c>
      <c r="S37" s="368">
        <v>0</v>
      </c>
      <c r="T37" s="368">
        <v>2</v>
      </c>
      <c r="U37" s="368">
        <v>0</v>
      </c>
      <c r="V37" s="368">
        <v>0</v>
      </c>
      <c r="W37" s="368">
        <v>0</v>
      </c>
      <c r="X37" s="368">
        <v>0</v>
      </c>
      <c r="Y37" s="368">
        <v>0</v>
      </c>
      <c r="Z37" s="368">
        <v>2</v>
      </c>
      <c r="AA37" s="368">
        <v>1</v>
      </c>
      <c r="AB37" s="368">
        <v>1</v>
      </c>
      <c r="AC37" s="368">
        <v>1</v>
      </c>
      <c r="AD37" s="368">
        <v>1</v>
      </c>
      <c r="AE37" s="368">
        <v>3</v>
      </c>
      <c r="AF37" s="368">
        <v>1</v>
      </c>
      <c r="AG37" s="368">
        <v>0</v>
      </c>
      <c r="AH37" s="368">
        <v>0</v>
      </c>
      <c r="AI37" s="24">
        <f t="shared" si="2"/>
        <v>0</v>
      </c>
      <c r="AJ37" s="24">
        <f t="shared" si="3"/>
        <v>2</v>
      </c>
      <c r="AK37" s="24">
        <f t="shared" si="4"/>
        <v>3</v>
      </c>
      <c r="AL37" s="24">
        <f t="shared" si="5"/>
        <v>6</v>
      </c>
      <c r="AM37" s="24">
        <f t="shared" si="6"/>
        <v>1</v>
      </c>
      <c r="AN37" s="369">
        <v>0</v>
      </c>
      <c r="AO37" s="369">
        <v>0</v>
      </c>
      <c r="AP37" s="369">
        <v>0</v>
      </c>
      <c r="AQ37" s="369">
        <v>0</v>
      </c>
      <c r="AR37" s="369">
        <v>0</v>
      </c>
      <c r="AS37" s="369">
        <v>0</v>
      </c>
      <c r="AT37" s="369">
        <v>0</v>
      </c>
      <c r="AU37" s="369">
        <v>0</v>
      </c>
      <c r="AV37" s="369">
        <v>0</v>
      </c>
      <c r="AW37" s="369">
        <v>1</v>
      </c>
      <c r="AX37" s="369">
        <v>2</v>
      </c>
      <c r="AY37" s="369">
        <v>1</v>
      </c>
      <c r="AZ37" s="369">
        <v>2</v>
      </c>
      <c r="BA37" s="369">
        <v>1</v>
      </c>
      <c r="BB37" s="369">
        <v>4</v>
      </c>
      <c r="BC37" s="369">
        <v>1</v>
      </c>
      <c r="BD37" s="369">
        <v>0</v>
      </c>
      <c r="BE37" s="369">
        <v>0</v>
      </c>
      <c r="BF37" s="88">
        <f t="shared" si="14"/>
        <v>0</v>
      </c>
      <c r="BG37" s="88">
        <f t="shared" si="15"/>
        <v>0</v>
      </c>
      <c r="BH37" s="88">
        <f t="shared" si="16"/>
        <v>3</v>
      </c>
      <c r="BI37" s="88">
        <f t="shared" si="17"/>
        <v>8</v>
      </c>
      <c r="BJ37" s="88">
        <f t="shared" si="18"/>
        <v>1</v>
      </c>
      <c r="BK37" s="370">
        <v>31</v>
      </c>
      <c r="BL37" s="370">
        <v>21</v>
      </c>
      <c r="BM37" s="370">
        <v>10</v>
      </c>
      <c r="BN37" s="370">
        <v>35</v>
      </c>
      <c r="BO37" s="381" t="s">
        <v>531</v>
      </c>
      <c r="BP37" s="381" t="s">
        <v>544</v>
      </c>
      <c r="BQ37" s="5">
        <f t="shared" si="7"/>
        <v>13</v>
      </c>
      <c r="BR37" s="5">
        <f t="shared" si="8"/>
        <v>5</v>
      </c>
      <c r="BS37" s="299">
        <v>0</v>
      </c>
      <c r="BT37" s="371">
        <v>2</v>
      </c>
      <c r="BU37" s="371">
        <v>1</v>
      </c>
      <c r="BV37" s="371">
        <v>2</v>
      </c>
      <c r="BW37" s="371">
        <v>3</v>
      </c>
      <c r="BX37" s="371">
        <v>5</v>
      </c>
      <c r="BY37" s="372">
        <v>10</v>
      </c>
      <c r="BZ37" s="372">
        <v>0</v>
      </c>
      <c r="CA37" s="372">
        <v>2</v>
      </c>
      <c r="CB37" s="372">
        <v>1</v>
      </c>
      <c r="CC37" s="372">
        <v>0</v>
      </c>
      <c r="CD37" s="373">
        <v>1</v>
      </c>
      <c r="CE37" s="373">
        <v>0</v>
      </c>
      <c r="CF37" s="373">
        <v>0</v>
      </c>
      <c r="CG37" s="373">
        <v>0</v>
      </c>
      <c r="CH37" s="373">
        <v>0</v>
      </c>
      <c r="CI37" s="373">
        <v>0</v>
      </c>
      <c r="CJ37" s="373">
        <v>0</v>
      </c>
      <c r="CK37" s="373">
        <v>0</v>
      </c>
      <c r="CL37" s="373">
        <v>0</v>
      </c>
      <c r="CM37" s="373">
        <v>0</v>
      </c>
      <c r="CN37" s="373">
        <v>1</v>
      </c>
      <c r="CO37" s="373">
        <v>0</v>
      </c>
      <c r="CP37" s="373">
        <v>0</v>
      </c>
      <c r="CQ37" s="373">
        <v>3</v>
      </c>
      <c r="CR37" s="373">
        <v>5</v>
      </c>
      <c r="CS37" s="373">
        <v>2</v>
      </c>
      <c r="CT37" s="373">
        <v>0</v>
      </c>
      <c r="CU37" s="373">
        <v>1</v>
      </c>
      <c r="CV37" s="25">
        <f t="shared" si="9"/>
        <v>1</v>
      </c>
      <c r="CW37" s="25">
        <f t="shared" si="10"/>
        <v>0</v>
      </c>
      <c r="CX37" s="25">
        <f t="shared" si="11"/>
        <v>1</v>
      </c>
      <c r="CY37" s="25">
        <f t="shared" si="12"/>
        <v>8</v>
      </c>
      <c r="CZ37" s="25">
        <f t="shared" si="13"/>
        <v>3</v>
      </c>
      <c r="DA37" s="374">
        <v>0</v>
      </c>
      <c r="DB37" s="374">
        <v>0</v>
      </c>
      <c r="DC37" s="374">
        <v>0</v>
      </c>
      <c r="DD37" s="374">
        <v>1</v>
      </c>
      <c r="DE37" s="374">
        <v>0</v>
      </c>
      <c r="DF37" s="374">
        <v>0</v>
      </c>
      <c r="DG37" s="374">
        <v>0</v>
      </c>
      <c r="DH37" s="374">
        <v>0</v>
      </c>
      <c r="DI37" s="374">
        <v>0</v>
      </c>
      <c r="DJ37" s="374">
        <v>0</v>
      </c>
      <c r="DK37" s="374">
        <v>0</v>
      </c>
      <c r="DL37" s="374">
        <v>0</v>
      </c>
      <c r="DM37" s="374">
        <v>0</v>
      </c>
      <c r="DN37" s="374">
        <v>0</v>
      </c>
      <c r="DO37" s="374">
        <v>2</v>
      </c>
      <c r="DP37" s="374">
        <v>1</v>
      </c>
      <c r="DQ37" s="374">
        <v>0</v>
      </c>
      <c r="DR37" s="374">
        <v>1</v>
      </c>
      <c r="DS37" s="89">
        <f t="shared" si="19"/>
        <v>0</v>
      </c>
      <c r="DT37" s="89">
        <f t="shared" si="20"/>
        <v>1</v>
      </c>
      <c r="DU37" s="89">
        <f t="shared" si="21"/>
        <v>0</v>
      </c>
      <c r="DV37" s="89">
        <f t="shared" si="22"/>
        <v>2</v>
      </c>
      <c r="DW37" s="89">
        <f t="shared" si="23"/>
        <v>2</v>
      </c>
      <c r="DX37" s="375">
        <v>71</v>
      </c>
      <c r="DY37" s="375">
        <v>51</v>
      </c>
      <c r="DZ37" s="375">
        <v>30</v>
      </c>
      <c r="EA37" s="375">
        <v>78</v>
      </c>
      <c r="EB37" s="384">
        <v>74.3</v>
      </c>
      <c r="EC37" s="386">
        <v>87.1</v>
      </c>
    </row>
    <row r="38" spans="1:133" ht="12.95" customHeight="1">
      <c r="A38" s="12">
        <v>35</v>
      </c>
      <c r="B38" s="3" t="s">
        <v>101</v>
      </c>
      <c r="C38" s="3" t="s">
        <v>102</v>
      </c>
      <c r="D38" s="4">
        <f t="shared" si="0"/>
        <v>226</v>
      </c>
      <c r="E38" s="4">
        <f t="shared" si="1"/>
        <v>190</v>
      </c>
      <c r="F38" s="302">
        <v>0</v>
      </c>
      <c r="G38" s="366">
        <v>0</v>
      </c>
      <c r="H38" s="366">
        <v>0</v>
      </c>
      <c r="I38" s="366">
        <v>4</v>
      </c>
      <c r="J38" s="366">
        <v>136</v>
      </c>
      <c r="K38" s="366">
        <v>86</v>
      </c>
      <c r="L38" s="367">
        <v>88</v>
      </c>
      <c r="M38" s="367">
        <v>3</v>
      </c>
      <c r="N38" s="367">
        <v>55</v>
      </c>
      <c r="O38" s="367">
        <v>63</v>
      </c>
      <c r="P38" s="367">
        <v>17</v>
      </c>
      <c r="Q38" s="368">
        <v>0</v>
      </c>
      <c r="R38" s="368">
        <v>0</v>
      </c>
      <c r="S38" s="368">
        <v>0</v>
      </c>
      <c r="T38" s="368">
        <v>0</v>
      </c>
      <c r="U38" s="368">
        <v>0</v>
      </c>
      <c r="V38" s="368">
        <v>1</v>
      </c>
      <c r="W38" s="368">
        <v>1</v>
      </c>
      <c r="X38" s="368">
        <v>2</v>
      </c>
      <c r="Y38" s="368">
        <v>3</v>
      </c>
      <c r="Z38" s="368">
        <v>6</v>
      </c>
      <c r="AA38" s="368">
        <v>16</v>
      </c>
      <c r="AB38" s="368">
        <v>23</v>
      </c>
      <c r="AC38" s="368">
        <v>37</v>
      </c>
      <c r="AD38" s="368">
        <v>24</v>
      </c>
      <c r="AE38" s="368">
        <v>39</v>
      </c>
      <c r="AF38" s="368">
        <v>40</v>
      </c>
      <c r="AG38" s="368">
        <v>21</v>
      </c>
      <c r="AH38" s="368">
        <v>13</v>
      </c>
      <c r="AI38" s="24">
        <f t="shared" si="2"/>
        <v>0</v>
      </c>
      <c r="AJ38" s="24">
        <f t="shared" si="3"/>
        <v>1</v>
      </c>
      <c r="AK38" s="24">
        <f t="shared" si="4"/>
        <v>28</v>
      </c>
      <c r="AL38" s="24">
        <f t="shared" si="5"/>
        <v>123</v>
      </c>
      <c r="AM38" s="24">
        <f t="shared" si="6"/>
        <v>74</v>
      </c>
      <c r="AN38" s="369">
        <v>0</v>
      </c>
      <c r="AO38" s="369">
        <v>0</v>
      </c>
      <c r="AP38" s="369">
        <v>0</v>
      </c>
      <c r="AQ38" s="369">
        <v>0</v>
      </c>
      <c r="AR38" s="369">
        <v>0</v>
      </c>
      <c r="AS38" s="369">
        <v>1</v>
      </c>
      <c r="AT38" s="369">
        <v>0</v>
      </c>
      <c r="AU38" s="369">
        <v>2</v>
      </c>
      <c r="AV38" s="369">
        <v>2</v>
      </c>
      <c r="AW38" s="369">
        <v>5</v>
      </c>
      <c r="AX38" s="369">
        <v>10</v>
      </c>
      <c r="AY38" s="369">
        <v>26</v>
      </c>
      <c r="AZ38" s="369">
        <v>22</v>
      </c>
      <c r="BA38" s="369">
        <v>24</v>
      </c>
      <c r="BB38" s="369">
        <v>33</v>
      </c>
      <c r="BC38" s="369">
        <v>36</v>
      </c>
      <c r="BD38" s="369">
        <v>20</v>
      </c>
      <c r="BE38" s="369">
        <v>9</v>
      </c>
      <c r="BF38" s="88">
        <f t="shared" si="14"/>
        <v>0</v>
      </c>
      <c r="BG38" s="88">
        <f t="shared" si="15"/>
        <v>1</v>
      </c>
      <c r="BH38" s="88">
        <f t="shared" si="16"/>
        <v>19</v>
      </c>
      <c r="BI38" s="88">
        <f t="shared" si="17"/>
        <v>105</v>
      </c>
      <c r="BJ38" s="88">
        <f t="shared" si="18"/>
        <v>65</v>
      </c>
      <c r="BK38" s="370">
        <v>140</v>
      </c>
      <c r="BL38" s="370">
        <v>78</v>
      </c>
      <c r="BM38" s="370">
        <v>46</v>
      </c>
      <c r="BN38" s="370">
        <v>191</v>
      </c>
      <c r="BO38" s="381" t="s">
        <v>532</v>
      </c>
      <c r="BP38" s="381" t="s">
        <v>545</v>
      </c>
      <c r="BQ38" s="5">
        <f t="shared" si="7"/>
        <v>240</v>
      </c>
      <c r="BR38" s="5">
        <f t="shared" si="8"/>
        <v>194</v>
      </c>
      <c r="BS38" s="299">
        <v>0</v>
      </c>
      <c r="BT38" s="371">
        <v>0</v>
      </c>
      <c r="BU38" s="371">
        <v>0</v>
      </c>
      <c r="BV38" s="371">
        <v>2</v>
      </c>
      <c r="BW38" s="371">
        <v>124</v>
      </c>
      <c r="BX38" s="371">
        <v>114</v>
      </c>
      <c r="BY38" s="372">
        <v>76</v>
      </c>
      <c r="BZ38" s="372">
        <v>5</v>
      </c>
      <c r="CA38" s="372">
        <v>72</v>
      </c>
      <c r="CB38" s="372">
        <v>81</v>
      </c>
      <c r="CC38" s="372">
        <v>6</v>
      </c>
      <c r="CD38" s="373">
        <v>0</v>
      </c>
      <c r="CE38" s="373">
        <v>0</v>
      </c>
      <c r="CF38" s="373">
        <v>0</v>
      </c>
      <c r="CG38" s="373">
        <v>0</v>
      </c>
      <c r="CH38" s="373">
        <v>0</v>
      </c>
      <c r="CI38" s="373">
        <v>1</v>
      </c>
      <c r="CJ38" s="373">
        <v>0</v>
      </c>
      <c r="CK38" s="373">
        <v>1</v>
      </c>
      <c r="CL38" s="373">
        <v>5</v>
      </c>
      <c r="CM38" s="373">
        <v>5</v>
      </c>
      <c r="CN38" s="373">
        <v>12</v>
      </c>
      <c r="CO38" s="373">
        <v>13</v>
      </c>
      <c r="CP38" s="373">
        <v>15</v>
      </c>
      <c r="CQ38" s="373">
        <v>25</v>
      </c>
      <c r="CR38" s="373">
        <v>32</v>
      </c>
      <c r="CS38" s="373">
        <v>37</v>
      </c>
      <c r="CT38" s="373">
        <v>44</v>
      </c>
      <c r="CU38" s="373">
        <v>50</v>
      </c>
      <c r="CV38" s="25">
        <f t="shared" si="9"/>
        <v>0</v>
      </c>
      <c r="CW38" s="25">
        <f t="shared" si="10"/>
        <v>1</v>
      </c>
      <c r="CX38" s="25">
        <f t="shared" si="11"/>
        <v>23</v>
      </c>
      <c r="CY38" s="25">
        <f t="shared" si="12"/>
        <v>85</v>
      </c>
      <c r="CZ38" s="25">
        <f t="shared" si="13"/>
        <v>131</v>
      </c>
      <c r="DA38" s="374">
        <v>0</v>
      </c>
      <c r="DB38" s="374">
        <v>0</v>
      </c>
      <c r="DC38" s="374">
        <v>0</v>
      </c>
      <c r="DD38" s="374">
        <v>0</v>
      </c>
      <c r="DE38" s="374">
        <v>0</v>
      </c>
      <c r="DF38" s="374">
        <v>1</v>
      </c>
      <c r="DG38" s="374">
        <v>0</v>
      </c>
      <c r="DH38" s="374">
        <v>2</v>
      </c>
      <c r="DI38" s="374">
        <v>3</v>
      </c>
      <c r="DJ38" s="374">
        <v>3</v>
      </c>
      <c r="DK38" s="374">
        <v>7</v>
      </c>
      <c r="DL38" s="374">
        <v>7</v>
      </c>
      <c r="DM38" s="374">
        <v>17</v>
      </c>
      <c r="DN38" s="374">
        <v>22</v>
      </c>
      <c r="DO38" s="374">
        <v>28</v>
      </c>
      <c r="DP38" s="374">
        <v>33</v>
      </c>
      <c r="DQ38" s="374">
        <v>36</v>
      </c>
      <c r="DR38" s="374">
        <v>35</v>
      </c>
      <c r="DS38" s="89">
        <f t="shared" si="19"/>
        <v>0</v>
      </c>
      <c r="DT38" s="89">
        <f t="shared" si="20"/>
        <v>1</v>
      </c>
      <c r="DU38" s="89">
        <f t="shared" si="21"/>
        <v>15</v>
      </c>
      <c r="DV38" s="89">
        <f t="shared" si="22"/>
        <v>74</v>
      </c>
      <c r="DW38" s="89">
        <f t="shared" si="23"/>
        <v>104</v>
      </c>
      <c r="DX38" s="375">
        <v>206</v>
      </c>
      <c r="DY38" s="375">
        <v>131</v>
      </c>
      <c r="DZ38" s="375">
        <v>70</v>
      </c>
      <c r="EA38" s="375">
        <v>258</v>
      </c>
      <c r="EB38" s="384">
        <v>20.399999999999999</v>
      </c>
      <c r="EC38" s="386">
        <v>97.3</v>
      </c>
    </row>
    <row r="39" spans="1:133" ht="12.95" customHeight="1">
      <c r="A39" s="2">
        <v>36</v>
      </c>
      <c r="B39" s="3" t="s">
        <v>103</v>
      </c>
      <c r="C39" s="3" t="s">
        <v>104</v>
      </c>
      <c r="D39" s="4">
        <f t="shared" si="0"/>
        <v>34</v>
      </c>
      <c r="E39" s="4">
        <f t="shared" si="1"/>
        <v>5</v>
      </c>
      <c r="F39" s="302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34</v>
      </c>
      <c r="L39" s="367">
        <v>34</v>
      </c>
      <c r="M39" s="367">
        <v>0</v>
      </c>
      <c r="N39" s="367">
        <v>0</v>
      </c>
      <c r="O39" s="367">
        <v>0</v>
      </c>
      <c r="P39" s="367">
        <v>0</v>
      </c>
      <c r="Q39" s="368">
        <v>0</v>
      </c>
      <c r="R39" s="368">
        <v>0</v>
      </c>
      <c r="S39" s="368">
        <v>3</v>
      </c>
      <c r="T39" s="368">
        <v>4</v>
      </c>
      <c r="U39" s="368">
        <v>3</v>
      </c>
      <c r="V39" s="368">
        <v>5</v>
      </c>
      <c r="W39" s="368">
        <v>3</v>
      </c>
      <c r="X39" s="368">
        <v>5</v>
      </c>
      <c r="Y39" s="368">
        <v>2</v>
      </c>
      <c r="Z39" s="368">
        <v>0</v>
      </c>
      <c r="AA39" s="368">
        <v>1</v>
      </c>
      <c r="AB39" s="368">
        <v>4</v>
      </c>
      <c r="AC39" s="368">
        <v>0</v>
      </c>
      <c r="AD39" s="368">
        <v>0</v>
      </c>
      <c r="AE39" s="368">
        <v>1</v>
      </c>
      <c r="AF39" s="368">
        <v>1</v>
      </c>
      <c r="AG39" s="368">
        <v>1</v>
      </c>
      <c r="AH39" s="368">
        <v>1</v>
      </c>
      <c r="AI39" s="24">
        <f t="shared" si="2"/>
        <v>3</v>
      </c>
      <c r="AJ39" s="24">
        <f t="shared" si="3"/>
        <v>12</v>
      </c>
      <c r="AK39" s="24">
        <f t="shared" si="4"/>
        <v>11</v>
      </c>
      <c r="AL39" s="24">
        <f t="shared" si="5"/>
        <v>5</v>
      </c>
      <c r="AM39" s="24">
        <f t="shared" si="6"/>
        <v>3</v>
      </c>
      <c r="AN39" s="369">
        <v>0</v>
      </c>
      <c r="AO39" s="369">
        <v>0</v>
      </c>
      <c r="AP39" s="369">
        <v>0</v>
      </c>
      <c r="AQ39" s="369">
        <v>1</v>
      </c>
      <c r="AR39" s="369">
        <v>0</v>
      </c>
      <c r="AS39" s="369">
        <v>0</v>
      </c>
      <c r="AT39" s="369">
        <v>0</v>
      </c>
      <c r="AU39" s="369">
        <v>0</v>
      </c>
      <c r="AV39" s="369">
        <v>1</v>
      </c>
      <c r="AW39" s="369">
        <v>0</v>
      </c>
      <c r="AX39" s="369">
        <v>0</v>
      </c>
      <c r="AY39" s="369">
        <v>0</v>
      </c>
      <c r="AZ39" s="369">
        <v>0</v>
      </c>
      <c r="BA39" s="369">
        <v>1</v>
      </c>
      <c r="BB39" s="369">
        <v>0</v>
      </c>
      <c r="BC39" s="369">
        <v>1</v>
      </c>
      <c r="BD39" s="369">
        <v>0</v>
      </c>
      <c r="BE39" s="369">
        <v>1</v>
      </c>
      <c r="BF39" s="88">
        <f t="shared" si="14"/>
        <v>0</v>
      </c>
      <c r="BG39" s="88">
        <f t="shared" si="15"/>
        <v>1</v>
      </c>
      <c r="BH39" s="88">
        <f t="shared" si="16"/>
        <v>1</v>
      </c>
      <c r="BI39" s="88">
        <f t="shared" si="17"/>
        <v>1</v>
      </c>
      <c r="BJ39" s="88">
        <f t="shared" si="18"/>
        <v>2</v>
      </c>
      <c r="BK39" s="370">
        <v>475</v>
      </c>
      <c r="BL39" s="370">
        <v>382</v>
      </c>
      <c r="BM39" s="370">
        <v>264</v>
      </c>
      <c r="BN39" s="370">
        <v>507</v>
      </c>
      <c r="BO39" s="381" t="s">
        <v>533</v>
      </c>
      <c r="BP39" s="381" t="s">
        <v>546</v>
      </c>
      <c r="BQ39" s="5">
        <f t="shared" si="7"/>
        <v>28</v>
      </c>
      <c r="BR39" s="5">
        <f t="shared" si="8"/>
        <v>1</v>
      </c>
      <c r="BS39" s="299">
        <v>0</v>
      </c>
      <c r="BT39" s="371">
        <v>0</v>
      </c>
      <c r="BU39" s="371">
        <v>0</v>
      </c>
      <c r="BV39" s="371">
        <v>0</v>
      </c>
      <c r="BW39" s="371">
        <v>0</v>
      </c>
      <c r="BX39" s="371">
        <v>28</v>
      </c>
      <c r="BY39" s="372">
        <v>27</v>
      </c>
      <c r="BZ39" s="372">
        <v>1</v>
      </c>
      <c r="CA39" s="372">
        <v>0</v>
      </c>
      <c r="CB39" s="372">
        <v>0</v>
      </c>
      <c r="CC39" s="372">
        <v>0</v>
      </c>
      <c r="CD39" s="373">
        <v>0</v>
      </c>
      <c r="CE39" s="373">
        <v>0</v>
      </c>
      <c r="CF39" s="373">
        <v>2</v>
      </c>
      <c r="CG39" s="373">
        <v>0</v>
      </c>
      <c r="CH39" s="373">
        <v>5</v>
      </c>
      <c r="CI39" s="373">
        <v>3</v>
      </c>
      <c r="CJ39" s="373">
        <v>3</v>
      </c>
      <c r="CK39" s="373">
        <v>4</v>
      </c>
      <c r="CL39" s="373">
        <v>0</v>
      </c>
      <c r="CM39" s="373">
        <v>1</v>
      </c>
      <c r="CN39" s="373">
        <v>1</v>
      </c>
      <c r="CO39" s="373">
        <v>1</v>
      </c>
      <c r="CP39" s="373">
        <v>0</v>
      </c>
      <c r="CQ39" s="373">
        <v>1</v>
      </c>
      <c r="CR39" s="373">
        <v>4</v>
      </c>
      <c r="CS39" s="373">
        <v>0</v>
      </c>
      <c r="CT39" s="373">
        <v>2</v>
      </c>
      <c r="CU39" s="373">
        <v>1</v>
      </c>
      <c r="CV39" s="25">
        <f t="shared" si="9"/>
        <v>2</v>
      </c>
      <c r="CW39" s="25">
        <f t="shared" si="10"/>
        <v>8</v>
      </c>
      <c r="CX39" s="25">
        <f t="shared" si="11"/>
        <v>9</v>
      </c>
      <c r="CY39" s="25">
        <f t="shared" si="12"/>
        <v>6</v>
      </c>
      <c r="CZ39" s="25">
        <f t="shared" si="13"/>
        <v>3</v>
      </c>
      <c r="DA39" s="374">
        <v>0</v>
      </c>
      <c r="DB39" s="374">
        <v>0</v>
      </c>
      <c r="DC39" s="374">
        <v>0</v>
      </c>
      <c r="DD39" s="374">
        <v>0</v>
      </c>
      <c r="DE39" s="374">
        <v>0</v>
      </c>
      <c r="DF39" s="374">
        <v>0</v>
      </c>
      <c r="DG39" s="374">
        <v>0</v>
      </c>
      <c r="DH39" s="374">
        <v>0</v>
      </c>
      <c r="DI39" s="374">
        <v>0</v>
      </c>
      <c r="DJ39" s="374">
        <v>0</v>
      </c>
      <c r="DK39" s="374">
        <v>1</v>
      </c>
      <c r="DL39" s="374">
        <v>0</v>
      </c>
      <c r="DM39" s="374">
        <v>0</v>
      </c>
      <c r="DN39" s="374">
        <v>0</v>
      </c>
      <c r="DO39" s="374">
        <v>0</v>
      </c>
      <c r="DP39" s="374">
        <v>0</v>
      </c>
      <c r="DQ39" s="374">
        <v>0</v>
      </c>
      <c r="DR39" s="374">
        <v>0</v>
      </c>
      <c r="DS39" s="89">
        <f t="shared" si="19"/>
        <v>0</v>
      </c>
      <c r="DT39" s="89">
        <f t="shared" si="20"/>
        <v>0</v>
      </c>
      <c r="DU39" s="89">
        <f t="shared" si="21"/>
        <v>1</v>
      </c>
      <c r="DV39" s="89">
        <f t="shared" si="22"/>
        <v>0</v>
      </c>
      <c r="DW39" s="89">
        <f t="shared" si="23"/>
        <v>0</v>
      </c>
      <c r="DX39" s="375">
        <v>643</v>
      </c>
      <c r="DY39" s="375">
        <v>519</v>
      </c>
      <c r="DZ39" s="375">
        <v>359</v>
      </c>
      <c r="EA39" s="375">
        <v>668</v>
      </c>
      <c r="EB39" s="384">
        <v>83.4</v>
      </c>
      <c r="EC39" s="386">
        <v>85.6</v>
      </c>
    </row>
    <row r="40" spans="1:133" ht="12.95" customHeight="1">
      <c r="A40" s="12">
        <v>37</v>
      </c>
      <c r="B40" s="3" t="s">
        <v>105</v>
      </c>
      <c r="C40" s="3" t="s">
        <v>106</v>
      </c>
      <c r="D40" s="4">
        <f t="shared" si="0"/>
        <v>153</v>
      </c>
      <c r="E40" s="4">
        <f t="shared" si="1"/>
        <v>57</v>
      </c>
      <c r="F40" s="302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153</v>
      </c>
      <c r="L40" s="367">
        <v>146</v>
      </c>
      <c r="M40" s="367">
        <v>1</v>
      </c>
      <c r="N40" s="367">
        <v>0</v>
      </c>
      <c r="O40" s="367">
        <v>6</v>
      </c>
      <c r="P40" s="367">
        <v>2</v>
      </c>
      <c r="Q40" s="368">
        <v>0</v>
      </c>
      <c r="R40" s="368">
        <v>2</v>
      </c>
      <c r="S40" s="368">
        <v>1</v>
      </c>
      <c r="T40" s="368">
        <v>4</v>
      </c>
      <c r="U40" s="368">
        <v>1</v>
      </c>
      <c r="V40" s="368">
        <v>0</v>
      </c>
      <c r="W40" s="368">
        <v>2</v>
      </c>
      <c r="X40" s="368">
        <v>8</v>
      </c>
      <c r="Y40" s="368">
        <v>5</v>
      </c>
      <c r="Z40" s="368">
        <v>11</v>
      </c>
      <c r="AA40" s="368">
        <v>13</v>
      </c>
      <c r="AB40" s="368">
        <v>9</v>
      </c>
      <c r="AC40" s="368">
        <v>19</v>
      </c>
      <c r="AD40" s="368">
        <v>19</v>
      </c>
      <c r="AE40" s="368">
        <v>21</v>
      </c>
      <c r="AF40" s="368">
        <v>17</v>
      </c>
      <c r="AG40" s="368">
        <v>10</v>
      </c>
      <c r="AH40" s="368">
        <v>11</v>
      </c>
      <c r="AI40" s="24">
        <f t="shared" si="2"/>
        <v>3</v>
      </c>
      <c r="AJ40" s="24">
        <f t="shared" si="3"/>
        <v>5</v>
      </c>
      <c r="AK40" s="24">
        <f t="shared" si="4"/>
        <v>39</v>
      </c>
      <c r="AL40" s="24">
        <f t="shared" si="5"/>
        <v>68</v>
      </c>
      <c r="AM40" s="24">
        <f t="shared" si="6"/>
        <v>38</v>
      </c>
      <c r="AN40" s="369">
        <v>0</v>
      </c>
      <c r="AO40" s="369">
        <v>0</v>
      </c>
      <c r="AP40" s="369">
        <v>0</v>
      </c>
      <c r="AQ40" s="369">
        <v>0</v>
      </c>
      <c r="AR40" s="369">
        <v>0</v>
      </c>
      <c r="AS40" s="369">
        <v>0</v>
      </c>
      <c r="AT40" s="369">
        <v>0</v>
      </c>
      <c r="AU40" s="369">
        <v>2</v>
      </c>
      <c r="AV40" s="369">
        <v>2</v>
      </c>
      <c r="AW40" s="369">
        <v>0</v>
      </c>
      <c r="AX40" s="369">
        <v>9</v>
      </c>
      <c r="AY40" s="369">
        <v>7</v>
      </c>
      <c r="AZ40" s="369">
        <v>6</v>
      </c>
      <c r="BA40" s="369">
        <v>5</v>
      </c>
      <c r="BB40" s="369">
        <v>11</v>
      </c>
      <c r="BC40" s="369">
        <v>7</v>
      </c>
      <c r="BD40" s="369">
        <v>4</v>
      </c>
      <c r="BE40" s="369">
        <v>4</v>
      </c>
      <c r="BF40" s="88">
        <f t="shared" si="14"/>
        <v>0</v>
      </c>
      <c r="BG40" s="88">
        <f t="shared" si="15"/>
        <v>0</v>
      </c>
      <c r="BH40" s="88">
        <f t="shared" si="16"/>
        <v>13</v>
      </c>
      <c r="BI40" s="88">
        <f t="shared" si="17"/>
        <v>29</v>
      </c>
      <c r="BJ40" s="88">
        <f t="shared" si="18"/>
        <v>15</v>
      </c>
      <c r="BK40" s="370">
        <v>755</v>
      </c>
      <c r="BL40" s="370">
        <v>446</v>
      </c>
      <c r="BM40" s="370">
        <v>219</v>
      </c>
      <c r="BN40" s="370">
        <v>858</v>
      </c>
      <c r="BO40" s="381" t="s">
        <v>534</v>
      </c>
      <c r="BP40" s="381" t="s">
        <v>547</v>
      </c>
      <c r="BQ40" s="5">
        <f t="shared" si="7"/>
        <v>190</v>
      </c>
      <c r="BR40" s="5">
        <f t="shared" si="8"/>
        <v>80</v>
      </c>
      <c r="BS40" s="299">
        <v>0</v>
      </c>
      <c r="BT40" s="371">
        <v>0</v>
      </c>
      <c r="BU40" s="371">
        <v>0</v>
      </c>
      <c r="BV40" s="371">
        <v>0</v>
      </c>
      <c r="BW40" s="371">
        <v>0</v>
      </c>
      <c r="BX40" s="371">
        <v>190</v>
      </c>
      <c r="BY40" s="372">
        <v>176</v>
      </c>
      <c r="BZ40" s="372">
        <v>3</v>
      </c>
      <c r="CA40" s="372">
        <v>1</v>
      </c>
      <c r="CB40" s="372">
        <v>10</v>
      </c>
      <c r="CC40" s="372">
        <v>0</v>
      </c>
      <c r="CD40" s="373">
        <v>0</v>
      </c>
      <c r="CE40" s="373">
        <v>0</v>
      </c>
      <c r="CF40" s="373">
        <v>0</v>
      </c>
      <c r="CG40" s="373">
        <v>2</v>
      </c>
      <c r="CH40" s="373">
        <v>0</v>
      </c>
      <c r="CI40" s="373">
        <v>5</v>
      </c>
      <c r="CJ40" s="373">
        <v>3</v>
      </c>
      <c r="CK40" s="373">
        <v>6</v>
      </c>
      <c r="CL40" s="373">
        <v>10</v>
      </c>
      <c r="CM40" s="373">
        <v>9</v>
      </c>
      <c r="CN40" s="373">
        <v>6</v>
      </c>
      <c r="CO40" s="373">
        <v>13</v>
      </c>
      <c r="CP40" s="373">
        <v>17</v>
      </c>
      <c r="CQ40" s="373">
        <v>23</v>
      </c>
      <c r="CR40" s="373">
        <v>24</v>
      </c>
      <c r="CS40" s="373">
        <v>28</v>
      </c>
      <c r="CT40" s="373">
        <v>21</v>
      </c>
      <c r="CU40" s="373">
        <v>23</v>
      </c>
      <c r="CV40" s="25">
        <f t="shared" si="9"/>
        <v>0</v>
      </c>
      <c r="CW40" s="25">
        <f t="shared" si="10"/>
        <v>7</v>
      </c>
      <c r="CX40" s="25">
        <f t="shared" si="11"/>
        <v>34</v>
      </c>
      <c r="CY40" s="25">
        <f t="shared" si="12"/>
        <v>77</v>
      </c>
      <c r="CZ40" s="25">
        <f t="shared" si="13"/>
        <v>72</v>
      </c>
      <c r="DA40" s="374">
        <v>0</v>
      </c>
      <c r="DB40" s="374">
        <v>0</v>
      </c>
      <c r="DC40" s="374">
        <v>0</v>
      </c>
      <c r="DD40" s="374">
        <v>0</v>
      </c>
      <c r="DE40" s="374">
        <v>0</v>
      </c>
      <c r="DF40" s="374">
        <v>1</v>
      </c>
      <c r="DG40" s="374">
        <v>0</v>
      </c>
      <c r="DH40" s="374">
        <v>0</v>
      </c>
      <c r="DI40" s="374">
        <v>1</v>
      </c>
      <c r="DJ40" s="374">
        <v>2</v>
      </c>
      <c r="DK40" s="374">
        <v>1</v>
      </c>
      <c r="DL40" s="374">
        <v>2</v>
      </c>
      <c r="DM40" s="374">
        <v>8</v>
      </c>
      <c r="DN40" s="374">
        <v>7</v>
      </c>
      <c r="DO40" s="374">
        <v>13</v>
      </c>
      <c r="DP40" s="374">
        <v>19</v>
      </c>
      <c r="DQ40" s="374">
        <v>15</v>
      </c>
      <c r="DR40" s="374">
        <v>11</v>
      </c>
      <c r="DS40" s="89">
        <f t="shared" si="19"/>
        <v>0</v>
      </c>
      <c r="DT40" s="89">
        <f t="shared" si="20"/>
        <v>1</v>
      </c>
      <c r="DU40" s="89">
        <f t="shared" si="21"/>
        <v>4</v>
      </c>
      <c r="DV40" s="89">
        <f t="shared" si="22"/>
        <v>30</v>
      </c>
      <c r="DW40" s="89">
        <f t="shared" si="23"/>
        <v>45</v>
      </c>
      <c r="DX40" s="375">
        <v>1020</v>
      </c>
      <c r="DY40" s="375">
        <v>593</v>
      </c>
      <c r="DZ40" s="375">
        <v>277</v>
      </c>
      <c r="EA40" s="375">
        <v>1139</v>
      </c>
      <c r="EB40" s="384">
        <v>73.900000000000006</v>
      </c>
      <c r="EC40" s="386">
        <v>59.5</v>
      </c>
    </row>
    <row r="41" spans="1:133" ht="12.95" customHeight="1">
      <c r="A41" s="2">
        <v>38</v>
      </c>
      <c r="B41" s="3" t="s">
        <v>107</v>
      </c>
      <c r="C41" s="3" t="s">
        <v>108</v>
      </c>
      <c r="D41" s="4">
        <f t="shared" si="0"/>
        <v>82</v>
      </c>
      <c r="E41" s="4">
        <f t="shared" si="1"/>
        <v>45</v>
      </c>
      <c r="F41" s="302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82</v>
      </c>
      <c r="L41" s="367">
        <v>66</v>
      </c>
      <c r="M41" s="367">
        <v>4</v>
      </c>
      <c r="N41" s="367">
        <v>0</v>
      </c>
      <c r="O41" s="367">
        <v>12</v>
      </c>
      <c r="P41" s="367">
        <v>1</v>
      </c>
      <c r="Q41" s="368">
        <v>0</v>
      </c>
      <c r="R41" s="368">
        <v>0</v>
      </c>
      <c r="S41" s="368">
        <v>0</v>
      </c>
      <c r="T41" s="368">
        <v>0</v>
      </c>
      <c r="U41" s="368">
        <v>0</v>
      </c>
      <c r="V41" s="368">
        <v>0</v>
      </c>
      <c r="W41" s="368">
        <v>0</v>
      </c>
      <c r="X41" s="368">
        <v>0</v>
      </c>
      <c r="Y41" s="368">
        <v>2</v>
      </c>
      <c r="Z41" s="368">
        <v>5</v>
      </c>
      <c r="AA41" s="368">
        <v>7</v>
      </c>
      <c r="AB41" s="368">
        <v>7</v>
      </c>
      <c r="AC41" s="368">
        <v>12</v>
      </c>
      <c r="AD41" s="368">
        <v>10</v>
      </c>
      <c r="AE41" s="368">
        <v>16</v>
      </c>
      <c r="AF41" s="368">
        <v>11</v>
      </c>
      <c r="AG41" s="368">
        <v>8</v>
      </c>
      <c r="AH41" s="368">
        <v>4</v>
      </c>
      <c r="AI41" s="24">
        <f t="shared" si="2"/>
        <v>0</v>
      </c>
      <c r="AJ41" s="24">
        <f t="shared" si="3"/>
        <v>0</v>
      </c>
      <c r="AK41" s="24">
        <f t="shared" si="4"/>
        <v>14</v>
      </c>
      <c r="AL41" s="24">
        <f t="shared" si="5"/>
        <v>45</v>
      </c>
      <c r="AM41" s="24">
        <f t="shared" si="6"/>
        <v>23</v>
      </c>
      <c r="AN41" s="369">
        <v>0</v>
      </c>
      <c r="AO41" s="369">
        <v>0</v>
      </c>
      <c r="AP41" s="369">
        <v>0</v>
      </c>
      <c r="AQ41" s="369">
        <v>0</v>
      </c>
      <c r="AR41" s="369">
        <v>0</v>
      </c>
      <c r="AS41" s="369">
        <v>0</v>
      </c>
      <c r="AT41" s="369">
        <v>0</v>
      </c>
      <c r="AU41" s="369">
        <v>1</v>
      </c>
      <c r="AV41" s="369">
        <v>0</v>
      </c>
      <c r="AW41" s="369">
        <v>0</v>
      </c>
      <c r="AX41" s="369">
        <v>0</v>
      </c>
      <c r="AY41" s="369">
        <v>6</v>
      </c>
      <c r="AZ41" s="369">
        <v>4</v>
      </c>
      <c r="BA41" s="369">
        <v>3</v>
      </c>
      <c r="BB41" s="369">
        <v>9</v>
      </c>
      <c r="BC41" s="369">
        <v>11</v>
      </c>
      <c r="BD41" s="369">
        <v>6</v>
      </c>
      <c r="BE41" s="369">
        <v>5</v>
      </c>
      <c r="BF41" s="88">
        <f t="shared" si="14"/>
        <v>0</v>
      </c>
      <c r="BG41" s="88">
        <f t="shared" si="15"/>
        <v>0</v>
      </c>
      <c r="BH41" s="88">
        <f t="shared" si="16"/>
        <v>1</v>
      </c>
      <c r="BI41" s="88">
        <f t="shared" si="17"/>
        <v>22</v>
      </c>
      <c r="BJ41" s="88">
        <f t="shared" si="18"/>
        <v>22</v>
      </c>
      <c r="BK41" s="370">
        <v>200</v>
      </c>
      <c r="BL41" s="370">
        <v>81</v>
      </c>
      <c r="BM41" s="370">
        <v>24</v>
      </c>
      <c r="BN41" s="370">
        <v>250</v>
      </c>
      <c r="BO41" s="381" t="s">
        <v>535</v>
      </c>
      <c r="BP41" s="381" t="s">
        <v>548</v>
      </c>
      <c r="BQ41" s="5">
        <f t="shared" si="7"/>
        <v>84</v>
      </c>
      <c r="BR41" s="5">
        <f t="shared" si="8"/>
        <v>54</v>
      </c>
      <c r="BS41" s="299">
        <v>0</v>
      </c>
      <c r="BT41" s="371">
        <v>0</v>
      </c>
      <c r="BU41" s="371">
        <v>0</v>
      </c>
      <c r="BV41" s="371">
        <v>0</v>
      </c>
      <c r="BW41" s="371">
        <v>0</v>
      </c>
      <c r="BX41" s="371">
        <v>84</v>
      </c>
      <c r="BY41" s="372">
        <v>71</v>
      </c>
      <c r="BZ41" s="372">
        <v>2</v>
      </c>
      <c r="CA41" s="372">
        <v>0</v>
      </c>
      <c r="CB41" s="372">
        <v>11</v>
      </c>
      <c r="CC41" s="372">
        <v>0</v>
      </c>
      <c r="CD41" s="373">
        <v>0</v>
      </c>
      <c r="CE41" s="373">
        <v>0</v>
      </c>
      <c r="CF41" s="373">
        <v>0</v>
      </c>
      <c r="CG41" s="373">
        <v>0</v>
      </c>
      <c r="CH41" s="373">
        <v>0</v>
      </c>
      <c r="CI41" s="373">
        <v>0</v>
      </c>
      <c r="CJ41" s="373">
        <v>0</v>
      </c>
      <c r="CK41" s="373">
        <v>1</v>
      </c>
      <c r="CL41" s="373">
        <v>1</v>
      </c>
      <c r="CM41" s="373">
        <v>0</v>
      </c>
      <c r="CN41" s="373">
        <v>5</v>
      </c>
      <c r="CO41" s="373">
        <v>5</v>
      </c>
      <c r="CP41" s="373">
        <v>6</v>
      </c>
      <c r="CQ41" s="373">
        <v>13</v>
      </c>
      <c r="CR41" s="373">
        <v>12</v>
      </c>
      <c r="CS41" s="373">
        <v>15</v>
      </c>
      <c r="CT41" s="373">
        <v>20</v>
      </c>
      <c r="CU41" s="373">
        <v>6</v>
      </c>
      <c r="CV41" s="25">
        <f t="shared" si="9"/>
        <v>0</v>
      </c>
      <c r="CW41" s="25">
        <f t="shared" si="10"/>
        <v>0</v>
      </c>
      <c r="CX41" s="25">
        <f t="shared" si="11"/>
        <v>7</v>
      </c>
      <c r="CY41" s="25">
        <f t="shared" si="12"/>
        <v>36</v>
      </c>
      <c r="CZ41" s="25">
        <f t="shared" si="13"/>
        <v>41</v>
      </c>
      <c r="DA41" s="374">
        <v>0</v>
      </c>
      <c r="DB41" s="374">
        <v>0</v>
      </c>
      <c r="DC41" s="374">
        <v>0</v>
      </c>
      <c r="DD41" s="374">
        <v>0</v>
      </c>
      <c r="DE41" s="374">
        <v>0</v>
      </c>
      <c r="DF41" s="374">
        <v>0</v>
      </c>
      <c r="DG41" s="374">
        <v>0</v>
      </c>
      <c r="DH41" s="374">
        <v>0</v>
      </c>
      <c r="DI41" s="374">
        <v>0</v>
      </c>
      <c r="DJ41" s="374">
        <v>0</v>
      </c>
      <c r="DK41" s="374">
        <v>0</v>
      </c>
      <c r="DL41" s="374">
        <v>0</v>
      </c>
      <c r="DM41" s="374">
        <v>2</v>
      </c>
      <c r="DN41" s="374">
        <v>11</v>
      </c>
      <c r="DO41" s="374">
        <v>12</v>
      </c>
      <c r="DP41" s="374">
        <v>10</v>
      </c>
      <c r="DQ41" s="374">
        <v>9</v>
      </c>
      <c r="DR41" s="374">
        <v>10</v>
      </c>
      <c r="DS41" s="89">
        <f t="shared" si="19"/>
        <v>0</v>
      </c>
      <c r="DT41" s="89">
        <f t="shared" si="20"/>
        <v>0</v>
      </c>
      <c r="DU41" s="89">
        <f t="shared" si="21"/>
        <v>0</v>
      </c>
      <c r="DV41" s="89">
        <f t="shared" si="22"/>
        <v>25</v>
      </c>
      <c r="DW41" s="89">
        <f t="shared" si="23"/>
        <v>29</v>
      </c>
      <c r="DX41" s="375">
        <v>284</v>
      </c>
      <c r="DY41" s="375">
        <v>131</v>
      </c>
      <c r="DZ41" s="375">
        <v>46</v>
      </c>
      <c r="EA41" s="375">
        <v>334</v>
      </c>
      <c r="EB41" s="384">
        <v>68.900000000000006</v>
      </c>
      <c r="EC41" s="386">
        <v>38.799999999999997</v>
      </c>
    </row>
    <row r="42" spans="1:133" ht="12.95" customHeight="1">
      <c r="A42" s="12">
        <v>39</v>
      </c>
      <c r="B42" s="3" t="s">
        <v>109</v>
      </c>
      <c r="C42" s="3" t="s">
        <v>110</v>
      </c>
      <c r="D42" s="4">
        <f t="shared" si="0"/>
        <v>212</v>
      </c>
      <c r="E42" s="4">
        <f t="shared" si="1"/>
        <v>126</v>
      </c>
      <c r="F42" s="302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212</v>
      </c>
      <c r="L42" s="367">
        <v>166</v>
      </c>
      <c r="M42" s="367">
        <v>18</v>
      </c>
      <c r="N42" s="367">
        <v>0</v>
      </c>
      <c r="O42" s="367">
        <v>28</v>
      </c>
      <c r="P42" s="367">
        <v>0</v>
      </c>
      <c r="Q42" s="368">
        <v>6</v>
      </c>
      <c r="R42" s="368">
        <v>3</v>
      </c>
      <c r="S42" s="368">
        <v>2</v>
      </c>
      <c r="T42" s="368">
        <v>3</v>
      </c>
      <c r="U42" s="368">
        <v>2</v>
      </c>
      <c r="V42" s="368">
        <v>4</v>
      </c>
      <c r="W42" s="368">
        <v>3</v>
      </c>
      <c r="X42" s="368">
        <v>3</v>
      </c>
      <c r="Y42" s="368">
        <v>2</v>
      </c>
      <c r="Z42" s="368">
        <v>7</v>
      </c>
      <c r="AA42" s="368">
        <v>14</v>
      </c>
      <c r="AB42" s="368">
        <v>12</v>
      </c>
      <c r="AC42" s="368">
        <v>17</v>
      </c>
      <c r="AD42" s="368">
        <v>24</v>
      </c>
      <c r="AE42" s="368">
        <v>28</v>
      </c>
      <c r="AF42" s="368">
        <v>35</v>
      </c>
      <c r="AG42" s="368">
        <v>26</v>
      </c>
      <c r="AH42" s="368">
        <v>21</v>
      </c>
      <c r="AI42" s="24">
        <f t="shared" si="2"/>
        <v>11</v>
      </c>
      <c r="AJ42" s="24">
        <f t="shared" si="3"/>
        <v>9</v>
      </c>
      <c r="AK42" s="24">
        <f t="shared" si="4"/>
        <v>29</v>
      </c>
      <c r="AL42" s="24">
        <f t="shared" si="5"/>
        <v>81</v>
      </c>
      <c r="AM42" s="24">
        <f t="shared" si="6"/>
        <v>82</v>
      </c>
      <c r="AN42" s="369">
        <v>0</v>
      </c>
      <c r="AO42" s="369">
        <v>0</v>
      </c>
      <c r="AP42" s="369">
        <v>0</v>
      </c>
      <c r="AQ42" s="369">
        <v>1</v>
      </c>
      <c r="AR42" s="369">
        <v>3</v>
      </c>
      <c r="AS42" s="369">
        <v>0</v>
      </c>
      <c r="AT42" s="369">
        <v>0</v>
      </c>
      <c r="AU42" s="369">
        <v>1</v>
      </c>
      <c r="AV42" s="369">
        <v>1</v>
      </c>
      <c r="AW42" s="369">
        <v>2</v>
      </c>
      <c r="AX42" s="369">
        <v>8</v>
      </c>
      <c r="AY42" s="369">
        <v>11</v>
      </c>
      <c r="AZ42" s="369">
        <v>13</v>
      </c>
      <c r="BA42" s="369">
        <v>10</v>
      </c>
      <c r="BB42" s="369">
        <v>26</v>
      </c>
      <c r="BC42" s="369">
        <v>15</v>
      </c>
      <c r="BD42" s="369">
        <v>24</v>
      </c>
      <c r="BE42" s="369">
        <v>11</v>
      </c>
      <c r="BF42" s="88">
        <f t="shared" si="14"/>
        <v>0</v>
      </c>
      <c r="BG42" s="88">
        <f t="shared" si="15"/>
        <v>4</v>
      </c>
      <c r="BH42" s="88">
        <f t="shared" si="16"/>
        <v>12</v>
      </c>
      <c r="BI42" s="88">
        <f t="shared" si="17"/>
        <v>60</v>
      </c>
      <c r="BJ42" s="88">
        <f t="shared" si="18"/>
        <v>50</v>
      </c>
      <c r="BK42" s="370">
        <v>1040</v>
      </c>
      <c r="BL42" s="370">
        <v>642</v>
      </c>
      <c r="BM42" s="370">
        <v>365</v>
      </c>
      <c r="BN42" s="370">
        <v>1160</v>
      </c>
      <c r="BO42" s="381" t="s">
        <v>536</v>
      </c>
      <c r="BP42" s="381" t="s">
        <v>549</v>
      </c>
      <c r="BQ42" s="5">
        <f t="shared" si="7"/>
        <v>220</v>
      </c>
      <c r="BR42" s="5">
        <f t="shared" si="8"/>
        <v>134</v>
      </c>
      <c r="BS42" s="299">
        <v>0</v>
      </c>
      <c r="BT42" s="371">
        <v>0</v>
      </c>
      <c r="BU42" s="371">
        <v>0</v>
      </c>
      <c r="BV42" s="371">
        <v>0</v>
      </c>
      <c r="BW42" s="371">
        <v>0</v>
      </c>
      <c r="BX42" s="371">
        <v>220</v>
      </c>
      <c r="BY42" s="372">
        <v>168</v>
      </c>
      <c r="BZ42" s="372">
        <v>10</v>
      </c>
      <c r="CA42" s="372">
        <v>0</v>
      </c>
      <c r="CB42" s="372">
        <v>39</v>
      </c>
      <c r="CC42" s="372">
        <v>6</v>
      </c>
      <c r="CD42" s="373">
        <v>4</v>
      </c>
      <c r="CE42" s="373">
        <v>2</v>
      </c>
      <c r="CF42" s="373">
        <v>3</v>
      </c>
      <c r="CG42" s="373">
        <v>2</v>
      </c>
      <c r="CH42" s="373">
        <v>0</v>
      </c>
      <c r="CI42" s="373">
        <v>1</v>
      </c>
      <c r="CJ42" s="373">
        <v>1</v>
      </c>
      <c r="CK42" s="373">
        <v>1</v>
      </c>
      <c r="CL42" s="373">
        <v>4</v>
      </c>
      <c r="CM42" s="373">
        <v>11</v>
      </c>
      <c r="CN42" s="373">
        <v>7</v>
      </c>
      <c r="CO42" s="373">
        <v>14</v>
      </c>
      <c r="CP42" s="373">
        <v>23</v>
      </c>
      <c r="CQ42" s="373">
        <v>21</v>
      </c>
      <c r="CR42" s="373">
        <v>31</v>
      </c>
      <c r="CS42" s="373">
        <v>36</v>
      </c>
      <c r="CT42" s="373">
        <v>35</v>
      </c>
      <c r="CU42" s="373">
        <v>24</v>
      </c>
      <c r="CV42" s="25">
        <f t="shared" si="9"/>
        <v>9</v>
      </c>
      <c r="CW42" s="25">
        <f t="shared" si="10"/>
        <v>3</v>
      </c>
      <c r="CX42" s="25">
        <f t="shared" si="11"/>
        <v>24</v>
      </c>
      <c r="CY42" s="25">
        <f t="shared" si="12"/>
        <v>89</v>
      </c>
      <c r="CZ42" s="25">
        <f t="shared" si="13"/>
        <v>95</v>
      </c>
      <c r="DA42" s="374">
        <v>0</v>
      </c>
      <c r="DB42" s="374">
        <v>0</v>
      </c>
      <c r="DC42" s="374">
        <v>0</v>
      </c>
      <c r="DD42" s="374">
        <v>1</v>
      </c>
      <c r="DE42" s="374">
        <v>0</v>
      </c>
      <c r="DF42" s="374">
        <v>0</v>
      </c>
      <c r="DG42" s="374">
        <v>1</v>
      </c>
      <c r="DH42" s="374">
        <v>1</v>
      </c>
      <c r="DI42" s="374">
        <v>6</v>
      </c>
      <c r="DJ42" s="374">
        <v>4</v>
      </c>
      <c r="DK42" s="374">
        <v>5</v>
      </c>
      <c r="DL42" s="374">
        <v>5</v>
      </c>
      <c r="DM42" s="374">
        <v>10</v>
      </c>
      <c r="DN42" s="374">
        <v>8</v>
      </c>
      <c r="DO42" s="374">
        <v>23</v>
      </c>
      <c r="DP42" s="374">
        <v>32</v>
      </c>
      <c r="DQ42" s="374">
        <v>19</v>
      </c>
      <c r="DR42" s="374">
        <v>19</v>
      </c>
      <c r="DS42" s="89">
        <f t="shared" si="19"/>
        <v>0</v>
      </c>
      <c r="DT42" s="89">
        <f t="shared" si="20"/>
        <v>1</v>
      </c>
      <c r="DU42" s="89">
        <f t="shared" si="21"/>
        <v>17</v>
      </c>
      <c r="DV42" s="89">
        <f t="shared" si="22"/>
        <v>46</v>
      </c>
      <c r="DW42" s="89">
        <f t="shared" si="23"/>
        <v>70</v>
      </c>
      <c r="DX42" s="375">
        <v>1061</v>
      </c>
      <c r="DY42" s="375">
        <v>656</v>
      </c>
      <c r="DZ42" s="375">
        <v>324</v>
      </c>
      <c r="EA42" s="375">
        <v>1189</v>
      </c>
      <c r="EB42" s="384">
        <v>66.5</v>
      </c>
      <c r="EC42" s="386">
        <v>53.3</v>
      </c>
    </row>
    <row r="43" spans="1:133" ht="12.95" customHeight="1">
      <c r="A43" s="2">
        <v>40</v>
      </c>
      <c r="B43" s="3" t="s">
        <v>111</v>
      </c>
      <c r="C43" s="3" t="s">
        <v>112</v>
      </c>
      <c r="D43" s="4">
        <f t="shared" si="0"/>
        <v>6</v>
      </c>
      <c r="E43" s="4">
        <f t="shared" si="1"/>
        <v>4</v>
      </c>
      <c r="F43" s="302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6</v>
      </c>
      <c r="L43" s="367">
        <v>3</v>
      </c>
      <c r="M43" s="367">
        <v>0</v>
      </c>
      <c r="N43" s="367">
        <v>0</v>
      </c>
      <c r="O43" s="367">
        <v>3</v>
      </c>
      <c r="P43" s="367">
        <v>0</v>
      </c>
      <c r="Q43" s="368">
        <v>0</v>
      </c>
      <c r="R43" s="368">
        <v>0</v>
      </c>
      <c r="S43" s="368">
        <v>0</v>
      </c>
      <c r="T43" s="368">
        <v>0</v>
      </c>
      <c r="U43" s="368">
        <v>0</v>
      </c>
      <c r="V43" s="368">
        <v>0</v>
      </c>
      <c r="W43" s="368">
        <v>0</v>
      </c>
      <c r="X43" s="368">
        <v>0</v>
      </c>
      <c r="Y43" s="368">
        <v>1</v>
      </c>
      <c r="Z43" s="368">
        <v>0</v>
      </c>
      <c r="AA43" s="368">
        <v>0</v>
      </c>
      <c r="AB43" s="368">
        <v>0</v>
      </c>
      <c r="AC43" s="368">
        <v>0</v>
      </c>
      <c r="AD43" s="368">
        <v>2</v>
      </c>
      <c r="AE43" s="368">
        <v>0</v>
      </c>
      <c r="AF43" s="368">
        <v>2</v>
      </c>
      <c r="AG43" s="368">
        <v>0</v>
      </c>
      <c r="AH43" s="368">
        <v>1</v>
      </c>
      <c r="AI43" s="24">
        <f t="shared" si="2"/>
        <v>0</v>
      </c>
      <c r="AJ43" s="24">
        <f t="shared" si="3"/>
        <v>0</v>
      </c>
      <c r="AK43" s="24">
        <f t="shared" si="4"/>
        <v>1</v>
      </c>
      <c r="AL43" s="24">
        <f t="shared" si="5"/>
        <v>2</v>
      </c>
      <c r="AM43" s="24">
        <f t="shared" si="6"/>
        <v>3</v>
      </c>
      <c r="AN43" s="369">
        <v>0</v>
      </c>
      <c r="AO43" s="369">
        <v>0</v>
      </c>
      <c r="AP43" s="369">
        <v>0</v>
      </c>
      <c r="AQ43" s="369">
        <v>0</v>
      </c>
      <c r="AR43" s="369">
        <v>0</v>
      </c>
      <c r="AS43" s="369">
        <v>0</v>
      </c>
      <c r="AT43" s="369">
        <v>0</v>
      </c>
      <c r="AU43" s="369">
        <v>0</v>
      </c>
      <c r="AV43" s="369">
        <v>0</v>
      </c>
      <c r="AW43" s="369">
        <v>0</v>
      </c>
      <c r="AX43" s="369">
        <v>0</v>
      </c>
      <c r="AY43" s="369">
        <v>0</v>
      </c>
      <c r="AZ43" s="369">
        <v>0</v>
      </c>
      <c r="BA43" s="369">
        <v>0</v>
      </c>
      <c r="BB43" s="369">
        <v>0</v>
      </c>
      <c r="BC43" s="369">
        <v>2</v>
      </c>
      <c r="BD43" s="369">
        <v>1</v>
      </c>
      <c r="BE43" s="369">
        <v>1</v>
      </c>
      <c r="BF43" s="88">
        <f t="shared" si="14"/>
        <v>0</v>
      </c>
      <c r="BG43" s="88">
        <f t="shared" si="15"/>
        <v>0</v>
      </c>
      <c r="BH43" s="88">
        <f t="shared" si="16"/>
        <v>0</v>
      </c>
      <c r="BI43" s="88">
        <f t="shared" si="17"/>
        <v>0</v>
      </c>
      <c r="BJ43" s="88">
        <f t="shared" si="18"/>
        <v>4</v>
      </c>
      <c r="BK43" s="370">
        <v>20</v>
      </c>
      <c r="BL43" s="370">
        <v>13</v>
      </c>
      <c r="BM43" s="370">
        <v>6</v>
      </c>
      <c r="BN43" s="370">
        <v>23</v>
      </c>
      <c r="BO43" s="381" t="s">
        <v>505</v>
      </c>
      <c r="BP43" s="381" t="s">
        <v>550</v>
      </c>
      <c r="BQ43" s="5">
        <f t="shared" si="7"/>
        <v>5</v>
      </c>
      <c r="BR43" s="5">
        <f t="shared" si="8"/>
        <v>2</v>
      </c>
      <c r="BS43" s="299">
        <v>0</v>
      </c>
      <c r="BT43" s="371">
        <v>0</v>
      </c>
      <c r="BU43" s="371">
        <v>0</v>
      </c>
      <c r="BV43" s="371">
        <v>0</v>
      </c>
      <c r="BW43" s="371">
        <v>0</v>
      </c>
      <c r="BX43" s="371">
        <v>5</v>
      </c>
      <c r="BY43" s="372">
        <v>3</v>
      </c>
      <c r="BZ43" s="372">
        <v>0</v>
      </c>
      <c r="CA43" s="372">
        <v>0</v>
      </c>
      <c r="CB43" s="372">
        <v>2</v>
      </c>
      <c r="CC43" s="372">
        <v>0</v>
      </c>
      <c r="CD43" s="373">
        <v>0</v>
      </c>
      <c r="CE43" s="373">
        <v>0</v>
      </c>
      <c r="CF43" s="373">
        <v>0</v>
      </c>
      <c r="CG43" s="373">
        <v>0</v>
      </c>
      <c r="CH43" s="373">
        <v>1</v>
      </c>
      <c r="CI43" s="373">
        <v>0</v>
      </c>
      <c r="CJ43" s="373">
        <v>0</v>
      </c>
      <c r="CK43" s="373">
        <v>0</v>
      </c>
      <c r="CL43" s="373">
        <v>0</v>
      </c>
      <c r="CM43" s="373">
        <v>1</v>
      </c>
      <c r="CN43" s="373">
        <v>0</v>
      </c>
      <c r="CO43" s="373">
        <v>0</v>
      </c>
      <c r="CP43" s="373">
        <v>0</v>
      </c>
      <c r="CQ43" s="373">
        <v>1</v>
      </c>
      <c r="CR43" s="373">
        <v>0</v>
      </c>
      <c r="CS43" s="373">
        <v>2</v>
      </c>
      <c r="CT43" s="373">
        <v>0</v>
      </c>
      <c r="CU43" s="373">
        <v>0</v>
      </c>
      <c r="CV43" s="25">
        <f t="shared" si="9"/>
        <v>0</v>
      </c>
      <c r="CW43" s="25">
        <f t="shared" si="10"/>
        <v>1</v>
      </c>
      <c r="CX43" s="25">
        <f t="shared" si="11"/>
        <v>1</v>
      </c>
      <c r="CY43" s="25">
        <f t="shared" si="12"/>
        <v>1</v>
      </c>
      <c r="CZ43" s="25">
        <f t="shared" si="13"/>
        <v>2</v>
      </c>
      <c r="DA43" s="374">
        <v>0</v>
      </c>
      <c r="DB43" s="374">
        <v>0</v>
      </c>
      <c r="DC43" s="374">
        <v>0</v>
      </c>
      <c r="DD43" s="374">
        <v>0</v>
      </c>
      <c r="DE43" s="374">
        <v>0</v>
      </c>
      <c r="DF43" s="374">
        <v>0</v>
      </c>
      <c r="DG43" s="374">
        <v>0</v>
      </c>
      <c r="DH43" s="374">
        <v>0</v>
      </c>
      <c r="DI43" s="374">
        <v>0</v>
      </c>
      <c r="DJ43" s="374">
        <v>0</v>
      </c>
      <c r="DK43" s="374">
        <v>0</v>
      </c>
      <c r="DL43" s="374">
        <v>0</v>
      </c>
      <c r="DM43" s="374">
        <v>0</v>
      </c>
      <c r="DN43" s="374">
        <v>1</v>
      </c>
      <c r="DO43" s="374">
        <v>0</v>
      </c>
      <c r="DP43" s="374">
        <v>1</v>
      </c>
      <c r="DQ43" s="374">
        <v>0</v>
      </c>
      <c r="DR43" s="374">
        <v>0</v>
      </c>
      <c r="DS43" s="89">
        <f t="shared" si="19"/>
        <v>0</v>
      </c>
      <c r="DT43" s="89">
        <f t="shared" si="20"/>
        <v>0</v>
      </c>
      <c r="DU43" s="89">
        <f t="shared" si="21"/>
        <v>0</v>
      </c>
      <c r="DV43" s="89">
        <f t="shared" si="22"/>
        <v>1</v>
      </c>
      <c r="DW43" s="89">
        <f t="shared" si="23"/>
        <v>1</v>
      </c>
      <c r="DX43" s="375">
        <v>32</v>
      </c>
      <c r="DY43" s="375">
        <v>22</v>
      </c>
      <c r="DZ43" s="375">
        <v>14</v>
      </c>
      <c r="EA43" s="375">
        <v>35</v>
      </c>
      <c r="EB43" s="384">
        <v>100</v>
      </c>
      <c r="EC43" s="386">
        <v>55.6</v>
      </c>
    </row>
    <row r="44" spans="1:133" ht="12.95" customHeight="1">
      <c r="A44" s="12">
        <v>41</v>
      </c>
      <c r="B44" s="3" t="s">
        <v>113</v>
      </c>
      <c r="C44" s="3" t="s">
        <v>114</v>
      </c>
      <c r="D44" s="4">
        <f t="shared" si="0"/>
        <v>17</v>
      </c>
      <c r="E44" s="4">
        <f t="shared" si="1"/>
        <v>0</v>
      </c>
      <c r="F44" s="302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17</v>
      </c>
      <c r="L44" s="367">
        <v>17</v>
      </c>
      <c r="M44" s="367">
        <v>0</v>
      </c>
      <c r="N44" s="367">
        <v>0</v>
      </c>
      <c r="O44" s="367">
        <v>0</v>
      </c>
      <c r="P44" s="367">
        <v>0</v>
      </c>
      <c r="Q44" s="368">
        <v>0</v>
      </c>
      <c r="R44" s="368">
        <v>0</v>
      </c>
      <c r="S44" s="368">
        <v>0</v>
      </c>
      <c r="T44" s="368">
        <v>0</v>
      </c>
      <c r="U44" s="368">
        <v>0</v>
      </c>
      <c r="V44" s="368">
        <v>1</v>
      </c>
      <c r="W44" s="368">
        <v>1</v>
      </c>
      <c r="X44" s="368">
        <v>1</v>
      </c>
      <c r="Y44" s="368">
        <v>2</v>
      </c>
      <c r="Z44" s="368">
        <v>1</v>
      </c>
      <c r="AA44" s="368">
        <v>2</v>
      </c>
      <c r="AB44" s="368">
        <v>2</v>
      </c>
      <c r="AC44" s="368">
        <v>1</v>
      </c>
      <c r="AD44" s="368">
        <v>2</v>
      </c>
      <c r="AE44" s="368">
        <v>1</v>
      </c>
      <c r="AF44" s="368">
        <v>1</v>
      </c>
      <c r="AG44" s="368">
        <v>0</v>
      </c>
      <c r="AH44" s="368">
        <v>2</v>
      </c>
      <c r="AI44" s="24">
        <f t="shared" si="2"/>
        <v>0</v>
      </c>
      <c r="AJ44" s="24">
        <f t="shared" si="3"/>
        <v>1</v>
      </c>
      <c r="AK44" s="24">
        <f t="shared" si="4"/>
        <v>7</v>
      </c>
      <c r="AL44" s="24">
        <f t="shared" si="5"/>
        <v>6</v>
      </c>
      <c r="AM44" s="24">
        <f t="shared" si="6"/>
        <v>3</v>
      </c>
      <c r="AN44" s="369">
        <v>0</v>
      </c>
      <c r="AO44" s="369">
        <v>0</v>
      </c>
      <c r="AP44" s="369">
        <v>0</v>
      </c>
      <c r="AQ44" s="369">
        <v>0</v>
      </c>
      <c r="AR44" s="369">
        <v>0</v>
      </c>
      <c r="AS44" s="369">
        <v>0</v>
      </c>
      <c r="AT44" s="369">
        <v>0</v>
      </c>
      <c r="AU44" s="369">
        <v>0</v>
      </c>
      <c r="AV44" s="369">
        <v>0</v>
      </c>
      <c r="AW44" s="369">
        <v>0</v>
      </c>
      <c r="AX44" s="369">
        <v>0</v>
      </c>
      <c r="AY44" s="369">
        <v>0</v>
      </c>
      <c r="AZ44" s="369">
        <v>0</v>
      </c>
      <c r="BA44" s="369">
        <v>0</v>
      </c>
      <c r="BB44" s="369">
        <v>0</v>
      </c>
      <c r="BC44" s="369">
        <v>0</v>
      </c>
      <c r="BD44" s="369">
        <v>0</v>
      </c>
      <c r="BE44" s="369">
        <v>0</v>
      </c>
      <c r="BF44" s="88">
        <f t="shared" si="14"/>
        <v>0</v>
      </c>
      <c r="BG44" s="88">
        <f t="shared" si="15"/>
        <v>0</v>
      </c>
      <c r="BH44" s="88">
        <f t="shared" si="16"/>
        <v>0</v>
      </c>
      <c r="BI44" s="88">
        <f t="shared" si="17"/>
        <v>0</v>
      </c>
      <c r="BJ44" s="88">
        <f t="shared" si="18"/>
        <v>0</v>
      </c>
      <c r="BK44" s="370">
        <v>45</v>
      </c>
      <c r="BL44" s="370">
        <v>15</v>
      </c>
      <c r="BM44" s="370">
        <v>4</v>
      </c>
      <c r="BN44" s="370">
        <v>59</v>
      </c>
      <c r="BO44" s="90"/>
      <c r="BP44" s="90"/>
      <c r="BQ44" s="5">
        <f t="shared" si="7"/>
        <v>28</v>
      </c>
      <c r="BR44" s="5">
        <f t="shared" si="8"/>
        <v>0</v>
      </c>
      <c r="BS44" s="299">
        <v>0</v>
      </c>
      <c r="BT44" s="371">
        <v>0</v>
      </c>
      <c r="BU44" s="371">
        <v>0</v>
      </c>
      <c r="BV44" s="371">
        <v>0</v>
      </c>
      <c r="BW44" s="371">
        <v>0</v>
      </c>
      <c r="BX44" s="371">
        <v>28</v>
      </c>
      <c r="BY44" s="372">
        <v>27</v>
      </c>
      <c r="BZ44" s="372">
        <v>1</v>
      </c>
      <c r="CA44" s="372">
        <v>0</v>
      </c>
      <c r="CB44" s="372">
        <v>0</v>
      </c>
      <c r="CC44" s="372">
        <v>0</v>
      </c>
      <c r="CD44" s="373">
        <v>0</v>
      </c>
      <c r="CE44" s="373">
        <v>0</v>
      </c>
      <c r="CF44" s="373">
        <v>0</v>
      </c>
      <c r="CG44" s="373">
        <v>0</v>
      </c>
      <c r="CH44" s="373">
        <v>0</v>
      </c>
      <c r="CI44" s="373">
        <v>1</v>
      </c>
      <c r="CJ44" s="373">
        <v>0</v>
      </c>
      <c r="CK44" s="373">
        <v>1</v>
      </c>
      <c r="CL44" s="373">
        <v>1</v>
      </c>
      <c r="CM44" s="373">
        <v>2</v>
      </c>
      <c r="CN44" s="373">
        <v>1</v>
      </c>
      <c r="CO44" s="373">
        <v>4</v>
      </c>
      <c r="CP44" s="373">
        <v>4</v>
      </c>
      <c r="CQ44" s="373">
        <v>4</v>
      </c>
      <c r="CR44" s="373">
        <v>4</v>
      </c>
      <c r="CS44" s="373">
        <v>3</v>
      </c>
      <c r="CT44" s="373">
        <v>2</v>
      </c>
      <c r="CU44" s="373">
        <v>1</v>
      </c>
      <c r="CV44" s="25">
        <f t="shared" si="9"/>
        <v>0</v>
      </c>
      <c r="CW44" s="25">
        <f t="shared" si="10"/>
        <v>1</v>
      </c>
      <c r="CX44" s="25">
        <f t="shared" si="11"/>
        <v>5</v>
      </c>
      <c r="CY44" s="25">
        <f t="shared" si="12"/>
        <v>16</v>
      </c>
      <c r="CZ44" s="25">
        <f t="shared" si="13"/>
        <v>6</v>
      </c>
      <c r="DA44" s="374">
        <v>0</v>
      </c>
      <c r="DB44" s="374">
        <v>0</v>
      </c>
      <c r="DC44" s="374">
        <v>0</v>
      </c>
      <c r="DD44" s="374">
        <v>0</v>
      </c>
      <c r="DE44" s="374">
        <v>0</v>
      </c>
      <c r="DF44" s="374">
        <v>0</v>
      </c>
      <c r="DG44" s="374">
        <v>0</v>
      </c>
      <c r="DH44" s="374">
        <v>0</v>
      </c>
      <c r="DI44" s="374">
        <v>0</v>
      </c>
      <c r="DJ44" s="374">
        <v>0</v>
      </c>
      <c r="DK44" s="374">
        <v>0</v>
      </c>
      <c r="DL44" s="374">
        <v>0</v>
      </c>
      <c r="DM44" s="374">
        <v>0</v>
      </c>
      <c r="DN44" s="374">
        <v>0</v>
      </c>
      <c r="DO44" s="374">
        <v>0</v>
      </c>
      <c r="DP44" s="374">
        <v>0</v>
      </c>
      <c r="DQ44" s="374">
        <v>0</v>
      </c>
      <c r="DR44" s="374">
        <v>0</v>
      </c>
      <c r="DS44" s="89">
        <f t="shared" si="19"/>
        <v>0</v>
      </c>
      <c r="DT44" s="89">
        <f t="shared" si="20"/>
        <v>0</v>
      </c>
      <c r="DU44" s="89">
        <f t="shared" si="21"/>
        <v>0</v>
      </c>
      <c r="DV44" s="89">
        <f t="shared" si="22"/>
        <v>0</v>
      </c>
      <c r="DW44" s="89">
        <f t="shared" si="23"/>
        <v>0</v>
      </c>
      <c r="DX44" s="375">
        <v>159</v>
      </c>
      <c r="DY44" s="375">
        <v>71</v>
      </c>
      <c r="DZ44" s="375">
        <v>23</v>
      </c>
      <c r="EA44" s="375">
        <v>183</v>
      </c>
      <c r="EB44" s="90"/>
      <c r="EC44" s="90"/>
    </row>
    <row r="45" spans="1:133" ht="12.95" customHeight="1">
      <c r="A45" s="2">
        <v>42</v>
      </c>
      <c r="B45" s="3" t="s">
        <v>434</v>
      </c>
      <c r="C45" s="3" t="s">
        <v>115</v>
      </c>
      <c r="D45" s="4">
        <f t="shared" si="0"/>
        <v>0</v>
      </c>
      <c r="E45" s="4">
        <f t="shared" si="1"/>
        <v>0</v>
      </c>
      <c r="F45" s="302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7">
        <v>0</v>
      </c>
      <c r="M45" s="367">
        <v>0</v>
      </c>
      <c r="N45" s="367">
        <v>0</v>
      </c>
      <c r="O45" s="367">
        <v>0</v>
      </c>
      <c r="P45" s="367">
        <v>0</v>
      </c>
      <c r="Q45" s="368">
        <v>0</v>
      </c>
      <c r="R45" s="368">
        <v>0</v>
      </c>
      <c r="S45" s="368">
        <v>0</v>
      </c>
      <c r="T45" s="368">
        <v>0</v>
      </c>
      <c r="U45" s="368">
        <v>0</v>
      </c>
      <c r="V45" s="368">
        <v>0</v>
      </c>
      <c r="W45" s="368">
        <v>0</v>
      </c>
      <c r="X45" s="368">
        <v>0</v>
      </c>
      <c r="Y45" s="368">
        <v>0</v>
      </c>
      <c r="Z45" s="368">
        <v>0</v>
      </c>
      <c r="AA45" s="368">
        <v>0</v>
      </c>
      <c r="AB45" s="368">
        <v>0</v>
      </c>
      <c r="AC45" s="368">
        <v>0</v>
      </c>
      <c r="AD45" s="368">
        <v>0</v>
      </c>
      <c r="AE45" s="368">
        <v>0</v>
      </c>
      <c r="AF45" s="368">
        <v>0</v>
      </c>
      <c r="AG45" s="368">
        <v>0</v>
      </c>
      <c r="AH45" s="368">
        <v>0</v>
      </c>
      <c r="AI45" s="24">
        <f t="shared" si="2"/>
        <v>0</v>
      </c>
      <c r="AJ45" s="24">
        <f t="shared" si="3"/>
        <v>0</v>
      </c>
      <c r="AK45" s="24">
        <f t="shared" si="4"/>
        <v>0</v>
      </c>
      <c r="AL45" s="24">
        <f t="shared" si="5"/>
        <v>0</v>
      </c>
      <c r="AM45" s="24">
        <f t="shared" si="6"/>
        <v>0</v>
      </c>
      <c r="AN45" s="369">
        <v>0</v>
      </c>
      <c r="AO45" s="369">
        <v>0</v>
      </c>
      <c r="AP45" s="369">
        <v>0</v>
      </c>
      <c r="AQ45" s="369">
        <v>0</v>
      </c>
      <c r="AR45" s="369">
        <v>0</v>
      </c>
      <c r="AS45" s="369">
        <v>0</v>
      </c>
      <c r="AT45" s="369">
        <v>0</v>
      </c>
      <c r="AU45" s="369">
        <v>0</v>
      </c>
      <c r="AV45" s="369">
        <v>0</v>
      </c>
      <c r="AW45" s="369">
        <v>0</v>
      </c>
      <c r="AX45" s="369">
        <v>0</v>
      </c>
      <c r="AY45" s="369">
        <v>0</v>
      </c>
      <c r="AZ45" s="369">
        <v>0</v>
      </c>
      <c r="BA45" s="369">
        <v>0</v>
      </c>
      <c r="BB45" s="369">
        <v>0</v>
      </c>
      <c r="BC45" s="369">
        <v>0</v>
      </c>
      <c r="BD45" s="369">
        <v>0</v>
      </c>
      <c r="BE45" s="369">
        <v>0</v>
      </c>
      <c r="BF45" s="88">
        <f t="shared" si="14"/>
        <v>0</v>
      </c>
      <c r="BG45" s="88">
        <f t="shared" si="15"/>
        <v>0</v>
      </c>
      <c r="BH45" s="88">
        <f t="shared" si="16"/>
        <v>0</v>
      </c>
      <c r="BI45" s="88">
        <f t="shared" si="17"/>
        <v>0</v>
      </c>
      <c r="BJ45" s="88">
        <f t="shared" si="18"/>
        <v>0</v>
      </c>
      <c r="BK45" s="370">
        <v>5</v>
      </c>
      <c r="BL45" s="370">
        <v>3</v>
      </c>
      <c r="BM45" s="370">
        <v>2</v>
      </c>
      <c r="BN45" s="370">
        <v>5</v>
      </c>
      <c r="BO45" s="90"/>
      <c r="BP45" s="90"/>
      <c r="BQ45" s="5">
        <f t="shared" si="7"/>
        <v>97</v>
      </c>
      <c r="BR45" s="5">
        <f t="shared" si="8"/>
        <v>0</v>
      </c>
      <c r="BS45" s="299">
        <v>0</v>
      </c>
      <c r="BT45" s="371">
        <v>0</v>
      </c>
      <c r="BU45" s="371">
        <v>0</v>
      </c>
      <c r="BV45" s="371">
        <v>0</v>
      </c>
      <c r="BW45" s="371">
        <v>0</v>
      </c>
      <c r="BX45" s="371">
        <v>97</v>
      </c>
      <c r="BY45" s="372">
        <v>96</v>
      </c>
      <c r="BZ45" s="372">
        <v>0</v>
      </c>
      <c r="CA45" s="372">
        <v>1</v>
      </c>
      <c r="CB45" s="372">
        <v>0</v>
      </c>
      <c r="CC45" s="372">
        <v>0</v>
      </c>
      <c r="CD45" s="373">
        <v>0</v>
      </c>
      <c r="CE45" s="373">
        <v>0</v>
      </c>
      <c r="CF45" s="373">
        <v>0</v>
      </c>
      <c r="CG45" s="373">
        <v>0</v>
      </c>
      <c r="CH45" s="373">
        <v>0</v>
      </c>
      <c r="CI45" s="373">
        <v>0</v>
      </c>
      <c r="CJ45" s="373">
        <v>0</v>
      </c>
      <c r="CK45" s="373">
        <v>5</v>
      </c>
      <c r="CL45" s="373">
        <v>4</v>
      </c>
      <c r="CM45" s="373">
        <v>15</v>
      </c>
      <c r="CN45" s="373">
        <v>25</v>
      </c>
      <c r="CO45" s="373">
        <v>6</v>
      </c>
      <c r="CP45" s="373">
        <v>13</v>
      </c>
      <c r="CQ45" s="373">
        <v>10</v>
      </c>
      <c r="CR45" s="373">
        <v>10</v>
      </c>
      <c r="CS45" s="373">
        <v>4</v>
      </c>
      <c r="CT45" s="373">
        <v>2</v>
      </c>
      <c r="CU45" s="373">
        <v>3</v>
      </c>
      <c r="CV45" s="25">
        <f t="shared" si="9"/>
        <v>0</v>
      </c>
      <c r="CW45" s="25">
        <f t="shared" si="10"/>
        <v>0</v>
      </c>
      <c r="CX45" s="25">
        <f t="shared" si="11"/>
        <v>49</v>
      </c>
      <c r="CY45" s="25">
        <f t="shared" si="12"/>
        <v>39</v>
      </c>
      <c r="CZ45" s="25">
        <f t="shared" si="13"/>
        <v>9</v>
      </c>
      <c r="DA45" s="374">
        <v>0</v>
      </c>
      <c r="DB45" s="374">
        <v>0</v>
      </c>
      <c r="DC45" s="374">
        <v>0</v>
      </c>
      <c r="DD45" s="374">
        <v>0</v>
      </c>
      <c r="DE45" s="374">
        <v>0</v>
      </c>
      <c r="DF45" s="374">
        <v>0</v>
      </c>
      <c r="DG45" s="374">
        <v>0</v>
      </c>
      <c r="DH45" s="374">
        <v>0</v>
      </c>
      <c r="DI45" s="374">
        <v>0</v>
      </c>
      <c r="DJ45" s="374">
        <v>0</v>
      </c>
      <c r="DK45" s="374">
        <v>0</v>
      </c>
      <c r="DL45" s="374">
        <v>0</v>
      </c>
      <c r="DM45" s="374">
        <v>0</v>
      </c>
      <c r="DN45" s="374">
        <v>0</v>
      </c>
      <c r="DO45" s="374">
        <v>0</v>
      </c>
      <c r="DP45" s="374">
        <v>0</v>
      </c>
      <c r="DQ45" s="374">
        <v>0</v>
      </c>
      <c r="DR45" s="374">
        <v>0</v>
      </c>
      <c r="DS45" s="89">
        <f t="shared" si="19"/>
        <v>0</v>
      </c>
      <c r="DT45" s="89">
        <f t="shared" si="20"/>
        <v>0</v>
      </c>
      <c r="DU45" s="89">
        <f t="shared" si="21"/>
        <v>0</v>
      </c>
      <c r="DV45" s="89">
        <f t="shared" si="22"/>
        <v>0</v>
      </c>
      <c r="DW45" s="89">
        <f t="shared" si="23"/>
        <v>0</v>
      </c>
      <c r="DX45" s="375">
        <v>517</v>
      </c>
      <c r="DY45" s="375">
        <v>262</v>
      </c>
      <c r="DZ45" s="375">
        <v>93</v>
      </c>
      <c r="EA45" s="375">
        <v>595</v>
      </c>
      <c r="EB45" s="90"/>
      <c r="EC45" s="90"/>
    </row>
    <row r="46" spans="1:133" ht="12.95" customHeight="1">
      <c r="A46" s="12">
        <v>43</v>
      </c>
      <c r="B46" s="3" t="s">
        <v>435</v>
      </c>
      <c r="C46" s="3" t="s">
        <v>116</v>
      </c>
      <c r="D46" s="4">
        <f t="shared" si="0"/>
        <v>0</v>
      </c>
      <c r="E46" s="4">
        <f t="shared" si="1"/>
        <v>0</v>
      </c>
      <c r="F46" s="302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7">
        <v>0</v>
      </c>
      <c r="M46" s="367">
        <v>0</v>
      </c>
      <c r="N46" s="367">
        <v>0</v>
      </c>
      <c r="O46" s="367">
        <v>0</v>
      </c>
      <c r="P46" s="367">
        <v>0</v>
      </c>
      <c r="Q46" s="368">
        <v>0</v>
      </c>
      <c r="R46" s="368">
        <v>0</v>
      </c>
      <c r="S46" s="368">
        <v>0</v>
      </c>
      <c r="T46" s="368">
        <v>0</v>
      </c>
      <c r="U46" s="368">
        <v>0</v>
      </c>
      <c r="V46" s="368">
        <v>0</v>
      </c>
      <c r="W46" s="368">
        <v>0</v>
      </c>
      <c r="X46" s="368">
        <v>0</v>
      </c>
      <c r="Y46" s="368">
        <v>0</v>
      </c>
      <c r="Z46" s="368">
        <v>0</v>
      </c>
      <c r="AA46" s="368">
        <v>0</v>
      </c>
      <c r="AB46" s="368">
        <v>0</v>
      </c>
      <c r="AC46" s="368">
        <v>0</v>
      </c>
      <c r="AD46" s="368">
        <v>0</v>
      </c>
      <c r="AE46" s="368">
        <v>0</v>
      </c>
      <c r="AF46" s="368">
        <v>0</v>
      </c>
      <c r="AG46" s="368">
        <v>0</v>
      </c>
      <c r="AH46" s="368">
        <v>0</v>
      </c>
      <c r="AI46" s="24">
        <f t="shared" si="2"/>
        <v>0</v>
      </c>
      <c r="AJ46" s="24">
        <f t="shared" si="3"/>
        <v>0</v>
      </c>
      <c r="AK46" s="24">
        <f t="shared" si="4"/>
        <v>0</v>
      </c>
      <c r="AL46" s="24">
        <f t="shared" si="5"/>
        <v>0</v>
      </c>
      <c r="AM46" s="24">
        <f t="shared" si="6"/>
        <v>0</v>
      </c>
      <c r="AN46" s="369">
        <v>0</v>
      </c>
      <c r="AO46" s="369">
        <v>0</v>
      </c>
      <c r="AP46" s="369">
        <v>0</v>
      </c>
      <c r="AQ46" s="369">
        <v>0</v>
      </c>
      <c r="AR46" s="369">
        <v>0</v>
      </c>
      <c r="AS46" s="369">
        <v>0</v>
      </c>
      <c r="AT46" s="369">
        <v>0</v>
      </c>
      <c r="AU46" s="369">
        <v>0</v>
      </c>
      <c r="AV46" s="369">
        <v>0</v>
      </c>
      <c r="AW46" s="369">
        <v>0</v>
      </c>
      <c r="AX46" s="369">
        <v>0</v>
      </c>
      <c r="AY46" s="369">
        <v>0</v>
      </c>
      <c r="AZ46" s="369">
        <v>0</v>
      </c>
      <c r="BA46" s="369">
        <v>0</v>
      </c>
      <c r="BB46" s="369">
        <v>0</v>
      </c>
      <c r="BC46" s="369">
        <v>0</v>
      </c>
      <c r="BD46" s="369">
        <v>0</v>
      </c>
      <c r="BE46" s="369">
        <v>0</v>
      </c>
      <c r="BF46" s="88">
        <f t="shared" si="14"/>
        <v>0</v>
      </c>
      <c r="BG46" s="88">
        <f t="shared" si="15"/>
        <v>0</v>
      </c>
      <c r="BH46" s="88">
        <f t="shared" si="16"/>
        <v>0</v>
      </c>
      <c r="BI46" s="88">
        <f t="shared" si="17"/>
        <v>0</v>
      </c>
      <c r="BJ46" s="88">
        <f t="shared" si="18"/>
        <v>0</v>
      </c>
      <c r="BK46" s="370">
        <v>0</v>
      </c>
      <c r="BL46" s="370">
        <v>0</v>
      </c>
      <c r="BM46" s="370">
        <v>0</v>
      </c>
      <c r="BN46" s="370">
        <v>0</v>
      </c>
      <c r="BO46" s="90"/>
      <c r="BP46" s="90"/>
      <c r="BQ46" s="5">
        <f t="shared" si="7"/>
        <v>722</v>
      </c>
      <c r="BR46" s="5">
        <f t="shared" si="8"/>
        <v>0</v>
      </c>
      <c r="BS46" s="299">
        <v>0</v>
      </c>
      <c r="BT46" s="371">
        <v>0</v>
      </c>
      <c r="BU46" s="371">
        <v>0</v>
      </c>
      <c r="BV46" s="371">
        <v>0</v>
      </c>
      <c r="BW46" s="371">
        <v>0</v>
      </c>
      <c r="BX46" s="371">
        <v>722</v>
      </c>
      <c r="BY46" s="372">
        <v>708</v>
      </c>
      <c r="BZ46" s="372">
        <v>1</v>
      </c>
      <c r="CA46" s="372">
        <v>6</v>
      </c>
      <c r="CB46" s="372">
        <v>0</v>
      </c>
      <c r="CC46" s="372">
        <v>10</v>
      </c>
      <c r="CD46" s="373">
        <v>0</v>
      </c>
      <c r="CE46" s="373">
        <v>0</v>
      </c>
      <c r="CF46" s="373">
        <v>0</v>
      </c>
      <c r="CG46" s="373">
        <v>0</v>
      </c>
      <c r="CH46" s="373">
        <v>8</v>
      </c>
      <c r="CI46" s="373">
        <v>172</v>
      </c>
      <c r="CJ46" s="373">
        <v>187</v>
      </c>
      <c r="CK46" s="373">
        <v>121</v>
      </c>
      <c r="CL46" s="373">
        <v>102</v>
      </c>
      <c r="CM46" s="373">
        <v>59</v>
      </c>
      <c r="CN46" s="373">
        <v>41</v>
      </c>
      <c r="CO46" s="373">
        <v>20</v>
      </c>
      <c r="CP46" s="373">
        <v>4</v>
      </c>
      <c r="CQ46" s="373">
        <v>5</v>
      </c>
      <c r="CR46" s="373">
        <v>1</v>
      </c>
      <c r="CS46" s="373">
        <v>2</v>
      </c>
      <c r="CT46" s="373">
        <v>0</v>
      </c>
      <c r="CU46" s="373">
        <v>0</v>
      </c>
      <c r="CV46" s="25">
        <f t="shared" si="9"/>
        <v>0</v>
      </c>
      <c r="CW46" s="25">
        <f t="shared" si="10"/>
        <v>180</v>
      </c>
      <c r="CX46" s="25">
        <f t="shared" si="11"/>
        <v>510</v>
      </c>
      <c r="CY46" s="25">
        <f t="shared" si="12"/>
        <v>30</v>
      </c>
      <c r="CZ46" s="25">
        <f t="shared" si="13"/>
        <v>2</v>
      </c>
      <c r="DA46" s="374">
        <v>0</v>
      </c>
      <c r="DB46" s="374">
        <v>0</v>
      </c>
      <c r="DC46" s="374">
        <v>0</v>
      </c>
      <c r="DD46" s="374">
        <v>0</v>
      </c>
      <c r="DE46" s="374">
        <v>0</v>
      </c>
      <c r="DF46" s="374">
        <v>0</v>
      </c>
      <c r="DG46" s="374">
        <v>0</v>
      </c>
      <c r="DH46" s="374">
        <v>0</v>
      </c>
      <c r="DI46" s="374">
        <v>0</v>
      </c>
      <c r="DJ46" s="374">
        <v>0</v>
      </c>
      <c r="DK46" s="374">
        <v>0</v>
      </c>
      <c r="DL46" s="374">
        <v>0</v>
      </c>
      <c r="DM46" s="374">
        <v>0</v>
      </c>
      <c r="DN46" s="374">
        <v>0</v>
      </c>
      <c r="DO46" s="374">
        <v>0</v>
      </c>
      <c r="DP46" s="374">
        <v>0</v>
      </c>
      <c r="DQ46" s="374">
        <v>0</v>
      </c>
      <c r="DR46" s="374">
        <v>0</v>
      </c>
      <c r="DS46" s="89">
        <f t="shared" si="19"/>
        <v>0</v>
      </c>
      <c r="DT46" s="89">
        <f t="shared" si="20"/>
        <v>0</v>
      </c>
      <c r="DU46" s="89">
        <f t="shared" si="21"/>
        <v>0</v>
      </c>
      <c r="DV46" s="89">
        <f t="shared" si="22"/>
        <v>0</v>
      </c>
      <c r="DW46" s="89">
        <f t="shared" si="23"/>
        <v>0</v>
      </c>
      <c r="DX46" s="375">
        <v>5091</v>
      </c>
      <c r="DY46" s="375">
        <v>2519</v>
      </c>
      <c r="DZ46" s="375">
        <v>374</v>
      </c>
      <c r="EA46" s="375">
        <v>5793</v>
      </c>
      <c r="EB46" s="90"/>
      <c r="EC46" s="90"/>
    </row>
    <row r="47" spans="1:133" ht="12.95" customHeight="1">
      <c r="A47" s="2">
        <v>44</v>
      </c>
      <c r="B47" s="3" t="s">
        <v>436</v>
      </c>
      <c r="C47" s="3" t="s">
        <v>117</v>
      </c>
      <c r="D47" s="4">
        <f t="shared" si="0"/>
        <v>98</v>
      </c>
      <c r="E47" s="4">
        <f t="shared" si="1"/>
        <v>0</v>
      </c>
      <c r="F47" s="302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98</v>
      </c>
      <c r="L47" s="367">
        <v>97</v>
      </c>
      <c r="M47" s="367">
        <v>0</v>
      </c>
      <c r="N47" s="367">
        <v>1</v>
      </c>
      <c r="O47" s="367">
        <v>0</v>
      </c>
      <c r="P47" s="367">
        <v>1</v>
      </c>
      <c r="Q47" s="368">
        <v>0</v>
      </c>
      <c r="R47" s="368">
        <v>0</v>
      </c>
      <c r="S47" s="368">
        <v>0</v>
      </c>
      <c r="T47" s="368">
        <v>0</v>
      </c>
      <c r="U47" s="368">
        <v>1</v>
      </c>
      <c r="V47" s="368">
        <v>0</v>
      </c>
      <c r="W47" s="368">
        <v>0</v>
      </c>
      <c r="X47" s="368">
        <v>1</v>
      </c>
      <c r="Y47" s="368">
        <v>1</v>
      </c>
      <c r="Z47" s="368">
        <v>0</v>
      </c>
      <c r="AA47" s="368">
        <v>4</v>
      </c>
      <c r="AB47" s="368">
        <v>10</v>
      </c>
      <c r="AC47" s="368">
        <v>16</v>
      </c>
      <c r="AD47" s="368">
        <v>13</v>
      </c>
      <c r="AE47" s="368">
        <v>22</v>
      </c>
      <c r="AF47" s="368">
        <v>12</v>
      </c>
      <c r="AG47" s="368">
        <v>13</v>
      </c>
      <c r="AH47" s="368">
        <v>5</v>
      </c>
      <c r="AI47" s="24">
        <f t="shared" si="2"/>
        <v>0</v>
      </c>
      <c r="AJ47" s="24">
        <f t="shared" si="3"/>
        <v>1</v>
      </c>
      <c r="AK47" s="24">
        <f t="shared" si="4"/>
        <v>6</v>
      </c>
      <c r="AL47" s="24">
        <f t="shared" si="5"/>
        <v>61</v>
      </c>
      <c r="AM47" s="24">
        <f t="shared" si="6"/>
        <v>30</v>
      </c>
      <c r="AN47" s="369">
        <v>0</v>
      </c>
      <c r="AO47" s="369">
        <v>0</v>
      </c>
      <c r="AP47" s="369">
        <v>0</v>
      </c>
      <c r="AQ47" s="369">
        <v>0</v>
      </c>
      <c r="AR47" s="369">
        <v>0</v>
      </c>
      <c r="AS47" s="369">
        <v>0</v>
      </c>
      <c r="AT47" s="369">
        <v>0</v>
      </c>
      <c r="AU47" s="369">
        <v>0</v>
      </c>
      <c r="AV47" s="369">
        <v>0</v>
      </c>
      <c r="AW47" s="369">
        <v>0</v>
      </c>
      <c r="AX47" s="369">
        <v>0</v>
      </c>
      <c r="AY47" s="369">
        <v>0</v>
      </c>
      <c r="AZ47" s="369">
        <v>0</v>
      </c>
      <c r="BA47" s="369">
        <v>0</v>
      </c>
      <c r="BB47" s="369">
        <v>0</v>
      </c>
      <c r="BC47" s="369">
        <v>0</v>
      </c>
      <c r="BD47" s="369">
        <v>0</v>
      </c>
      <c r="BE47" s="369">
        <v>0</v>
      </c>
      <c r="BF47" s="88">
        <f t="shared" si="14"/>
        <v>0</v>
      </c>
      <c r="BG47" s="88">
        <f t="shared" si="15"/>
        <v>0</v>
      </c>
      <c r="BH47" s="88">
        <f t="shared" si="16"/>
        <v>0</v>
      </c>
      <c r="BI47" s="88">
        <f t="shared" si="17"/>
        <v>0</v>
      </c>
      <c r="BJ47" s="88">
        <f t="shared" si="18"/>
        <v>0</v>
      </c>
      <c r="BK47" s="370">
        <v>462</v>
      </c>
      <c r="BL47" s="370">
        <v>204</v>
      </c>
      <c r="BM47" s="370">
        <v>35</v>
      </c>
      <c r="BN47" s="370">
        <v>533</v>
      </c>
      <c r="BO47" s="90"/>
      <c r="BP47" s="90"/>
      <c r="BQ47" s="5">
        <f t="shared" si="7"/>
        <v>37</v>
      </c>
      <c r="BR47" s="5">
        <f t="shared" si="8"/>
        <v>0</v>
      </c>
      <c r="BS47" s="299">
        <v>0</v>
      </c>
      <c r="BT47" s="371">
        <v>0</v>
      </c>
      <c r="BU47" s="371">
        <v>0</v>
      </c>
      <c r="BV47" s="371">
        <v>0</v>
      </c>
      <c r="BW47" s="371">
        <v>0</v>
      </c>
      <c r="BX47" s="371">
        <v>37</v>
      </c>
      <c r="BY47" s="372">
        <v>36</v>
      </c>
      <c r="BZ47" s="372">
        <v>0</v>
      </c>
      <c r="CA47" s="372">
        <v>1</v>
      </c>
      <c r="CB47" s="372">
        <v>0</v>
      </c>
      <c r="CC47" s="372">
        <v>0</v>
      </c>
      <c r="CD47" s="373">
        <v>0</v>
      </c>
      <c r="CE47" s="373">
        <v>0</v>
      </c>
      <c r="CF47" s="373">
        <v>0</v>
      </c>
      <c r="CG47" s="373">
        <v>1</v>
      </c>
      <c r="CH47" s="373">
        <v>0</v>
      </c>
      <c r="CI47" s="373">
        <v>0</v>
      </c>
      <c r="CJ47" s="373">
        <v>0</v>
      </c>
      <c r="CK47" s="373">
        <v>0</v>
      </c>
      <c r="CL47" s="373">
        <v>1</v>
      </c>
      <c r="CM47" s="373">
        <v>1</v>
      </c>
      <c r="CN47" s="373">
        <v>1</v>
      </c>
      <c r="CO47" s="373">
        <v>4</v>
      </c>
      <c r="CP47" s="373">
        <v>6</v>
      </c>
      <c r="CQ47" s="373">
        <v>6</v>
      </c>
      <c r="CR47" s="373">
        <v>5</v>
      </c>
      <c r="CS47" s="373">
        <v>4</v>
      </c>
      <c r="CT47" s="373">
        <v>5</v>
      </c>
      <c r="CU47" s="373">
        <v>3</v>
      </c>
      <c r="CV47" s="25">
        <f t="shared" si="9"/>
        <v>0</v>
      </c>
      <c r="CW47" s="25">
        <f t="shared" si="10"/>
        <v>1</v>
      </c>
      <c r="CX47" s="25">
        <f t="shared" si="11"/>
        <v>3</v>
      </c>
      <c r="CY47" s="25">
        <f t="shared" si="12"/>
        <v>21</v>
      </c>
      <c r="CZ47" s="25">
        <f t="shared" si="13"/>
        <v>12</v>
      </c>
      <c r="DA47" s="374">
        <v>0</v>
      </c>
      <c r="DB47" s="374">
        <v>0</v>
      </c>
      <c r="DC47" s="374">
        <v>0</v>
      </c>
      <c r="DD47" s="374">
        <v>0</v>
      </c>
      <c r="DE47" s="374">
        <v>0</v>
      </c>
      <c r="DF47" s="374">
        <v>0</v>
      </c>
      <c r="DG47" s="374">
        <v>0</v>
      </c>
      <c r="DH47" s="374">
        <v>0</v>
      </c>
      <c r="DI47" s="374">
        <v>0</v>
      </c>
      <c r="DJ47" s="374">
        <v>0</v>
      </c>
      <c r="DK47" s="374">
        <v>0</v>
      </c>
      <c r="DL47" s="374">
        <v>0</v>
      </c>
      <c r="DM47" s="374">
        <v>0</v>
      </c>
      <c r="DN47" s="374">
        <v>0</v>
      </c>
      <c r="DO47" s="374">
        <v>0</v>
      </c>
      <c r="DP47" s="374">
        <v>0</v>
      </c>
      <c r="DQ47" s="374">
        <v>0</v>
      </c>
      <c r="DR47" s="374">
        <v>0</v>
      </c>
      <c r="DS47" s="89">
        <f t="shared" si="19"/>
        <v>0</v>
      </c>
      <c r="DT47" s="89">
        <f t="shared" si="20"/>
        <v>0</v>
      </c>
      <c r="DU47" s="89">
        <f t="shared" si="21"/>
        <v>0</v>
      </c>
      <c r="DV47" s="89">
        <f t="shared" si="22"/>
        <v>0</v>
      </c>
      <c r="DW47" s="89">
        <f t="shared" si="23"/>
        <v>0</v>
      </c>
      <c r="DX47" s="375">
        <v>189</v>
      </c>
      <c r="DY47" s="375">
        <v>88</v>
      </c>
      <c r="DZ47" s="375">
        <v>13</v>
      </c>
      <c r="EA47" s="375">
        <v>222</v>
      </c>
      <c r="EB47" s="90"/>
      <c r="EC47" s="90"/>
    </row>
    <row r="48" spans="1:133" ht="12.95" customHeight="1">
      <c r="A48" s="12">
        <v>45</v>
      </c>
      <c r="B48" s="3" t="s">
        <v>266</v>
      </c>
      <c r="C48" s="3" t="s">
        <v>118</v>
      </c>
      <c r="D48" s="4">
        <f t="shared" si="0"/>
        <v>42</v>
      </c>
      <c r="E48" s="4">
        <f t="shared" si="1"/>
        <v>11</v>
      </c>
      <c r="F48" s="302">
        <v>0</v>
      </c>
      <c r="G48" s="366">
        <v>0</v>
      </c>
      <c r="H48" s="366">
        <v>0</v>
      </c>
      <c r="I48" s="366">
        <v>0</v>
      </c>
      <c r="J48" s="366">
        <v>0</v>
      </c>
      <c r="K48" s="366">
        <v>42</v>
      </c>
      <c r="L48" s="367">
        <v>28</v>
      </c>
      <c r="M48" s="367">
        <v>0</v>
      </c>
      <c r="N48" s="367">
        <v>4</v>
      </c>
      <c r="O48" s="367">
        <v>8</v>
      </c>
      <c r="P48" s="367">
        <v>2</v>
      </c>
      <c r="Q48" s="368">
        <v>0</v>
      </c>
      <c r="R48" s="368">
        <v>0</v>
      </c>
      <c r="S48" s="368">
        <v>0</v>
      </c>
      <c r="T48" s="368">
        <v>1</v>
      </c>
      <c r="U48" s="368">
        <v>1</v>
      </c>
      <c r="V48" s="368">
        <v>1</v>
      </c>
      <c r="W48" s="368">
        <v>1</v>
      </c>
      <c r="X48" s="368">
        <v>1</v>
      </c>
      <c r="Y48" s="368">
        <v>1</v>
      </c>
      <c r="Z48" s="368">
        <v>1</v>
      </c>
      <c r="AA48" s="368">
        <v>3</v>
      </c>
      <c r="AB48" s="368">
        <v>3</v>
      </c>
      <c r="AC48" s="368">
        <v>8</v>
      </c>
      <c r="AD48" s="368">
        <v>10</v>
      </c>
      <c r="AE48" s="368">
        <v>2</v>
      </c>
      <c r="AF48" s="368">
        <v>4</v>
      </c>
      <c r="AG48" s="368">
        <v>3</v>
      </c>
      <c r="AH48" s="368">
        <v>2</v>
      </c>
      <c r="AI48" s="24">
        <f t="shared" si="2"/>
        <v>0</v>
      </c>
      <c r="AJ48" s="24">
        <f t="shared" si="3"/>
        <v>3</v>
      </c>
      <c r="AK48" s="24">
        <f t="shared" si="4"/>
        <v>7</v>
      </c>
      <c r="AL48" s="24">
        <f t="shared" si="5"/>
        <v>23</v>
      </c>
      <c r="AM48" s="24">
        <f t="shared" si="6"/>
        <v>9</v>
      </c>
      <c r="AN48" s="369">
        <v>0</v>
      </c>
      <c r="AO48" s="369">
        <v>0</v>
      </c>
      <c r="AP48" s="369">
        <v>0</v>
      </c>
      <c r="AQ48" s="369">
        <v>0</v>
      </c>
      <c r="AR48" s="369">
        <v>0</v>
      </c>
      <c r="AS48" s="369">
        <v>0</v>
      </c>
      <c r="AT48" s="369">
        <v>0</v>
      </c>
      <c r="AU48" s="369">
        <v>0</v>
      </c>
      <c r="AV48" s="369">
        <v>0</v>
      </c>
      <c r="AW48" s="369">
        <v>0</v>
      </c>
      <c r="AX48" s="369">
        <v>0</v>
      </c>
      <c r="AY48" s="369">
        <v>0</v>
      </c>
      <c r="AZ48" s="369">
        <v>1</v>
      </c>
      <c r="BA48" s="369">
        <v>4</v>
      </c>
      <c r="BB48" s="369">
        <v>1</v>
      </c>
      <c r="BC48" s="369">
        <v>4</v>
      </c>
      <c r="BD48" s="369">
        <v>0</v>
      </c>
      <c r="BE48" s="369">
        <v>1</v>
      </c>
      <c r="BF48" s="88">
        <f t="shared" si="14"/>
        <v>0</v>
      </c>
      <c r="BG48" s="88">
        <f t="shared" si="15"/>
        <v>0</v>
      </c>
      <c r="BH48" s="88">
        <f t="shared" si="16"/>
        <v>0</v>
      </c>
      <c r="BI48" s="88">
        <f t="shared" si="17"/>
        <v>6</v>
      </c>
      <c r="BJ48" s="88">
        <f t="shared" si="18"/>
        <v>5</v>
      </c>
      <c r="BK48" s="370">
        <v>40</v>
      </c>
      <c r="BL48" s="370">
        <v>14</v>
      </c>
      <c r="BM48" s="370">
        <v>5</v>
      </c>
      <c r="BN48" s="370">
        <v>67</v>
      </c>
      <c r="BO48" s="90"/>
      <c r="BP48" s="90"/>
      <c r="BQ48" s="5">
        <f t="shared" si="7"/>
        <v>114</v>
      </c>
      <c r="BR48" s="5">
        <f t="shared" si="8"/>
        <v>16</v>
      </c>
      <c r="BS48" s="299">
        <v>0</v>
      </c>
      <c r="BT48" s="371">
        <v>0</v>
      </c>
      <c r="BU48" s="371">
        <v>0</v>
      </c>
      <c r="BV48" s="371">
        <v>0</v>
      </c>
      <c r="BW48" s="371">
        <v>0</v>
      </c>
      <c r="BX48" s="371">
        <v>114</v>
      </c>
      <c r="BY48" s="372">
        <v>83</v>
      </c>
      <c r="BZ48" s="372">
        <v>0</v>
      </c>
      <c r="CA48" s="372">
        <v>6</v>
      </c>
      <c r="CB48" s="372">
        <v>21</v>
      </c>
      <c r="CC48" s="372">
        <v>4</v>
      </c>
      <c r="CD48" s="373">
        <v>0</v>
      </c>
      <c r="CE48" s="373">
        <v>0</v>
      </c>
      <c r="CF48" s="373">
        <v>1</v>
      </c>
      <c r="CG48" s="373">
        <v>1</v>
      </c>
      <c r="CH48" s="373">
        <v>1</v>
      </c>
      <c r="CI48" s="373">
        <v>0</v>
      </c>
      <c r="CJ48" s="373">
        <v>2</v>
      </c>
      <c r="CK48" s="373">
        <v>3</v>
      </c>
      <c r="CL48" s="373">
        <v>6</v>
      </c>
      <c r="CM48" s="373">
        <v>5</v>
      </c>
      <c r="CN48" s="373">
        <v>10</v>
      </c>
      <c r="CO48" s="373">
        <v>8</v>
      </c>
      <c r="CP48" s="373">
        <v>12</v>
      </c>
      <c r="CQ48" s="373">
        <v>16</v>
      </c>
      <c r="CR48" s="373">
        <v>14</v>
      </c>
      <c r="CS48" s="373">
        <v>16</v>
      </c>
      <c r="CT48" s="373">
        <v>10</v>
      </c>
      <c r="CU48" s="373">
        <v>9</v>
      </c>
      <c r="CV48" s="25">
        <f t="shared" si="9"/>
        <v>1</v>
      </c>
      <c r="CW48" s="25">
        <f t="shared" si="10"/>
        <v>2</v>
      </c>
      <c r="CX48" s="25">
        <f t="shared" si="11"/>
        <v>26</v>
      </c>
      <c r="CY48" s="25">
        <f t="shared" si="12"/>
        <v>50</v>
      </c>
      <c r="CZ48" s="25">
        <f t="shared" si="13"/>
        <v>35</v>
      </c>
      <c r="DA48" s="374">
        <v>0</v>
      </c>
      <c r="DB48" s="374">
        <v>0</v>
      </c>
      <c r="DC48" s="374">
        <v>0</v>
      </c>
      <c r="DD48" s="374">
        <v>0</v>
      </c>
      <c r="DE48" s="374">
        <v>0</v>
      </c>
      <c r="DF48" s="374">
        <v>0</v>
      </c>
      <c r="DG48" s="374">
        <v>1</v>
      </c>
      <c r="DH48" s="374">
        <v>0</v>
      </c>
      <c r="DI48" s="374">
        <v>0</v>
      </c>
      <c r="DJ48" s="374">
        <v>0</v>
      </c>
      <c r="DK48" s="374">
        <v>0</v>
      </c>
      <c r="DL48" s="374">
        <v>0</v>
      </c>
      <c r="DM48" s="374">
        <v>1</v>
      </c>
      <c r="DN48" s="374">
        <v>3</v>
      </c>
      <c r="DO48" s="374">
        <v>1</v>
      </c>
      <c r="DP48" s="374">
        <v>5</v>
      </c>
      <c r="DQ48" s="374">
        <v>4</v>
      </c>
      <c r="DR48" s="374">
        <v>1</v>
      </c>
      <c r="DS48" s="89">
        <f t="shared" si="19"/>
        <v>0</v>
      </c>
      <c r="DT48" s="89">
        <f t="shared" si="20"/>
        <v>0</v>
      </c>
      <c r="DU48" s="89">
        <f t="shared" si="21"/>
        <v>1</v>
      </c>
      <c r="DV48" s="89">
        <f t="shared" si="22"/>
        <v>5</v>
      </c>
      <c r="DW48" s="89">
        <f t="shared" si="23"/>
        <v>10</v>
      </c>
      <c r="DX48" s="375">
        <v>165</v>
      </c>
      <c r="DY48" s="375">
        <v>27</v>
      </c>
      <c r="DZ48" s="375">
        <v>18</v>
      </c>
      <c r="EA48" s="375">
        <v>245</v>
      </c>
      <c r="EB48" s="90"/>
      <c r="EC48" s="90"/>
    </row>
    <row r="49" spans="1:133" ht="12.95" customHeight="1">
      <c r="A49" s="2">
        <v>46</v>
      </c>
      <c r="B49" s="3" t="s">
        <v>77</v>
      </c>
      <c r="C49" s="3" t="s">
        <v>119</v>
      </c>
      <c r="D49" s="4">
        <f t="shared" si="0"/>
        <v>0</v>
      </c>
      <c r="E49" s="4">
        <f t="shared" si="1"/>
        <v>0</v>
      </c>
      <c r="F49" s="302">
        <v>0</v>
      </c>
      <c r="G49" s="366">
        <v>0</v>
      </c>
      <c r="H49" s="366">
        <v>0</v>
      </c>
      <c r="I49" s="366">
        <v>0</v>
      </c>
      <c r="J49" s="366">
        <v>0</v>
      </c>
      <c r="K49" s="366">
        <v>0</v>
      </c>
      <c r="L49" s="367">
        <v>0</v>
      </c>
      <c r="M49" s="367">
        <v>0</v>
      </c>
      <c r="N49" s="367">
        <v>0</v>
      </c>
      <c r="O49" s="367">
        <v>0</v>
      </c>
      <c r="P49" s="367">
        <v>0</v>
      </c>
      <c r="Q49" s="368">
        <v>0</v>
      </c>
      <c r="R49" s="368">
        <v>0</v>
      </c>
      <c r="S49" s="368">
        <v>0</v>
      </c>
      <c r="T49" s="368">
        <v>0</v>
      </c>
      <c r="U49" s="368">
        <v>0</v>
      </c>
      <c r="V49" s="368">
        <v>0</v>
      </c>
      <c r="W49" s="368">
        <v>0</v>
      </c>
      <c r="X49" s="368">
        <v>0</v>
      </c>
      <c r="Y49" s="368">
        <v>0</v>
      </c>
      <c r="Z49" s="368">
        <v>0</v>
      </c>
      <c r="AA49" s="368">
        <v>0</v>
      </c>
      <c r="AB49" s="368">
        <v>0</v>
      </c>
      <c r="AC49" s="368">
        <v>0</v>
      </c>
      <c r="AD49" s="368">
        <v>0</v>
      </c>
      <c r="AE49" s="368">
        <v>0</v>
      </c>
      <c r="AF49" s="368">
        <v>0</v>
      </c>
      <c r="AG49" s="368">
        <v>0</v>
      </c>
      <c r="AH49" s="368">
        <v>0</v>
      </c>
      <c r="AI49" s="24">
        <f t="shared" si="2"/>
        <v>0</v>
      </c>
      <c r="AJ49" s="24">
        <f t="shared" si="3"/>
        <v>0</v>
      </c>
      <c r="AK49" s="24">
        <f t="shared" si="4"/>
        <v>0</v>
      </c>
      <c r="AL49" s="24">
        <f t="shared" si="5"/>
        <v>0</v>
      </c>
      <c r="AM49" s="24">
        <f t="shared" si="6"/>
        <v>0</v>
      </c>
      <c r="AN49" s="369">
        <v>0</v>
      </c>
      <c r="AO49" s="369">
        <v>0</v>
      </c>
      <c r="AP49" s="369">
        <v>0</v>
      </c>
      <c r="AQ49" s="369">
        <v>0</v>
      </c>
      <c r="AR49" s="369">
        <v>0</v>
      </c>
      <c r="AS49" s="369">
        <v>0</v>
      </c>
      <c r="AT49" s="369">
        <v>0</v>
      </c>
      <c r="AU49" s="369">
        <v>0</v>
      </c>
      <c r="AV49" s="369">
        <v>0</v>
      </c>
      <c r="AW49" s="369">
        <v>0</v>
      </c>
      <c r="AX49" s="369">
        <v>0</v>
      </c>
      <c r="AY49" s="369">
        <v>0</v>
      </c>
      <c r="AZ49" s="369">
        <v>0</v>
      </c>
      <c r="BA49" s="369">
        <v>0</v>
      </c>
      <c r="BB49" s="369">
        <v>0</v>
      </c>
      <c r="BC49" s="369">
        <v>0</v>
      </c>
      <c r="BD49" s="369">
        <v>0</v>
      </c>
      <c r="BE49" s="369">
        <v>0</v>
      </c>
      <c r="BF49" s="88">
        <f t="shared" si="14"/>
        <v>0</v>
      </c>
      <c r="BG49" s="88">
        <f t="shared" si="15"/>
        <v>0</v>
      </c>
      <c r="BH49" s="88">
        <f t="shared" si="16"/>
        <v>0</v>
      </c>
      <c r="BI49" s="88">
        <f t="shared" si="17"/>
        <v>0</v>
      </c>
      <c r="BJ49" s="88">
        <f t="shared" si="18"/>
        <v>0</v>
      </c>
      <c r="BK49" s="370">
        <v>0</v>
      </c>
      <c r="BL49" s="370">
        <v>0</v>
      </c>
      <c r="BM49" s="370">
        <v>0</v>
      </c>
      <c r="BN49" s="370">
        <v>0</v>
      </c>
      <c r="BO49" s="90"/>
      <c r="BP49" s="90"/>
      <c r="BQ49" s="5">
        <f t="shared" si="7"/>
        <v>42</v>
      </c>
      <c r="BR49" s="5">
        <f t="shared" si="8"/>
        <v>1</v>
      </c>
      <c r="BS49" s="299">
        <v>0</v>
      </c>
      <c r="BT49" s="371">
        <v>27</v>
      </c>
      <c r="BU49" s="371">
        <v>1</v>
      </c>
      <c r="BV49" s="371">
        <v>0</v>
      </c>
      <c r="BW49" s="371">
        <v>0</v>
      </c>
      <c r="BX49" s="371">
        <v>14</v>
      </c>
      <c r="BY49" s="372">
        <v>39</v>
      </c>
      <c r="BZ49" s="372">
        <v>0</v>
      </c>
      <c r="CA49" s="372">
        <v>0</v>
      </c>
      <c r="CB49" s="372">
        <v>3</v>
      </c>
      <c r="CC49" s="372">
        <v>0</v>
      </c>
      <c r="CD49" s="373">
        <v>0</v>
      </c>
      <c r="CE49" s="373">
        <v>0</v>
      </c>
      <c r="CF49" s="373">
        <v>0</v>
      </c>
      <c r="CG49" s="373">
        <v>0</v>
      </c>
      <c r="CH49" s="373">
        <v>0</v>
      </c>
      <c r="CI49" s="373">
        <v>2</v>
      </c>
      <c r="CJ49" s="373">
        <v>5</v>
      </c>
      <c r="CK49" s="373">
        <v>5</v>
      </c>
      <c r="CL49" s="373">
        <v>1</v>
      </c>
      <c r="CM49" s="373">
        <v>3</v>
      </c>
      <c r="CN49" s="373">
        <v>4</v>
      </c>
      <c r="CO49" s="373">
        <v>10</v>
      </c>
      <c r="CP49" s="373">
        <v>2</v>
      </c>
      <c r="CQ49" s="373">
        <v>4</v>
      </c>
      <c r="CR49" s="373">
        <v>2</v>
      </c>
      <c r="CS49" s="373">
        <v>1</v>
      </c>
      <c r="CT49" s="373">
        <v>2</v>
      </c>
      <c r="CU49" s="373">
        <v>1</v>
      </c>
      <c r="CV49" s="25">
        <f t="shared" si="9"/>
        <v>0</v>
      </c>
      <c r="CW49" s="25">
        <f t="shared" si="10"/>
        <v>2</v>
      </c>
      <c r="CX49" s="25">
        <f t="shared" si="11"/>
        <v>18</v>
      </c>
      <c r="CY49" s="25">
        <f t="shared" si="12"/>
        <v>18</v>
      </c>
      <c r="CZ49" s="25">
        <f t="shared" si="13"/>
        <v>4</v>
      </c>
      <c r="DA49" s="374">
        <v>0</v>
      </c>
      <c r="DB49" s="374">
        <v>0</v>
      </c>
      <c r="DC49" s="374">
        <v>0</v>
      </c>
      <c r="DD49" s="374">
        <v>0</v>
      </c>
      <c r="DE49" s="374">
        <v>0</v>
      </c>
      <c r="DF49" s="374">
        <v>0</v>
      </c>
      <c r="DG49" s="374">
        <v>0</v>
      </c>
      <c r="DH49" s="374">
        <v>0</v>
      </c>
      <c r="DI49" s="374">
        <v>0</v>
      </c>
      <c r="DJ49" s="374">
        <v>0</v>
      </c>
      <c r="DK49" s="374">
        <v>0</v>
      </c>
      <c r="DL49" s="374">
        <v>0</v>
      </c>
      <c r="DM49" s="374">
        <v>0</v>
      </c>
      <c r="DN49" s="374">
        <v>0</v>
      </c>
      <c r="DO49" s="374">
        <v>0</v>
      </c>
      <c r="DP49" s="374">
        <v>0</v>
      </c>
      <c r="DQ49" s="374">
        <v>1</v>
      </c>
      <c r="DR49" s="374">
        <v>0</v>
      </c>
      <c r="DS49" s="89">
        <f t="shared" si="19"/>
        <v>0</v>
      </c>
      <c r="DT49" s="89">
        <f t="shared" si="20"/>
        <v>0</v>
      </c>
      <c r="DU49" s="89">
        <f t="shared" si="21"/>
        <v>0</v>
      </c>
      <c r="DV49" s="89">
        <f t="shared" si="22"/>
        <v>0</v>
      </c>
      <c r="DW49" s="89">
        <f t="shared" si="23"/>
        <v>1</v>
      </c>
      <c r="DX49" s="375">
        <v>361</v>
      </c>
      <c r="DY49" s="375">
        <v>168</v>
      </c>
      <c r="DZ49" s="375">
        <v>48</v>
      </c>
      <c r="EA49" s="375">
        <v>395</v>
      </c>
      <c r="EB49" s="90"/>
      <c r="EC49" s="90"/>
    </row>
    <row r="50" spans="1:133" ht="12.95" customHeight="1">
      <c r="A50" s="12">
        <v>47</v>
      </c>
      <c r="B50" s="3" t="s">
        <v>433</v>
      </c>
      <c r="C50" s="3" t="s">
        <v>120</v>
      </c>
      <c r="D50" s="4">
        <f t="shared" si="0"/>
        <v>18</v>
      </c>
      <c r="E50" s="4">
        <f t="shared" si="1"/>
        <v>4</v>
      </c>
      <c r="F50" s="302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18</v>
      </c>
      <c r="L50" s="367">
        <v>10</v>
      </c>
      <c r="M50" s="367">
        <v>1</v>
      </c>
      <c r="N50" s="367">
        <v>1</v>
      </c>
      <c r="O50" s="367">
        <v>5</v>
      </c>
      <c r="P50" s="367">
        <v>1</v>
      </c>
      <c r="Q50" s="368">
        <v>2</v>
      </c>
      <c r="R50" s="368">
        <v>1</v>
      </c>
      <c r="S50" s="368">
        <v>0</v>
      </c>
      <c r="T50" s="368">
        <v>1</v>
      </c>
      <c r="U50" s="368">
        <v>0</v>
      </c>
      <c r="V50" s="368">
        <v>0</v>
      </c>
      <c r="W50" s="368">
        <v>0</v>
      </c>
      <c r="X50" s="368">
        <v>2</v>
      </c>
      <c r="Y50" s="368">
        <v>0</v>
      </c>
      <c r="Z50" s="368">
        <v>0</v>
      </c>
      <c r="AA50" s="368">
        <v>1</v>
      </c>
      <c r="AB50" s="368">
        <v>1</v>
      </c>
      <c r="AC50" s="368">
        <v>2</v>
      </c>
      <c r="AD50" s="368">
        <v>2</v>
      </c>
      <c r="AE50" s="368">
        <v>1</v>
      </c>
      <c r="AF50" s="368">
        <v>2</v>
      </c>
      <c r="AG50" s="368">
        <v>3</v>
      </c>
      <c r="AH50" s="368">
        <v>0</v>
      </c>
      <c r="AI50" s="24">
        <f t="shared" si="2"/>
        <v>3</v>
      </c>
      <c r="AJ50" s="24">
        <f t="shared" si="3"/>
        <v>1</v>
      </c>
      <c r="AK50" s="24">
        <f t="shared" si="4"/>
        <v>3</v>
      </c>
      <c r="AL50" s="24">
        <f t="shared" si="5"/>
        <v>6</v>
      </c>
      <c r="AM50" s="24">
        <f t="shared" si="6"/>
        <v>5</v>
      </c>
      <c r="AN50" s="369">
        <v>0</v>
      </c>
      <c r="AO50" s="369">
        <v>0</v>
      </c>
      <c r="AP50" s="369">
        <v>0</v>
      </c>
      <c r="AQ50" s="369">
        <v>0</v>
      </c>
      <c r="AR50" s="369">
        <v>0</v>
      </c>
      <c r="AS50" s="369">
        <v>0</v>
      </c>
      <c r="AT50" s="369">
        <v>0</v>
      </c>
      <c r="AU50" s="369">
        <v>0</v>
      </c>
      <c r="AV50" s="369">
        <v>0</v>
      </c>
      <c r="AW50" s="369">
        <v>0</v>
      </c>
      <c r="AX50" s="369">
        <v>0</v>
      </c>
      <c r="AY50" s="369">
        <v>1</v>
      </c>
      <c r="AZ50" s="369">
        <v>1</v>
      </c>
      <c r="BA50" s="369">
        <v>0</v>
      </c>
      <c r="BB50" s="369">
        <v>0</v>
      </c>
      <c r="BC50" s="369">
        <v>0</v>
      </c>
      <c r="BD50" s="369">
        <v>2</v>
      </c>
      <c r="BE50" s="369">
        <v>0</v>
      </c>
      <c r="BF50" s="88">
        <f t="shared" si="14"/>
        <v>0</v>
      </c>
      <c r="BG50" s="88">
        <f t="shared" si="15"/>
        <v>0</v>
      </c>
      <c r="BH50" s="88">
        <f t="shared" si="16"/>
        <v>0</v>
      </c>
      <c r="BI50" s="88">
        <f t="shared" si="17"/>
        <v>2</v>
      </c>
      <c r="BJ50" s="88">
        <f t="shared" si="18"/>
        <v>2</v>
      </c>
      <c r="BK50" s="370">
        <v>34</v>
      </c>
      <c r="BL50" s="370">
        <v>16</v>
      </c>
      <c r="BM50" s="370">
        <v>7</v>
      </c>
      <c r="BN50" s="370">
        <v>42</v>
      </c>
      <c r="BO50" s="90"/>
      <c r="BP50" s="90"/>
      <c r="BQ50" s="5">
        <f t="shared" si="7"/>
        <v>31</v>
      </c>
      <c r="BR50" s="5">
        <f t="shared" si="8"/>
        <v>5</v>
      </c>
      <c r="BS50" s="299">
        <v>0</v>
      </c>
      <c r="BT50" s="371">
        <v>0</v>
      </c>
      <c r="BU50" s="371">
        <v>0</v>
      </c>
      <c r="BV50" s="371">
        <v>0</v>
      </c>
      <c r="BW50" s="371">
        <v>0</v>
      </c>
      <c r="BX50" s="371">
        <v>31</v>
      </c>
      <c r="BY50" s="372">
        <v>16</v>
      </c>
      <c r="BZ50" s="372">
        <v>0</v>
      </c>
      <c r="CA50" s="372">
        <v>3</v>
      </c>
      <c r="CB50" s="372">
        <v>11</v>
      </c>
      <c r="CC50" s="372">
        <v>1</v>
      </c>
      <c r="CD50" s="373">
        <v>1</v>
      </c>
      <c r="CE50" s="373">
        <v>0</v>
      </c>
      <c r="CF50" s="373">
        <v>1</v>
      </c>
      <c r="CG50" s="373">
        <v>1</v>
      </c>
      <c r="CH50" s="373">
        <v>0</v>
      </c>
      <c r="CI50" s="373">
        <v>2</v>
      </c>
      <c r="CJ50" s="373">
        <v>1</v>
      </c>
      <c r="CK50" s="373">
        <v>1</v>
      </c>
      <c r="CL50" s="373">
        <v>2</v>
      </c>
      <c r="CM50" s="373">
        <v>0</v>
      </c>
      <c r="CN50" s="373">
        <v>2</v>
      </c>
      <c r="CO50" s="373">
        <v>0</v>
      </c>
      <c r="CP50" s="373">
        <v>2</v>
      </c>
      <c r="CQ50" s="373">
        <v>0</v>
      </c>
      <c r="CR50" s="373">
        <v>4</v>
      </c>
      <c r="CS50" s="373">
        <v>4</v>
      </c>
      <c r="CT50" s="373">
        <v>5</v>
      </c>
      <c r="CU50" s="373">
        <v>5</v>
      </c>
      <c r="CV50" s="25">
        <f t="shared" si="9"/>
        <v>2</v>
      </c>
      <c r="CW50" s="25">
        <f t="shared" si="10"/>
        <v>3</v>
      </c>
      <c r="CX50" s="25">
        <f t="shared" si="11"/>
        <v>6</v>
      </c>
      <c r="CY50" s="25">
        <f t="shared" si="12"/>
        <v>6</v>
      </c>
      <c r="CZ50" s="25">
        <f t="shared" si="13"/>
        <v>14</v>
      </c>
      <c r="DA50" s="374">
        <v>0</v>
      </c>
      <c r="DB50" s="374">
        <v>0</v>
      </c>
      <c r="DC50" s="374">
        <v>0</v>
      </c>
      <c r="DD50" s="374">
        <v>0</v>
      </c>
      <c r="DE50" s="374">
        <v>0</v>
      </c>
      <c r="DF50" s="374">
        <v>0</v>
      </c>
      <c r="DG50" s="374">
        <v>0</v>
      </c>
      <c r="DH50" s="374">
        <v>0</v>
      </c>
      <c r="DI50" s="374">
        <v>0</v>
      </c>
      <c r="DJ50" s="374">
        <v>0</v>
      </c>
      <c r="DK50" s="374">
        <v>0</v>
      </c>
      <c r="DL50" s="374">
        <v>0</v>
      </c>
      <c r="DM50" s="374">
        <v>0</v>
      </c>
      <c r="DN50" s="374">
        <v>0</v>
      </c>
      <c r="DO50" s="374">
        <v>1</v>
      </c>
      <c r="DP50" s="374">
        <v>1</v>
      </c>
      <c r="DQ50" s="374">
        <v>1</v>
      </c>
      <c r="DR50" s="374">
        <v>2</v>
      </c>
      <c r="DS50" s="89">
        <f t="shared" si="19"/>
        <v>0</v>
      </c>
      <c r="DT50" s="89">
        <f t="shared" si="20"/>
        <v>0</v>
      </c>
      <c r="DU50" s="89">
        <f t="shared" si="21"/>
        <v>0</v>
      </c>
      <c r="DV50" s="89">
        <f t="shared" si="22"/>
        <v>1</v>
      </c>
      <c r="DW50" s="89">
        <f t="shared" si="23"/>
        <v>4</v>
      </c>
      <c r="DX50" s="375">
        <v>45</v>
      </c>
      <c r="DY50" s="375">
        <v>16</v>
      </c>
      <c r="DZ50" s="375">
        <v>7</v>
      </c>
      <c r="EA50" s="375">
        <v>60</v>
      </c>
      <c r="EB50" s="90"/>
      <c r="EC50" s="90"/>
    </row>
    <row r="51" spans="1:133" ht="12.95" customHeight="1">
      <c r="A51" s="2">
        <v>48</v>
      </c>
      <c r="B51" s="3" t="s">
        <v>121</v>
      </c>
      <c r="C51" s="3" t="s">
        <v>122</v>
      </c>
      <c r="D51" s="4">
        <f t="shared" si="0"/>
        <v>187</v>
      </c>
      <c r="E51" s="4">
        <f t="shared" si="1"/>
        <v>35</v>
      </c>
      <c r="F51" s="302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187</v>
      </c>
      <c r="L51" s="367">
        <v>158</v>
      </c>
      <c r="M51" s="367">
        <v>6</v>
      </c>
      <c r="N51" s="367">
        <v>1</v>
      </c>
      <c r="O51" s="367">
        <v>21</v>
      </c>
      <c r="P51" s="367">
        <v>3</v>
      </c>
      <c r="Q51" s="368">
        <v>0</v>
      </c>
      <c r="R51" s="368">
        <v>0</v>
      </c>
      <c r="S51" s="368">
        <v>1</v>
      </c>
      <c r="T51" s="368">
        <v>0</v>
      </c>
      <c r="U51" s="368">
        <v>1</v>
      </c>
      <c r="V51" s="368">
        <v>4</v>
      </c>
      <c r="W51" s="368">
        <v>1</v>
      </c>
      <c r="X51" s="368">
        <v>1</v>
      </c>
      <c r="Y51" s="368">
        <v>2</v>
      </c>
      <c r="Z51" s="368">
        <v>3</v>
      </c>
      <c r="AA51" s="368">
        <v>16</v>
      </c>
      <c r="AB51" s="368">
        <v>18</v>
      </c>
      <c r="AC51" s="368">
        <v>16</v>
      </c>
      <c r="AD51" s="368">
        <v>22</v>
      </c>
      <c r="AE51" s="368">
        <v>36</v>
      </c>
      <c r="AF51" s="368">
        <v>26</v>
      </c>
      <c r="AG51" s="368">
        <v>28</v>
      </c>
      <c r="AH51" s="368">
        <v>12</v>
      </c>
      <c r="AI51" s="24">
        <f t="shared" si="2"/>
        <v>1</v>
      </c>
      <c r="AJ51" s="24">
        <f t="shared" si="3"/>
        <v>5</v>
      </c>
      <c r="AK51" s="24">
        <f t="shared" si="4"/>
        <v>23</v>
      </c>
      <c r="AL51" s="24">
        <f t="shared" si="5"/>
        <v>92</v>
      </c>
      <c r="AM51" s="24">
        <f t="shared" si="6"/>
        <v>66</v>
      </c>
      <c r="AN51" s="369">
        <v>0</v>
      </c>
      <c r="AO51" s="369">
        <v>0</v>
      </c>
      <c r="AP51" s="369">
        <v>0</v>
      </c>
      <c r="AQ51" s="369">
        <v>0</v>
      </c>
      <c r="AR51" s="369">
        <v>0</v>
      </c>
      <c r="AS51" s="369">
        <v>0</v>
      </c>
      <c r="AT51" s="369">
        <v>0</v>
      </c>
      <c r="AU51" s="369">
        <v>1</v>
      </c>
      <c r="AV51" s="369">
        <v>0</v>
      </c>
      <c r="AW51" s="369">
        <v>0</v>
      </c>
      <c r="AX51" s="369">
        <v>1</v>
      </c>
      <c r="AY51" s="369">
        <v>1</v>
      </c>
      <c r="AZ51" s="369">
        <v>3</v>
      </c>
      <c r="BA51" s="369">
        <v>2</v>
      </c>
      <c r="BB51" s="369">
        <v>10</v>
      </c>
      <c r="BC51" s="369">
        <v>7</v>
      </c>
      <c r="BD51" s="369">
        <v>7</v>
      </c>
      <c r="BE51" s="369">
        <v>3</v>
      </c>
      <c r="BF51" s="88">
        <f t="shared" si="14"/>
        <v>0</v>
      </c>
      <c r="BG51" s="88">
        <f t="shared" si="15"/>
        <v>0</v>
      </c>
      <c r="BH51" s="88">
        <f t="shared" si="16"/>
        <v>2</v>
      </c>
      <c r="BI51" s="88">
        <f t="shared" si="17"/>
        <v>16</v>
      </c>
      <c r="BJ51" s="88">
        <f t="shared" si="18"/>
        <v>17</v>
      </c>
      <c r="BK51" s="370">
        <v>517</v>
      </c>
      <c r="BL51" s="370">
        <v>195</v>
      </c>
      <c r="BM51" s="370">
        <v>24</v>
      </c>
      <c r="BN51" s="370">
        <v>637</v>
      </c>
      <c r="BO51" s="90"/>
      <c r="BP51" s="90"/>
      <c r="BQ51" s="5">
        <f t="shared" si="7"/>
        <v>209</v>
      </c>
      <c r="BR51" s="5">
        <f t="shared" si="8"/>
        <v>34</v>
      </c>
      <c r="BS51" s="299">
        <v>0</v>
      </c>
      <c r="BT51" s="371">
        <v>0</v>
      </c>
      <c r="BU51" s="371">
        <v>0</v>
      </c>
      <c r="BV51" s="371">
        <v>0</v>
      </c>
      <c r="BW51" s="371">
        <v>0</v>
      </c>
      <c r="BX51" s="371">
        <v>209</v>
      </c>
      <c r="BY51" s="372">
        <v>171</v>
      </c>
      <c r="BZ51" s="372">
        <v>6</v>
      </c>
      <c r="CA51" s="372">
        <v>1</v>
      </c>
      <c r="CB51" s="372">
        <v>31</v>
      </c>
      <c r="CC51" s="372">
        <v>1</v>
      </c>
      <c r="CD51" s="373">
        <v>0</v>
      </c>
      <c r="CE51" s="373">
        <v>0</v>
      </c>
      <c r="CF51" s="373">
        <v>0</v>
      </c>
      <c r="CG51" s="373">
        <v>0</v>
      </c>
      <c r="CH51" s="373">
        <v>2</v>
      </c>
      <c r="CI51" s="373">
        <v>1</v>
      </c>
      <c r="CJ51" s="373">
        <v>2</v>
      </c>
      <c r="CK51" s="373">
        <v>4</v>
      </c>
      <c r="CL51" s="373">
        <v>4</v>
      </c>
      <c r="CM51" s="373">
        <v>11</v>
      </c>
      <c r="CN51" s="373">
        <v>13</v>
      </c>
      <c r="CO51" s="373">
        <v>13</v>
      </c>
      <c r="CP51" s="373">
        <v>14</v>
      </c>
      <c r="CQ51" s="373">
        <v>19</v>
      </c>
      <c r="CR51" s="373">
        <v>31</v>
      </c>
      <c r="CS51" s="373">
        <v>34</v>
      </c>
      <c r="CT51" s="373">
        <v>40</v>
      </c>
      <c r="CU51" s="373">
        <v>21</v>
      </c>
      <c r="CV51" s="25">
        <f t="shared" si="9"/>
        <v>0</v>
      </c>
      <c r="CW51" s="25">
        <f t="shared" si="10"/>
        <v>3</v>
      </c>
      <c r="CX51" s="25">
        <f t="shared" si="11"/>
        <v>34</v>
      </c>
      <c r="CY51" s="25">
        <f t="shared" si="12"/>
        <v>77</v>
      </c>
      <c r="CZ51" s="25">
        <f t="shared" si="13"/>
        <v>95</v>
      </c>
      <c r="DA51" s="374">
        <v>0</v>
      </c>
      <c r="DB51" s="374">
        <v>0</v>
      </c>
      <c r="DC51" s="374">
        <v>0</v>
      </c>
      <c r="DD51" s="374">
        <v>0</v>
      </c>
      <c r="DE51" s="374">
        <v>0</v>
      </c>
      <c r="DF51" s="374">
        <v>0</v>
      </c>
      <c r="DG51" s="374">
        <v>0</v>
      </c>
      <c r="DH51" s="374">
        <v>0</v>
      </c>
      <c r="DI51" s="374">
        <v>0</v>
      </c>
      <c r="DJ51" s="374">
        <v>0</v>
      </c>
      <c r="DK51" s="374">
        <v>1</v>
      </c>
      <c r="DL51" s="374">
        <v>1</v>
      </c>
      <c r="DM51" s="374">
        <v>3</v>
      </c>
      <c r="DN51" s="374">
        <v>3</v>
      </c>
      <c r="DO51" s="374">
        <v>6</v>
      </c>
      <c r="DP51" s="374">
        <v>5</v>
      </c>
      <c r="DQ51" s="374">
        <v>8</v>
      </c>
      <c r="DR51" s="374">
        <v>7</v>
      </c>
      <c r="DS51" s="89">
        <f t="shared" si="19"/>
        <v>0</v>
      </c>
      <c r="DT51" s="89">
        <f t="shared" si="20"/>
        <v>0</v>
      </c>
      <c r="DU51" s="89">
        <f t="shared" si="21"/>
        <v>1</v>
      </c>
      <c r="DV51" s="89">
        <f t="shared" si="22"/>
        <v>13</v>
      </c>
      <c r="DW51" s="89">
        <f t="shared" si="23"/>
        <v>20</v>
      </c>
      <c r="DX51" s="375">
        <v>911</v>
      </c>
      <c r="DY51" s="375">
        <v>365</v>
      </c>
      <c r="DZ51" s="375">
        <v>45</v>
      </c>
      <c r="EA51" s="375">
        <v>1052</v>
      </c>
      <c r="EC51" s="90"/>
    </row>
    <row r="52" spans="1:133" ht="15">
      <c r="BK52" s="296"/>
      <c r="BL52" s="296"/>
      <c r="BM52" s="296"/>
      <c r="BN52" s="296"/>
      <c r="DX52" s="297"/>
      <c r="DY52" s="297"/>
      <c r="DZ52" s="297"/>
      <c r="EA52" s="297"/>
    </row>
    <row r="53" spans="1:133" ht="15">
      <c r="DX53" s="297"/>
      <c r="DY53" s="297"/>
      <c r="DZ53" s="297"/>
      <c r="EA53" s="297"/>
    </row>
    <row r="54" spans="1:133" ht="15">
      <c r="DX54" s="297"/>
      <c r="DY54" s="297"/>
      <c r="DZ54" s="297"/>
      <c r="EA54" s="297"/>
    </row>
    <row r="55" spans="1:133" ht="15">
      <c r="DX55" s="297"/>
      <c r="DY55" s="297">
        <v>141</v>
      </c>
      <c r="DZ55" s="297">
        <v>62</v>
      </c>
      <c r="EA55" s="297">
        <v>355</v>
      </c>
    </row>
    <row r="56" spans="1:133" ht="15">
      <c r="DX56" s="297"/>
      <c r="DY56" s="297"/>
      <c r="DZ56" s="297">
        <v>790</v>
      </c>
      <c r="EA56" s="297">
        <v>3273</v>
      </c>
    </row>
    <row r="57" spans="1:133" ht="15">
      <c r="DX57" s="297"/>
      <c r="DY57" s="297">
        <v>41</v>
      </c>
      <c r="DZ57" s="297">
        <v>24</v>
      </c>
      <c r="EA57" s="297">
        <v>69</v>
      </c>
    </row>
    <row r="58" spans="1:133" ht="15">
      <c r="DX58" s="297"/>
      <c r="DY58" s="297">
        <v>113</v>
      </c>
      <c r="DZ58" s="297">
        <v>52</v>
      </c>
      <c r="EA58" s="297">
        <v>241</v>
      </c>
    </row>
    <row r="59" spans="1:133" ht="15">
      <c r="DX59" s="297"/>
      <c r="DY59" s="297">
        <v>425</v>
      </c>
      <c r="DZ59" s="297">
        <v>273</v>
      </c>
      <c r="EA59" s="297">
        <v>582</v>
      </c>
    </row>
    <row r="60" spans="1:133" ht="15">
      <c r="DX60" s="297"/>
      <c r="DY60" s="297">
        <v>471</v>
      </c>
      <c r="DZ60" s="297">
        <v>176</v>
      </c>
      <c r="EA60" s="297">
        <v>981</v>
      </c>
    </row>
    <row r="61" spans="1:133" ht="15">
      <c r="DX61" s="297"/>
      <c r="DY61" s="297">
        <v>112</v>
      </c>
      <c r="DZ61" s="297">
        <v>39</v>
      </c>
      <c r="EA61" s="297">
        <v>294</v>
      </c>
    </row>
    <row r="62" spans="1:133" ht="15">
      <c r="DX62" s="297"/>
      <c r="DY62" s="297">
        <v>505</v>
      </c>
      <c r="DZ62" s="297">
        <v>210</v>
      </c>
      <c r="EA62" s="297">
        <v>1014</v>
      </c>
    </row>
    <row r="63" spans="1:133" ht="15">
      <c r="DX63" s="297"/>
      <c r="DY63" s="297">
        <v>17</v>
      </c>
      <c r="DZ63" s="297">
        <v>10</v>
      </c>
      <c r="EA63" s="297">
        <v>30</v>
      </c>
    </row>
    <row r="64" spans="1:133" ht="15">
      <c r="DX64" s="297"/>
      <c r="DY64" s="297">
        <v>51</v>
      </c>
      <c r="DZ64" s="297">
        <v>13</v>
      </c>
      <c r="EA64" s="297">
        <v>139</v>
      </c>
    </row>
    <row r="65" spans="128:131" ht="15">
      <c r="DX65" s="297"/>
      <c r="DY65" s="297">
        <v>163</v>
      </c>
      <c r="DZ65" s="297">
        <v>39</v>
      </c>
      <c r="EA65" s="297">
        <v>452</v>
      </c>
    </row>
    <row r="66" spans="128:131" ht="15">
      <c r="DX66" s="297"/>
      <c r="DY66" s="297">
        <v>1490</v>
      </c>
      <c r="DZ66" s="297">
        <v>181</v>
      </c>
      <c r="EA66" s="297">
        <v>4348</v>
      </c>
    </row>
    <row r="67" spans="128:131" ht="15">
      <c r="DX67" s="297">
        <v>141</v>
      </c>
      <c r="DY67" s="297">
        <v>58</v>
      </c>
      <c r="DZ67" s="297">
        <v>2</v>
      </c>
      <c r="EA67" s="297">
        <v>175</v>
      </c>
    </row>
    <row r="68" spans="128:131" ht="15">
      <c r="DX68" s="297">
        <v>41</v>
      </c>
      <c r="DY68" s="297">
        <v>6</v>
      </c>
      <c r="DZ68" s="297">
        <v>3</v>
      </c>
      <c r="EA68" s="297">
        <v>85</v>
      </c>
    </row>
    <row r="69" spans="128:131" ht="15">
      <c r="DX69" s="297">
        <v>242</v>
      </c>
      <c r="DY69" s="297">
        <v>81</v>
      </c>
      <c r="DZ69" s="297">
        <v>13</v>
      </c>
      <c r="EA69" s="297">
        <v>294</v>
      </c>
    </row>
    <row r="70" spans="128:131" ht="15">
      <c r="DX70" s="297">
        <v>15</v>
      </c>
      <c r="DY70" s="297">
        <v>6</v>
      </c>
      <c r="DZ70" s="297">
        <v>3</v>
      </c>
      <c r="EA70" s="297">
        <v>27</v>
      </c>
    </row>
    <row r="71" spans="128:131" ht="15">
      <c r="DX71" s="297">
        <v>630</v>
      </c>
      <c r="DY71" s="297">
        <v>209</v>
      </c>
      <c r="DZ71" s="297">
        <v>24</v>
      </c>
      <c r="EA71" s="297">
        <v>831</v>
      </c>
    </row>
  </sheetData>
  <mergeCells count="19">
    <mergeCell ref="BF1:BJ1"/>
    <mergeCell ref="DS1:DW1"/>
    <mergeCell ref="EB1:EC1"/>
    <mergeCell ref="DX1:EA1"/>
    <mergeCell ref="BK1:BN1"/>
    <mergeCell ref="BO1:BP1"/>
    <mergeCell ref="CD1:CU1"/>
    <mergeCell ref="DA1:DR1"/>
    <mergeCell ref="BY1:CC1"/>
    <mergeCell ref="BQ1:BR1"/>
    <mergeCell ref="BS1:BX1"/>
    <mergeCell ref="CV1:CZ1"/>
    <mergeCell ref="A1:C1"/>
    <mergeCell ref="D1:E1"/>
    <mergeCell ref="Q1:AH1"/>
    <mergeCell ref="AN1:BE1"/>
    <mergeCell ref="F1:K1"/>
    <mergeCell ref="L1:P1"/>
    <mergeCell ref="AI1:AM1"/>
  </mergeCells>
  <phoneticPr fontId="13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83" r:id="rId4" name="Perskaiciuoti">
          <controlPr defaultSize="0" autoLine="0" r:id="rId5">
            <anchor moveWithCells="1">
              <from>
                <xdr:col>1</xdr:col>
                <xdr:colOff>38100</xdr:colOff>
                <xdr:row>52</xdr:row>
                <xdr:rowOff>38100</xdr:rowOff>
              </from>
              <to>
                <xdr:col>2</xdr:col>
                <xdr:colOff>133350</xdr:colOff>
                <xdr:row>55</xdr:row>
                <xdr:rowOff>152400</xdr:rowOff>
              </to>
            </anchor>
          </controlPr>
        </control>
      </mc:Choice>
      <mc:Fallback>
        <control shapeId="3083" r:id="rId4" name="Perskaiciuoti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39997558519241921"/>
  </sheetPr>
  <dimension ref="A1:O65"/>
  <sheetViews>
    <sheetView workbookViewId="0">
      <selection activeCell="B1" sqref="B1"/>
    </sheetView>
  </sheetViews>
  <sheetFormatPr defaultRowHeight="12.75"/>
  <cols>
    <col min="1" max="1" width="1.85546875" customWidth="1"/>
    <col min="2" max="2" width="28.7109375" customWidth="1"/>
    <col min="3" max="3" width="33.7109375" customWidth="1"/>
    <col min="4" max="13" width="10.5703125" customWidth="1"/>
    <col min="14" max="24" width="0.85546875" customWidth="1"/>
    <col min="25" max="38" width="2.7109375" customWidth="1"/>
  </cols>
  <sheetData>
    <row r="1" spans="1:15" ht="15">
      <c r="A1" s="29"/>
      <c r="B1" s="464" t="s">
        <v>402</v>
      </c>
      <c r="C1" s="488"/>
      <c r="D1" s="488"/>
      <c r="E1" s="488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>
      <c r="A2" s="29"/>
      <c r="B2" s="465" t="str">
        <f>"Susirgimai piktybiniais navikais pagal diagnozuoto susirgimo stadijas (TNM sistema)  " &amp; GrafikaiSerg!A1 &amp; " m. Vyrai."</f>
        <v>Susirgimai piktybiniais navikais pagal diagnozuoto susirgimo stadijas (TNM sistema)  2013 m. Vyrai.</v>
      </c>
      <c r="C2" s="465"/>
      <c r="D2" s="467"/>
      <c r="E2" s="488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A3" s="29"/>
      <c r="B3" s="61" t="s">
        <v>639</v>
      </c>
      <c r="C3" s="55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2.95" customHeight="1">
      <c r="A4" s="29"/>
      <c r="B4" s="424" t="s">
        <v>242</v>
      </c>
      <c r="C4" s="426" t="s">
        <v>243</v>
      </c>
      <c r="D4" s="430" t="s">
        <v>237</v>
      </c>
      <c r="E4" s="432"/>
      <c r="F4" s="428" t="s">
        <v>238</v>
      </c>
      <c r="G4" s="429"/>
      <c r="H4" s="430" t="s">
        <v>239</v>
      </c>
      <c r="I4" s="432"/>
      <c r="J4" s="428" t="s">
        <v>240</v>
      </c>
      <c r="K4" s="429"/>
      <c r="L4" s="430" t="s">
        <v>241</v>
      </c>
      <c r="M4" s="431"/>
      <c r="N4" s="29"/>
      <c r="O4" s="29"/>
    </row>
    <row r="5" spans="1:15" ht="12.95" customHeight="1" thickBot="1">
      <c r="A5" s="29"/>
      <c r="B5" s="425"/>
      <c r="C5" s="427"/>
      <c r="D5" s="154" t="s">
        <v>244</v>
      </c>
      <c r="E5" s="155" t="s">
        <v>245</v>
      </c>
      <c r="F5" s="156" t="s">
        <v>244</v>
      </c>
      <c r="G5" s="157" t="s">
        <v>245</v>
      </c>
      <c r="H5" s="154" t="s">
        <v>244</v>
      </c>
      <c r="I5" s="155" t="s">
        <v>245</v>
      </c>
      <c r="J5" s="156" t="s">
        <v>244</v>
      </c>
      <c r="K5" s="157" t="s">
        <v>245</v>
      </c>
      <c r="L5" s="154" t="s">
        <v>244</v>
      </c>
      <c r="M5" s="138" t="s">
        <v>245</v>
      </c>
      <c r="N5" s="29"/>
      <c r="O5" s="29"/>
    </row>
    <row r="6" spans="1:15" ht="12" customHeight="1" thickTop="1">
      <c r="A6" s="29"/>
      <c r="B6" s="123" t="str">
        <f>UPPER(LEFT(TRIM(Data!B5),1)) &amp; MID(TRIM(Data!B5),2,50)</f>
        <v>Piktybiniai navikai</v>
      </c>
      <c r="C6" s="123" t="str">
        <f>Data!C5</f>
        <v>C00-C96</v>
      </c>
      <c r="D6" s="149">
        <f>Data!G5</f>
        <v>1950</v>
      </c>
      <c r="E6" s="150">
        <f>IF(Data!$D5=0, 0, D6/Data!$D5)</f>
        <v>0.20463847203274216</v>
      </c>
      <c r="F6" s="151">
        <f>Data!H5</f>
        <v>1902</v>
      </c>
      <c r="G6" s="152">
        <f>IF(Data!$D5=0, 0, F6/Data!$D5)</f>
        <v>0.19960121733655159</v>
      </c>
      <c r="H6" s="149">
        <f>Data!I5</f>
        <v>1413</v>
      </c>
      <c r="I6" s="150">
        <f>IF(Data!$D5=0, 0, H6/Data!$D5)</f>
        <v>0.1482841851191101</v>
      </c>
      <c r="J6" s="151">
        <f>Data!J5</f>
        <v>1426</v>
      </c>
      <c r="K6" s="152">
        <f>IF(Data!$D5=0, 0, J6/Data!$D5)</f>
        <v>0.14964844159932836</v>
      </c>
      <c r="L6" s="149">
        <f>Data!K5</f>
        <v>2838</v>
      </c>
      <c r="M6" s="153">
        <f>IF(Data!$D5=0, 0, L6/Data!$D5)</f>
        <v>0.29782768391226783</v>
      </c>
      <c r="N6" s="29"/>
      <c r="O6" s="29"/>
    </row>
    <row r="7" spans="1:15" ht="12" customHeight="1">
      <c r="A7" s="29"/>
      <c r="B7" s="139" t="str">
        <f>UPPER(LEFT(TRIM(Data!B6),1)) &amp; MID(TRIM(Data!B6),2,50)</f>
        <v>Lūpos</v>
      </c>
      <c r="C7" s="139" t="str">
        <f>Data!C6</f>
        <v>C00</v>
      </c>
      <c r="D7" s="158">
        <f>Data!G6</f>
        <v>12</v>
      </c>
      <c r="E7" s="159">
        <f>IF(Data!$D6=0, 0, D7/Data!$D6)</f>
        <v>0.5</v>
      </c>
      <c r="F7" s="160">
        <f>Data!H6</f>
        <v>7</v>
      </c>
      <c r="G7" s="161">
        <f>IF(Data!$D6=0, 0, F7/Data!$D6)</f>
        <v>0.29166666666666669</v>
      </c>
      <c r="H7" s="158">
        <f>Data!I6</f>
        <v>2</v>
      </c>
      <c r="I7" s="159">
        <f>IF(Data!$D6=0, 0, H7/Data!$D6)</f>
        <v>8.3333333333333329E-2</v>
      </c>
      <c r="J7" s="160">
        <f>Data!J6</f>
        <v>1</v>
      </c>
      <c r="K7" s="161">
        <f>IF(Data!$D6=0, 0, J7/Data!$D6)</f>
        <v>4.1666666666666664E-2</v>
      </c>
      <c r="L7" s="158">
        <f>Data!K6</f>
        <v>2</v>
      </c>
      <c r="M7" s="162">
        <f>IF(Data!$D6=0, 0, L7/Data!$D6)</f>
        <v>8.3333333333333329E-2</v>
      </c>
      <c r="N7" s="29"/>
      <c r="O7" s="29"/>
    </row>
    <row r="8" spans="1:15" ht="12" customHeight="1">
      <c r="A8" s="29"/>
      <c r="B8" s="123" t="str">
        <f>UPPER(LEFT(TRIM(Data!B7),1)) &amp; MID(TRIM(Data!B7),2,50)</f>
        <v>Burnos ertmės ir ryklės</v>
      </c>
      <c r="C8" s="123" t="str">
        <f>Data!C7</f>
        <v>C01-C14</v>
      </c>
      <c r="D8" s="149">
        <f>Data!G7</f>
        <v>10</v>
      </c>
      <c r="E8" s="150">
        <f>IF(Data!$D7=0, 0, D8/Data!$D7)</f>
        <v>3.9525691699604744E-2</v>
      </c>
      <c r="F8" s="151">
        <f>Data!H7</f>
        <v>19</v>
      </c>
      <c r="G8" s="152">
        <f>IF(Data!$D7=0, 0, F8/Data!$D7)</f>
        <v>7.5098814229249009E-2</v>
      </c>
      <c r="H8" s="149">
        <f>Data!I7</f>
        <v>40</v>
      </c>
      <c r="I8" s="150">
        <f>IF(Data!$D7=0, 0, H8/Data!$D7)</f>
        <v>0.15810276679841898</v>
      </c>
      <c r="J8" s="151">
        <f>Data!J7</f>
        <v>140</v>
      </c>
      <c r="K8" s="152">
        <f>IF(Data!$D7=0, 0, J8/Data!$D7)</f>
        <v>0.55335968379446643</v>
      </c>
      <c r="L8" s="149">
        <f>Data!K7</f>
        <v>44</v>
      </c>
      <c r="M8" s="153">
        <f>IF(Data!$D7=0, 0, L8/Data!$D7)</f>
        <v>0.17391304347826086</v>
      </c>
      <c r="N8" s="29"/>
      <c r="O8" s="29"/>
    </row>
    <row r="9" spans="1:15" ht="12" customHeight="1">
      <c r="A9" s="29"/>
      <c r="B9" s="139" t="str">
        <f>UPPER(LEFT(TRIM(Data!B8),1)) &amp; MID(TRIM(Data!B8),2,50)</f>
        <v>Stemplės</v>
      </c>
      <c r="C9" s="139" t="str">
        <f>Data!C8</f>
        <v>C15</v>
      </c>
      <c r="D9" s="158">
        <f>Data!G8</f>
        <v>16</v>
      </c>
      <c r="E9" s="159">
        <f>IF(Data!$D8=0, 0, D9/Data!$D8)</f>
        <v>9.7560975609756101E-2</v>
      </c>
      <c r="F9" s="160">
        <f>Data!H8</f>
        <v>29</v>
      </c>
      <c r="G9" s="161">
        <f>IF(Data!$D8=0, 0, F9/Data!$D8)</f>
        <v>0.17682926829268292</v>
      </c>
      <c r="H9" s="158">
        <f>Data!I8</f>
        <v>35</v>
      </c>
      <c r="I9" s="159">
        <f>IF(Data!$D8=0, 0, H9/Data!$D8)</f>
        <v>0.21341463414634146</v>
      </c>
      <c r="J9" s="160">
        <f>Data!J8</f>
        <v>31</v>
      </c>
      <c r="K9" s="161">
        <f>IF(Data!$D8=0, 0, J9/Data!$D8)</f>
        <v>0.18902439024390244</v>
      </c>
      <c r="L9" s="158">
        <f>Data!K8</f>
        <v>53</v>
      </c>
      <c r="M9" s="162">
        <f>IF(Data!$D8=0, 0, L9/Data!$D8)</f>
        <v>0.32317073170731708</v>
      </c>
      <c r="N9" s="29"/>
      <c r="O9" s="29"/>
    </row>
    <row r="10" spans="1:15" ht="12" customHeight="1">
      <c r="A10" s="29"/>
      <c r="B10" s="123" t="str">
        <f>UPPER(LEFT(TRIM(Data!B9),1)) &amp; MID(TRIM(Data!B9),2,50)</f>
        <v>Skrandžio</v>
      </c>
      <c r="C10" s="123" t="str">
        <f>Data!C9</f>
        <v>C16</v>
      </c>
      <c r="D10" s="149">
        <f>Data!G9</f>
        <v>68</v>
      </c>
      <c r="E10" s="150">
        <f>IF(Data!$D9=0, 0, D10/Data!$D9)</f>
        <v>0.13333333333333333</v>
      </c>
      <c r="F10" s="151">
        <f>Data!H9</f>
        <v>56</v>
      </c>
      <c r="G10" s="152">
        <f>IF(Data!$D9=0, 0, F10/Data!$D9)</f>
        <v>0.10980392156862745</v>
      </c>
      <c r="H10" s="149">
        <f>Data!I9</f>
        <v>95</v>
      </c>
      <c r="I10" s="150">
        <f>IF(Data!$D9=0, 0, H10/Data!$D9)</f>
        <v>0.18627450980392157</v>
      </c>
      <c r="J10" s="151">
        <f>Data!J9</f>
        <v>151</v>
      </c>
      <c r="K10" s="152">
        <f>IF(Data!$D9=0, 0, J10/Data!$D9)</f>
        <v>0.29607843137254902</v>
      </c>
      <c r="L10" s="149">
        <f>Data!K9</f>
        <v>140</v>
      </c>
      <c r="M10" s="153">
        <f>IF(Data!$D9=0, 0, L10/Data!$D9)</f>
        <v>0.27450980392156865</v>
      </c>
      <c r="N10" s="29"/>
      <c r="O10" s="29"/>
    </row>
    <row r="11" spans="1:15" ht="12" customHeight="1">
      <c r="A11" s="29"/>
      <c r="B11" s="139" t="str">
        <f>UPPER(LEFT(TRIM(Data!B10),1)) &amp; MID(TRIM(Data!B10),2,50)</f>
        <v>Gaubtinės žarnos</v>
      </c>
      <c r="C11" s="139" t="str">
        <f>Data!C10</f>
        <v>C18</v>
      </c>
      <c r="D11" s="158">
        <f>Data!G10</f>
        <v>61</v>
      </c>
      <c r="E11" s="159">
        <f>IF(Data!$D10=0, 0, D11/Data!$D10)</f>
        <v>0.13800904977375567</v>
      </c>
      <c r="F11" s="160">
        <f>Data!H10</f>
        <v>117</v>
      </c>
      <c r="G11" s="161">
        <f>IF(Data!$D10=0, 0, F11/Data!$D10)</f>
        <v>0.26470588235294118</v>
      </c>
      <c r="H11" s="158">
        <f>Data!I10</f>
        <v>94</v>
      </c>
      <c r="I11" s="159">
        <f>IF(Data!$D10=0, 0, H11/Data!$D10)</f>
        <v>0.21266968325791855</v>
      </c>
      <c r="J11" s="160">
        <f>Data!J10</f>
        <v>76</v>
      </c>
      <c r="K11" s="161">
        <f>IF(Data!$D10=0, 0, J11/Data!$D10)</f>
        <v>0.17194570135746606</v>
      </c>
      <c r="L11" s="158">
        <f>Data!K10</f>
        <v>94</v>
      </c>
      <c r="M11" s="162">
        <f>IF(Data!$D10=0, 0, L11/Data!$D10)</f>
        <v>0.21266968325791855</v>
      </c>
      <c r="N11" s="29"/>
      <c r="O11" s="29"/>
    </row>
    <row r="12" spans="1:15" ht="12" customHeight="1">
      <c r="A12" s="29"/>
      <c r="B12" s="123" t="str">
        <f>UPPER(LEFT(TRIM(Data!B11),1)) &amp; MID(TRIM(Data!B11),2,50)</f>
        <v>Tiesiosios žarnos, išangės</v>
      </c>
      <c r="C12" s="123" t="str">
        <f>Data!C11</f>
        <v>C19-C21</v>
      </c>
      <c r="D12" s="149">
        <f>Data!G11</f>
        <v>57</v>
      </c>
      <c r="E12" s="150">
        <f>IF(Data!$D11=0, 0, D12/Data!$D11)</f>
        <v>0.14766839378238342</v>
      </c>
      <c r="F12" s="151">
        <f>Data!H11</f>
        <v>81</v>
      </c>
      <c r="G12" s="152">
        <f>IF(Data!$D11=0, 0, F12/Data!$D11)</f>
        <v>0.20984455958549222</v>
      </c>
      <c r="H12" s="149">
        <f>Data!I11</f>
        <v>91</v>
      </c>
      <c r="I12" s="150">
        <f>IF(Data!$D11=0, 0, H12/Data!$D11)</f>
        <v>0.23575129533678757</v>
      </c>
      <c r="J12" s="151">
        <f>Data!J11</f>
        <v>70</v>
      </c>
      <c r="K12" s="152">
        <f>IF(Data!$D11=0, 0, J12/Data!$D11)</f>
        <v>0.18134715025906736</v>
      </c>
      <c r="L12" s="149">
        <f>Data!K11</f>
        <v>87</v>
      </c>
      <c r="M12" s="153">
        <f>IF(Data!$D11=0, 0, L12/Data!$D11)</f>
        <v>0.22538860103626943</v>
      </c>
      <c r="N12" s="29"/>
      <c r="O12" s="29"/>
    </row>
    <row r="13" spans="1:15" ht="12" customHeight="1">
      <c r="A13" s="29"/>
      <c r="B13" s="139" t="str">
        <f>UPPER(LEFT(TRIM(Data!B12),1)) &amp; MID(TRIM(Data!B12),2,50)</f>
        <v>Kepenų</v>
      </c>
      <c r="C13" s="139" t="str">
        <f>Data!C12</f>
        <v>C22</v>
      </c>
      <c r="D13" s="158">
        <f>Data!G12</f>
        <v>8</v>
      </c>
      <c r="E13" s="159">
        <f>IF(Data!$D12=0, 0, D13/Data!$D12)</f>
        <v>6.6115702479338845E-2</v>
      </c>
      <c r="F13" s="160">
        <f>Data!H12</f>
        <v>16</v>
      </c>
      <c r="G13" s="161">
        <f>IF(Data!$D12=0, 0, F13/Data!$D12)</f>
        <v>0.13223140495867769</v>
      </c>
      <c r="H13" s="158">
        <f>Data!I12</f>
        <v>15</v>
      </c>
      <c r="I13" s="159">
        <f>IF(Data!$D12=0, 0, H13/Data!$D12)</f>
        <v>0.12396694214876033</v>
      </c>
      <c r="J13" s="160">
        <f>Data!J12</f>
        <v>31</v>
      </c>
      <c r="K13" s="161">
        <f>IF(Data!$D12=0, 0, J13/Data!$D12)</f>
        <v>0.256198347107438</v>
      </c>
      <c r="L13" s="158">
        <f>Data!K12</f>
        <v>51</v>
      </c>
      <c r="M13" s="162">
        <f>IF(Data!$D12=0, 0, L13/Data!$D12)</f>
        <v>0.42148760330578511</v>
      </c>
      <c r="N13" s="29"/>
      <c r="O13" s="29"/>
    </row>
    <row r="14" spans="1:15" ht="12" customHeight="1">
      <c r="A14" s="29"/>
      <c r="B14" s="123" t="str">
        <f>UPPER(LEFT(TRIM(Data!B13),1)) &amp; MID(TRIM(Data!B13),2,50)</f>
        <v>Tulžies pūslės, ekstrahepatinių takų</v>
      </c>
      <c r="C14" s="123" t="str">
        <f>Data!C13</f>
        <v>C23, C24</v>
      </c>
      <c r="D14" s="149">
        <f>Data!G13</f>
        <v>8</v>
      </c>
      <c r="E14" s="150">
        <f>IF(Data!$D13=0, 0, D14/Data!$D13)</f>
        <v>0.16666666666666666</v>
      </c>
      <c r="F14" s="151">
        <f>Data!H13</f>
        <v>10</v>
      </c>
      <c r="G14" s="152">
        <f>IF(Data!$D13=0, 0, F14/Data!$D13)</f>
        <v>0.20833333333333334</v>
      </c>
      <c r="H14" s="149">
        <f>Data!I13</f>
        <v>7</v>
      </c>
      <c r="I14" s="150">
        <f>IF(Data!$D13=0, 0, H14/Data!$D13)</f>
        <v>0.14583333333333334</v>
      </c>
      <c r="J14" s="151">
        <f>Data!J13</f>
        <v>12</v>
      </c>
      <c r="K14" s="152">
        <f>IF(Data!$D13=0, 0, J14/Data!$D13)</f>
        <v>0.25</v>
      </c>
      <c r="L14" s="149">
        <f>Data!K13</f>
        <v>11</v>
      </c>
      <c r="M14" s="153">
        <f>IF(Data!$D13=0, 0, L14/Data!$D13)</f>
        <v>0.22916666666666666</v>
      </c>
      <c r="N14" s="29"/>
      <c r="O14" s="29"/>
    </row>
    <row r="15" spans="1:15" ht="12" customHeight="1">
      <c r="A15" s="29"/>
      <c r="B15" s="139" t="str">
        <f>UPPER(LEFT(TRIM(Data!B14),1)) &amp; MID(TRIM(Data!B14),2,50)</f>
        <v>Kasos</v>
      </c>
      <c r="C15" s="139" t="str">
        <f>Data!C14</f>
        <v>C25</v>
      </c>
      <c r="D15" s="158">
        <f>Data!G14</f>
        <v>6</v>
      </c>
      <c r="E15" s="159">
        <f>IF(Data!$D14=0, 0, D15/Data!$D14)</f>
        <v>2.4691358024691357E-2</v>
      </c>
      <c r="F15" s="160">
        <f>Data!H14</f>
        <v>42</v>
      </c>
      <c r="G15" s="161">
        <f>IF(Data!$D14=0, 0, F15/Data!$D14)</f>
        <v>0.1728395061728395</v>
      </c>
      <c r="H15" s="158">
        <f>Data!I14</f>
        <v>18</v>
      </c>
      <c r="I15" s="159">
        <f>IF(Data!$D14=0, 0, H15/Data!$D14)</f>
        <v>7.407407407407407E-2</v>
      </c>
      <c r="J15" s="160">
        <f>Data!J14</f>
        <v>111</v>
      </c>
      <c r="K15" s="161">
        <f>IF(Data!$D14=0, 0, J15/Data!$D14)</f>
        <v>0.4567901234567901</v>
      </c>
      <c r="L15" s="158">
        <f>Data!K14</f>
        <v>66</v>
      </c>
      <c r="M15" s="162">
        <f>IF(Data!$D14=0, 0, L15/Data!$D14)</f>
        <v>0.27160493827160492</v>
      </c>
      <c r="N15" s="29"/>
      <c r="O15" s="29"/>
    </row>
    <row r="16" spans="1:15" ht="12" customHeight="1">
      <c r="A16" s="29"/>
      <c r="B16" s="123" t="str">
        <f>UPPER(LEFT(TRIM(Data!B15),1)) &amp; MID(TRIM(Data!B15),2,50)</f>
        <v>Kitų virškinimo sistemos organų</v>
      </c>
      <c r="C16" s="123" t="str">
        <f>Data!C15</f>
        <v>C17, C26, C48</v>
      </c>
      <c r="D16" s="149">
        <f>Data!G15</f>
        <v>3</v>
      </c>
      <c r="E16" s="150">
        <f>IF(Data!$D15=0, 0, D16/Data!$D15)</f>
        <v>0.1</v>
      </c>
      <c r="F16" s="151">
        <f>Data!H15</f>
        <v>2</v>
      </c>
      <c r="G16" s="152">
        <f>IF(Data!$D15=0, 0, F16/Data!$D15)</f>
        <v>6.6666666666666666E-2</v>
      </c>
      <c r="H16" s="149">
        <f>Data!I15</f>
        <v>3</v>
      </c>
      <c r="I16" s="150">
        <f>IF(Data!$D15=0, 0, H16/Data!$D15)</f>
        <v>0.1</v>
      </c>
      <c r="J16" s="151">
        <f>Data!J15</f>
        <v>12</v>
      </c>
      <c r="K16" s="152">
        <f>IF(Data!$D15=0, 0, J16/Data!$D15)</f>
        <v>0.4</v>
      </c>
      <c r="L16" s="149">
        <f>Data!K15</f>
        <v>10</v>
      </c>
      <c r="M16" s="153">
        <f>IF(Data!$D15=0, 0, L16/Data!$D15)</f>
        <v>0.33333333333333331</v>
      </c>
      <c r="N16" s="29"/>
      <c r="O16" s="29"/>
    </row>
    <row r="17" spans="1:15" ht="12" customHeight="1">
      <c r="A17" s="29"/>
      <c r="B17" s="139" t="str">
        <f>UPPER(LEFT(TRIM(Data!B16),1)) &amp; MID(TRIM(Data!B16),2,50)</f>
        <v>Nosies ertmės, vid.ausies ir ančių</v>
      </c>
      <c r="C17" s="139" t="str">
        <f>Data!C16</f>
        <v>C30, C31</v>
      </c>
      <c r="D17" s="158">
        <f>Data!G16</f>
        <v>0</v>
      </c>
      <c r="E17" s="159">
        <f>IF(Data!$D16=0, 0, D17/Data!$D16)</f>
        <v>0</v>
      </c>
      <c r="F17" s="160">
        <f>Data!H16</f>
        <v>2</v>
      </c>
      <c r="G17" s="161">
        <f>IF(Data!$D16=0, 0, F17/Data!$D16)</f>
        <v>0.10526315789473684</v>
      </c>
      <c r="H17" s="158">
        <f>Data!I16</f>
        <v>5</v>
      </c>
      <c r="I17" s="159">
        <f>IF(Data!$D16=0, 0, H17/Data!$D16)</f>
        <v>0.26315789473684209</v>
      </c>
      <c r="J17" s="160">
        <f>Data!J16</f>
        <v>9</v>
      </c>
      <c r="K17" s="161">
        <f>IF(Data!$D16=0, 0, J17/Data!$D16)</f>
        <v>0.47368421052631576</v>
      </c>
      <c r="L17" s="158">
        <f>Data!K16</f>
        <v>3</v>
      </c>
      <c r="M17" s="162">
        <f>IF(Data!$D16=0, 0, L17/Data!$D16)</f>
        <v>0.15789473684210525</v>
      </c>
      <c r="N17" s="29"/>
      <c r="O17" s="29"/>
    </row>
    <row r="18" spans="1:15" ht="12" customHeight="1">
      <c r="A18" s="29"/>
      <c r="B18" s="123" t="str">
        <f>UPPER(LEFT(TRIM(Data!B17),1)) &amp; MID(TRIM(Data!B17),2,50)</f>
        <v>Gerklų</v>
      </c>
      <c r="C18" s="123" t="str">
        <f>Data!C17</f>
        <v>C32</v>
      </c>
      <c r="D18" s="149">
        <f>Data!G17</f>
        <v>18</v>
      </c>
      <c r="E18" s="150">
        <f>IF(Data!$D17=0, 0, D18/Data!$D17)</f>
        <v>0.11920529801324503</v>
      </c>
      <c r="F18" s="151">
        <f>Data!H17</f>
        <v>30</v>
      </c>
      <c r="G18" s="152">
        <f>IF(Data!$D17=0, 0, F18/Data!$D17)</f>
        <v>0.19867549668874171</v>
      </c>
      <c r="H18" s="149">
        <f>Data!I17</f>
        <v>38</v>
      </c>
      <c r="I18" s="150">
        <f>IF(Data!$D17=0, 0, H18/Data!$D17)</f>
        <v>0.25165562913907286</v>
      </c>
      <c r="J18" s="151">
        <f>Data!J17</f>
        <v>46</v>
      </c>
      <c r="K18" s="152">
        <f>IF(Data!$D17=0, 0, J18/Data!$D17)</f>
        <v>0.30463576158940397</v>
      </c>
      <c r="L18" s="149">
        <f>Data!K17</f>
        <v>19</v>
      </c>
      <c r="M18" s="153">
        <f>IF(Data!$D17=0, 0, L18/Data!$D17)</f>
        <v>0.12582781456953643</v>
      </c>
      <c r="N18" s="29"/>
      <c r="O18" s="29"/>
    </row>
    <row r="19" spans="1:15" ht="12" customHeight="1">
      <c r="A19" s="29"/>
      <c r="B19" s="139" t="str">
        <f>UPPER(LEFT(TRIM(Data!B18),1)) &amp; MID(TRIM(Data!B18),2,50)</f>
        <v>Plaučių, trachėjos, bronchų</v>
      </c>
      <c r="C19" s="139" t="str">
        <f>Data!C18</f>
        <v>C33, C34</v>
      </c>
      <c r="D19" s="158">
        <f>Data!G18</f>
        <v>55</v>
      </c>
      <c r="E19" s="159">
        <f>IF(Data!$D18=0, 0, D19/Data!$D18)</f>
        <v>4.7951176983435047E-2</v>
      </c>
      <c r="F19" s="160">
        <f>Data!H18</f>
        <v>130</v>
      </c>
      <c r="G19" s="161">
        <f>IF(Data!$D18=0, 0, F19/Data!$D18)</f>
        <v>0.11333914559721012</v>
      </c>
      <c r="H19" s="158">
        <f>Data!I18</f>
        <v>287</v>
      </c>
      <c r="I19" s="159">
        <f>IF(Data!$D18=0, 0, H19/Data!$D18)</f>
        <v>0.25021795989537926</v>
      </c>
      <c r="J19" s="160">
        <f>Data!J18</f>
        <v>345</v>
      </c>
      <c r="K19" s="161">
        <f>IF(Data!$D18=0, 0, J19/Data!$D18)</f>
        <v>0.30078465562336532</v>
      </c>
      <c r="L19" s="158">
        <f>Data!K18</f>
        <v>330</v>
      </c>
      <c r="M19" s="162">
        <f>IF(Data!$D18=0, 0, L19/Data!$D18)</f>
        <v>0.28770706190061029</v>
      </c>
      <c r="N19" s="29"/>
      <c r="O19" s="29"/>
    </row>
    <row r="20" spans="1:15" ht="12" customHeight="1">
      <c r="A20" s="29"/>
      <c r="B20" s="123" t="str">
        <f>UPPER(LEFT(TRIM(Data!B19),1)) &amp; MID(TRIM(Data!B19),2,50)</f>
        <v>Kitų kvėpavimo sistemos organų</v>
      </c>
      <c r="C20" s="123" t="str">
        <f>Data!C19</f>
        <v>C37-C39</v>
      </c>
      <c r="D20" s="149">
        <f>Data!G19</f>
        <v>1</v>
      </c>
      <c r="E20" s="150">
        <f>IF(Data!$D19=0, 0, D20/Data!$D19)</f>
        <v>0.125</v>
      </c>
      <c r="F20" s="151">
        <f>Data!H19</f>
        <v>1</v>
      </c>
      <c r="G20" s="152">
        <f>IF(Data!$D19=0, 0, F20/Data!$D19)</f>
        <v>0.125</v>
      </c>
      <c r="H20" s="149">
        <f>Data!I19</f>
        <v>2</v>
      </c>
      <c r="I20" s="150">
        <f>IF(Data!$D19=0, 0, H20/Data!$D19)</f>
        <v>0.25</v>
      </c>
      <c r="J20" s="151">
        <f>Data!J19</f>
        <v>1</v>
      </c>
      <c r="K20" s="152">
        <f>IF(Data!$D19=0, 0, J20/Data!$D19)</f>
        <v>0.125</v>
      </c>
      <c r="L20" s="149">
        <f>Data!K19</f>
        <v>3</v>
      </c>
      <c r="M20" s="153">
        <f>IF(Data!$D19=0, 0, L20/Data!$D19)</f>
        <v>0.375</v>
      </c>
      <c r="N20" s="29"/>
      <c r="O20" s="29"/>
    </row>
    <row r="21" spans="1:15" ht="12" customHeight="1">
      <c r="A21" s="29"/>
      <c r="B21" s="139" t="str">
        <f>UPPER(LEFT(TRIM(Data!B20),1)) &amp; MID(TRIM(Data!B20),2,50)</f>
        <v>Kaulų ir jungiamojo audinio</v>
      </c>
      <c r="C21" s="139" t="str">
        <f>Data!C20</f>
        <v>C40-C41, C45-C47, C49</v>
      </c>
      <c r="D21" s="158">
        <f>Data!G20</f>
        <v>18</v>
      </c>
      <c r="E21" s="159">
        <f>IF(Data!$D20=0, 0, D21/Data!$D20)</f>
        <v>0.28125</v>
      </c>
      <c r="F21" s="160">
        <f>Data!H20</f>
        <v>13</v>
      </c>
      <c r="G21" s="161">
        <f>IF(Data!$D20=0, 0, F21/Data!$D20)</f>
        <v>0.203125</v>
      </c>
      <c r="H21" s="158">
        <f>Data!I20</f>
        <v>7</v>
      </c>
      <c r="I21" s="159">
        <f>IF(Data!$D20=0, 0, H21/Data!$D20)</f>
        <v>0.109375</v>
      </c>
      <c r="J21" s="160">
        <f>Data!J20</f>
        <v>5</v>
      </c>
      <c r="K21" s="161">
        <f>IF(Data!$D20=0, 0, J21/Data!$D20)</f>
        <v>7.8125E-2</v>
      </c>
      <c r="L21" s="158">
        <f>Data!K20</f>
        <v>21</v>
      </c>
      <c r="M21" s="162">
        <f>IF(Data!$D20=0, 0, L21/Data!$D20)</f>
        <v>0.328125</v>
      </c>
      <c r="N21" s="29"/>
      <c r="O21" s="29"/>
    </row>
    <row r="22" spans="1:15" ht="12" customHeight="1">
      <c r="A22" s="29"/>
      <c r="B22" s="123" t="str">
        <f>UPPER(LEFT(TRIM(Data!B21),1)) &amp; MID(TRIM(Data!B21),2,50)</f>
        <v>Odos melanoma</v>
      </c>
      <c r="C22" s="123" t="str">
        <f>Data!C21</f>
        <v>C43</v>
      </c>
      <c r="D22" s="149">
        <f>Data!G21</f>
        <v>42</v>
      </c>
      <c r="E22" s="150">
        <f>IF(Data!$D21=0, 0, D22/Data!$D21)</f>
        <v>0.33870967741935482</v>
      </c>
      <c r="F22" s="151">
        <f>Data!H21</f>
        <v>60</v>
      </c>
      <c r="G22" s="152">
        <f>IF(Data!$D21=0, 0, F22/Data!$D21)</f>
        <v>0.4838709677419355</v>
      </c>
      <c r="H22" s="149">
        <f>Data!I21</f>
        <v>9</v>
      </c>
      <c r="I22" s="150">
        <f>IF(Data!$D21=0, 0, H22/Data!$D21)</f>
        <v>7.2580645161290328E-2</v>
      </c>
      <c r="J22" s="151">
        <f>Data!J21</f>
        <v>7</v>
      </c>
      <c r="K22" s="152">
        <f>IF(Data!$D21=0, 0, J22/Data!$D21)</f>
        <v>5.6451612903225805E-2</v>
      </c>
      <c r="L22" s="149">
        <f>Data!K21</f>
        <v>6</v>
      </c>
      <c r="M22" s="153">
        <f>IF(Data!$D21=0, 0, L22/Data!$D21)</f>
        <v>4.8387096774193547E-2</v>
      </c>
      <c r="N22" s="29"/>
      <c r="O22" s="29"/>
    </row>
    <row r="23" spans="1:15" ht="12" customHeight="1">
      <c r="A23" s="29"/>
      <c r="B23" s="139" t="str">
        <f>UPPER(LEFT(TRIM(Data!B22),1)) &amp; MID(TRIM(Data!B22),2,50)</f>
        <v>Kiti odos piktybiniai navikai</v>
      </c>
      <c r="C23" s="139" t="str">
        <f>Data!C22</f>
        <v>C44</v>
      </c>
      <c r="D23" s="158">
        <f>Data!G22</f>
        <v>596</v>
      </c>
      <c r="E23" s="159">
        <f>IF(Data!$D22=0, 0, D23/Data!$D22)</f>
        <v>0.67573696145124718</v>
      </c>
      <c r="F23" s="160">
        <f>Data!H22</f>
        <v>239</v>
      </c>
      <c r="G23" s="161">
        <f>IF(Data!$D22=0, 0, F23/Data!$D22)</f>
        <v>0.27097505668934241</v>
      </c>
      <c r="H23" s="158">
        <f>Data!I22</f>
        <v>10</v>
      </c>
      <c r="I23" s="159">
        <f>IF(Data!$D22=0, 0, H23/Data!$D22)</f>
        <v>1.1337868480725623E-2</v>
      </c>
      <c r="J23" s="160">
        <f>Data!J22</f>
        <v>5</v>
      </c>
      <c r="K23" s="161">
        <f>IF(Data!$D22=0, 0, J23/Data!$D22)</f>
        <v>5.6689342403628117E-3</v>
      </c>
      <c r="L23" s="158">
        <f>Data!K22</f>
        <v>32</v>
      </c>
      <c r="M23" s="162">
        <f>IF(Data!$D22=0, 0, L23/Data!$D22)</f>
        <v>3.6281179138321996E-2</v>
      </c>
      <c r="N23" s="29"/>
      <c r="O23" s="29"/>
    </row>
    <row r="24" spans="1:15" ht="12" customHeight="1">
      <c r="A24" s="29"/>
      <c r="B24" s="123" t="str">
        <f>UPPER(LEFT(TRIM(Data!B23),1)) &amp; MID(TRIM(Data!B23),2,50)</f>
        <v>Krūties</v>
      </c>
      <c r="C24" s="123" t="str">
        <f>Data!C23</f>
        <v>C50</v>
      </c>
      <c r="D24" s="149">
        <f>Data!G23</f>
        <v>1</v>
      </c>
      <c r="E24" s="150">
        <f>IF(Data!$D23=0, 0, D24/Data!$D23)</f>
        <v>0.1</v>
      </c>
      <c r="F24" s="151">
        <f>Data!H23</f>
        <v>1</v>
      </c>
      <c r="G24" s="152">
        <f>IF(Data!$D23=0, 0, F24/Data!$D23)</f>
        <v>0.1</v>
      </c>
      <c r="H24" s="149">
        <f>Data!I23</f>
        <v>4</v>
      </c>
      <c r="I24" s="150">
        <f>IF(Data!$D23=0, 0, H24/Data!$D23)</f>
        <v>0.4</v>
      </c>
      <c r="J24" s="151">
        <f>Data!J23</f>
        <v>3</v>
      </c>
      <c r="K24" s="152">
        <f>IF(Data!$D23=0, 0, J24/Data!$D23)</f>
        <v>0.3</v>
      </c>
      <c r="L24" s="149">
        <f>Data!K23</f>
        <v>1</v>
      </c>
      <c r="M24" s="153">
        <f>IF(Data!$D23=0, 0, L24/Data!$D23)</f>
        <v>0.1</v>
      </c>
      <c r="N24" s="29"/>
      <c r="O24" s="29"/>
    </row>
    <row r="25" spans="1:15" ht="12" customHeight="1">
      <c r="A25" s="29"/>
      <c r="B25" s="139" t="str">
        <f>UPPER(LEFT(TRIM(Data!B28),1)) &amp; MID(TRIM(Data!B28),2,50)</f>
        <v>Priešinės liaukos</v>
      </c>
      <c r="C25" s="139" t="str">
        <f>Data!C28</f>
        <v>C61</v>
      </c>
      <c r="D25" s="158">
        <f>Data!G28</f>
        <v>642</v>
      </c>
      <c r="E25" s="159">
        <f>IF(Data!$D28=0, 0, D25/Data!$D28)</f>
        <v>0.1991932981694074</v>
      </c>
      <c r="F25" s="160">
        <f>Data!H28</f>
        <v>918</v>
      </c>
      <c r="G25" s="161">
        <f>IF(Data!$D28=0, 0, F25/Data!$D28)</f>
        <v>0.28482780018616194</v>
      </c>
      <c r="H25" s="158">
        <f>Data!I28</f>
        <v>518</v>
      </c>
      <c r="I25" s="159">
        <f>IF(Data!$D28=0, 0, H25/Data!$D28)</f>
        <v>0.16071982624883649</v>
      </c>
      <c r="J25" s="160">
        <f>Data!J28</f>
        <v>112</v>
      </c>
      <c r="K25" s="161">
        <f>IF(Data!$D28=0, 0, J25/Data!$D28)</f>
        <v>3.4750232702451131E-2</v>
      </c>
      <c r="L25" s="158">
        <f>Data!K28</f>
        <v>1033</v>
      </c>
      <c r="M25" s="162">
        <f>IF(Data!$D28=0, 0, L25/Data!$D28)</f>
        <v>0.32050884269314306</v>
      </c>
      <c r="N25" s="29"/>
      <c r="O25" s="29"/>
    </row>
    <row r="26" spans="1:15" ht="12" customHeight="1">
      <c r="A26" s="29"/>
      <c r="B26" s="123" t="str">
        <f>UPPER(LEFT(TRIM(Data!B29),1)) &amp; MID(TRIM(Data!B29),2,50)</f>
        <v>Sėklidžių</v>
      </c>
      <c r="C26" s="123" t="str">
        <f>Data!C29</f>
        <v>C62</v>
      </c>
      <c r="D26" s="149">
        <f>Data!G29</f>
        <v>35</v>
      </c>
      <c r="E26" s="150">
        <f>IF(Data!$D29=0, 0, D26/Data!$D29)</f>
        <v>0.74468085106382975</v>
      </c>
      <c r="F26" s="151">
        <f>Data!H29</f>
        <v>5</v>
      </c>
      <c r="G26" s="152">
        <f>IF(Data!$D29=0, 0, F26/Data!$D29)</f>
        <v>0.10638297872340426</v>
      </c>
      <c r="H26" s="149">
        <f>Data!I29</f>
        <v>5</v>
      </c>
      <c r="I26" s="150">
        <f>IF(Data!$D29=0, 0, H26/Data!$D29)</f>
        <v>0.10638297872340426</v>
      </c>
      <c r="J26" s="151">
        <f>Data!J29</f>
        <v>2</v>
      </c>
      <c r="K26" s="152">
        <f>IF(Data!$D29=0, 0, J26/Data!$D29)</f>
        <v>4.2553191489361701E-2</v>
      </c>
      <c r="L26" s="149">
        <f>Data!K29</f>
        <v>0</v>
      </c>
      <c r="M26" s="153">
        <f>IF(Data!$D29=0, 0, L26/Data!$D29)</f>
        <v>0</v>
      </c>
      <c r="N26" s="29"/>
      <c r="O26" s="29"/>
    </row>
    <row r="27" spans="1:15" ht="12" customHeight="1">
      <c r="A27" s="29"/>
      <c r="B27" s="139" t="str">
        <f>UPPER(LEFT(TRIM(Data!B30),1)) &amp; MID(TRIM(Data!B30),2,50)</f>
        <v>Kitų lyties organų</v>
      </c>
      <c r="C27" s="139" t="s">
        <v>416</v>
      </c>
      <c r="D27" s="158">
        <f>Data!G30</f>
        <v>6</v>
      </c>
      <c r="E27" s="159">
        <f>IF(Data!$D30=0, 0, D27/Data!$D30)</f>
        <v>0.21428571428571427</v>
      </c>
      <c r="F27" s="160">
        <f>Data!H30</f>
        <v>12</v>
      </c>
      <c r="G27" s="161">
        <f>IF(Data!$D30=0, 0, F27/Data!$D30)</f>
        <v>0.42857142857142855</v>
      </c>
      <c r="H27" s="158">
        <f>Data!I30</f>
        <v>2</v>
      </c>
      <c r="I27" s="159">
        <f>IF(Data!$D30=0, 0, H27/Data!$D30)</f>
        <v>7.1428571428571425E-2</v>
      </c>
      <c r="J27" s="160">
        <f>Data!J30</f>
        <v>6</v>
      </c>
      <c r="K27" s="161">
        <f>IF(Data!$D30=0, 0, J27/Data!$D30)</f>
        <v>0.21428571428571427</v>
      </c>
      <c r="L27" s="158">
        <f>Data!K30</f>
        <v>2</v>
      </c>
      <c r="M27" s="162">
        <f>IF(Data!$D30=0, 0, L27/Data!$D30)</f>
        <v>7.1428571428571425E-2</v>
      </c>
      <c r="N27" s="29"/>
      <c r="O27" s="29"/>
    </row>
    <row r="28" spans="1:15" ht="12" customHeight="1">
      <c r="A28" s="29"/>
      <c r="B28" s="123" t="str">
        <f>UPPER(LEFT(TRIM(Data!B31),1)) &amp; MID(TRIM(Data!B31),2,50)</f>
        <v>Inkstų</v>
      </c>
      <c r="C28" s="123" t="str">
        <f>Data!C31</f>
        <v>C64</v>
      </c>
      <c r="D28" s="149">
        <f>Data!G31</f>
        <v>146</v>
      </c>
      <c r="E28" s="150">
        <f>IF(Data!$D31=0, 0, D28/Data!$D31)</f>
        <v>0.39890710382513661</v>
      </c>
      <c r="F28" s="151">
        <f>Data!H31</f>
        <v>33</v>
      </c>
      <c r="G28" s="152">
        <f>IF(Data!$D31=0, 0, F28/Data!$D31)</f>
        <v>9.0163934426229511E-2</v>
      </c>
      <c r="H28" s="149">
        <f>Data!I31</f>
        <v>70</v>
      </c>
      <c r="I28" s="150">
        <f>IF(Data!$D31=0, 0, H28/Data!$D31)</f>
        <v>0.19125683060109289</v>
      </c>
      <c r="J28" s="151">
        <f>Data!J31</f>
        <v>71</v>
      </c>
      <c r="K28" s="152">
        <f>IF(Data!$D31=0, 0, J28/Data!$D31)</f>
        <v>0.19398907103825136</v>
      </c>
      <c r="L28" s="149">
        <f>Data!K31</f>
        <v>46</v>
      </c>
      <c r="M28" s="153">
        <f>IF(Data!$D31=0, 0, L28/Data!$D31)</f>
        <v>0.12568306010928962</v>
      </c>
      <c r="N28" s="29"/>
      <c r="O28" s="29"/>
    </row>
    <row r="29" spans="1:15" ht="12" customHeight="1">
      <c r="A29" s="29"/>
      <c r="B29" s="139" t="str">
        <f>UPPER(LEFT(TRIM(Data!B32),1)) &amp; MID(TRIM(Data!B32),2,50)</f>
        <v>Šlapimo pūslės</v>
      </c>
      <c r="C29" s="139" t="str">
        <f>Data!C32</f>
        <v>C67</v>
      </c>
      <c r="D29" s="158">
        <f>Data!G32</f>
        <v>113</v>
      </c>
      <c r="E29" s="159">
        <f>IF(Data!$D32=0, 0, D29/Data!$D32)</f>
        <v>0.41090909090909089</v>
      </c>
      <c r="F29" s="160">
        <f>Data!H32</f>
        <v>67</v>
      </c>
      <c r="G29" s="161">
        <f>IF(Data!$D32=0, 0, F29/Data!$D32)</f>
        <v>0.24363636363636362</v>
      </c>
      <c r="H29" s="158">
        <f>Data!I32</f>
        <v>19</v>
      </c>
      <c r="I29" s="159">
        <f>IF(Data!$D32=0, 0, H29/Data!$D32)</f>
        <v>6.9090909090909092E-2</v>
      </c>
      <c r="J29" s="160">
        <f>Data!J32</f>
        <v>24</v>
      </c>
      <c r="K29" s="161">
        <f>IF(Data!$D32=0, 0, J29/Data!$D32)</f>
        <v>8.727272727272728E-2</v>
      </c>
      <c r="L29" s="158">
        <f>Data!K32</f>
        <v>52</v>
      </c>
      <c r="M29" s="162">
        <f>IF(Data!$D32=0, 0, L29/Data!$D32)</f>
        <v>0.18909090909090909</v>
      </c>
      <c r="N29" s="29"/>
      <c r="O29" s="29"/>
    </row>
    <row r="30" spans="1:15" ht="12" customHeight="1">
      <c r="A30" s="29"/>
      <c r="B30" s="123" t="str">
        <f>UPPER(LEFT(TRIM(Data!B33),1)) &amp; MID(TRIM(Data!B33),2,50)</f>
        <v>Kitų šlapimą išskiriančių organų</v>
      </c>
      <c r="C30" s="123" t="str">
        <f>Data!C33</f>
        <v>C65, C66, C68</v>
      </c>
      <c r="D30" s="149">
        <f>Data!G33</f>
        <v>3</v>
      </c>
      <c r="E30" s="150">
        <f>IF(Data!$D33=0, 0, D30/Data!$D33)</f>
        <v>0.15</v>
      </c>
      <c r="F30" s="151">
        <f>Data!H33</f>
        <v>3</v>
      </c>
      <c r="G30" s="152">
        <f>IF(Data!$D33=0, 0, F30/Data!$D33)</f>
        <v>0.15</v>
      </c>
      <c r="H30" s="149">
        <f>Data!I33</f>
        <v>4</v>
      </c>
      <c r="I30" s="150">
        <f>IF(Data!$D33=0, 0, H30/Data!$D33)</f>
        <v>0.2</v>
      </c>
      <c r="J30" s="151">
        <f>Data!J33</f>
        <v>6</v>
      </c>
      <c r="K30" s="152">
        <f>IF(Data!$D33=0, 0, J30/Data!$D33)</f>
        <v>0.3</v>
      </c>
      <c r="L30" s="149">
        <f>Data!K33</f>
        <v>4</v>
      </c>
      <c r="M30" s="153">
        <f>IF(Data!$D33=0, 0, L30/Data!$D33)</f>
        <v>0.2</v>
      </c>
      <c r="N30" s="29"/>
      <c r="O30" s="29"/>
    </row>
    <row r="31" spans="1:15" ht="12" customHeight="1">
      <c r="A31" s="29"/>
      <c r="B31" s="139" t="str">
        <f>UPPER(LEFT(TRIM(Data!B34),1)) &amp; MID(TRIM(Data!B34),2,50)</f>
        <v>Akių</v>
      </c>
      <c r="C31" s="139" t="str">
        <f>Data!C34</f>
        <v>C69</v>
      </c>
      <c r="D31" s="158">
        <f>Data!G34</f>
        <v>0</v>
      </c>
      <c r="E31" s="159">
        <f>IF(Data!$D34=0, 0, D31/Data!$D34)</f>
        <v>0</v>
      </c>
      <c r="F31" s="160">
        <f>Data!H34</f>
        <v>2</v>
      </c>
      <c r="G31" s="161">
        <f>IF(Data!$D34=0, 0, F31/Data!$D34)</f>
        <v>0.125</v>
      </c>
      <c r="H31" s="158">
        <f>Data!I34</f>
        <v>10</v>
      </c>
      <c r="I31" s="159">
        <f>IF(Data!$D34=0, 0, H31/Data!$D34)</f>
        <v>0.625</v>
      </c>
      <c r="J31" s="160">
        <f>Data!J34</f>
        <v>2</v>
      </c>
      <c r="K31" s="161">
        <f>IF(Data!$D34=0, 0, J31/Data!$D34)</f>
        <v>0.125</v>
      </c>
      <c r="L31" s="158">
        <f>Data!K34</f>
        <v>2</v>
      </c>
      <c r="M31" s="162">
        <f>IF(Data!$D34=0, 0, L31/Data!$D34)</f>
        <v>0.125</v>
      </c>
      <c r="N31" s="29"/>
      <c r="O31" s="29"/>
    </row>
    <row r="32" spans="1:15" ht="12" customHeight="1">
      <c r="A32" s="29"/>
      <c r="B32" s="123" t="str">
        <f>UPPER(LEFT(TRIM(Data!B35),1)) &amp; MID(TRIM(Data!B35),2,50)</f>
        <v>Smegenų</v>
      </c>
      <c r="C32" s="123" t="str">
        <f>Data!C35</f>
        <v>C70-C72</v>
      </c>
      <c r="D32" s="149">
        <f>Data!G35</f>
        <v>0</v>
      </c>
      <c r="E32" s="150">
        <f>IF(Data!$D35=0, 0, D32/Data!$D35)</f>
        <v>0</v>
      </c>
      <c r="F32" s="151">
        <f>Data!H35</f>
        <v>0</v>
      </c>
      <c r="G32" s="152">
        <f>IF(Data!$D35=0, 0, F32/Data!$D35)</f>
        <v>0</v>
      </c>
      <c r="H32" s="149">
        <f>Data!I35</f>
        <v>0</v>
      </c>
      <c r="I32" s="150">
        <f>IF(Data!$D35=0, 0, H32/Data!$D35)</f>
        <v>0</v>
      </c>
      <c r="J32" s="151">
        <f>Data!J35</f>
        <v>0</v>
      </c>
      <c r="K32" s="152">
        <f>IF(Data!$D35=0, 0, J32/Data!$D35)</f>
        <v>0</v>
      </c>
      <c r="L32" s="149">
        <f>Data!K35</f>
        <v>146</v>
      </c>
      <c r="M32" s="153">
        <f>IF(Data!$D35=0, 0, L32/Data!$D35)</f>
        <v>1</v>
      </c>
      <c r="N32" s="29"/>
      <c r="O32" s="29"/>
    </row>
    <row r="33" spans="1:15" ht="12" customHeight="1">
      <c r="A33" s="29"/>
      <c r="B33" s="139" t="str">
        <f>UPPER(LEFT(TRIM(Data!B36),1)) &amp; MID(TRIM(Data!B36),2,50)</f>
        <v>Skydliaukės</v>
      </c>
      <c r="C33" s="139" t="str">
        <f>Data!C36</f>
        <v>C73</v>
      </c>
      <c r="D33" s="158">
        <f>Data!G36</f>
        <v>25</v>
      </c>
      <c r="E33" s="159">
        <f>IF(Data!$D36=0, 0, D33/Data!$D36)</f>
        <v>0.43859649122807015</v>
      </c>
      <c r="F33" s="160">
        <f>Data!H36</f>
        <v>7</v>
      </c>
      <c r="G33" s="161">
        <f>IF(Data!$D36=0, 0, F33/Data!$D36)</f>
        <v>0.12280701754385964</v>
      </c>
      <c r="H33" s="158">
        <f>Data!I36</f>
        <v>17</v>
      </c>
      <c r="I33" s="159">
        <f>IF(Data!$D36=0, 0, H33/Data!$D36)</f>
        <v>0.2982456140350877</v>
      </c>
      <c r="J33" s="160">
        <f>Data!J36</f>
        <v>8</v>
      </c>
      <c r="K33" s="161">
        <f>IF(Data!$D36=0, 0, J33/Data!$D36)</f>
        <v>0.14035087719298245</v>
      </c>
      <c r="L33" s="158">
        <f>Data!K36</f>
        <v>0</v>
      </c>
      <c r="M33" s="162">
        <f>IF(Data!$D36=0, 0, L33/Data!$D36)</f>
        <v>0</v>
      </c>
      <c r="N33" s="29"/>
      <c r="O33" s="29"/>
    </row>
    <row r="34" spans="1:15" ht="12" customHeight="1">
      <c r="A34" s="29"/>
      <c r="B34" s="123" t="str">
        <f>UPPER(LEFT(TRIM(Data!B37),1)) &amp; MID(TRIM(Data!B37),2,50)</f>
        <v>Kitų endokrininių liaukų</v>
      </c>
      <c r="C34" s="123" t="str">
        <f>Data!C37</f>
        <v>C74-C75</v>
      </c>
      <c r="D34" s="149">
        <f>Data!G37</f>
        <v>0</v>
      </c>
      <c r="E34" s="150">
        <f>IF(Data!$D37=0, 0, D34/Data!$D37)</f>
        <v>0</v>
      </c>
      <c r="F34" s="151">
        <f>Data!H37</f>
        <v>0</v>
      </c>
      <c r="G34" s="152">
        <f>IF(Data!$D37=0, 0, F34/Data!$D37)</f>
        <v>0</v>
      </c>
      <c r="H34" s="149">
        <f>Data!I37</f>
        <v>2</v>
      </c>
      <c r="I34" s="150">
        <f>IF(Data!$D37=0, 0, H34/Data!$D37)</f>
        <v>0.16666666666666666</v>
      </c>
      <c r="J34" s="151">
        <f>Data!J37</f>
        <v>3</v>
      </c>
      <c r="K34" s="152">
        <f>IF(Data!$D37=0, 0, J34/Data!$D37)</f>
        <v>0.25</v>
      </c>
      <c r="L34" s="149">
        <f>Data!K37</f>
        <v>7</v>
      </c>
      <c r="M34" s="153">
        <f>IF(Data!$D37=0, 0, L34/Data!$D37)</f>
        <v>0.58333333333333337</v>
      </c>
      <c r="N34" s="29"/>
      <c r="O34" s="29"/>
    </row>
    <row r="35" spans="1:15" ht="12" customHeight="1">
      <c r="A35" s="29"/>
      <c r="B35" s="139" t="str">
        <f>UPPER(LEFT(TRIM(Data!B38),1)) &amp; MID(TRIM(Data!B38),2,50)</f>
        <v>Nepatikslintos lokalizacijos</v>
      </c>
      <c r="C35" s="139" t="str">
        <f>Data!C38</f>
        <v>C76-C80</v>
      </c>
      <c r="D35" s="158">
        <f>Data!G38</f>
        <v>0</v>
      </c>
      <c r="E35" s="159">
        <f>IF(Data!$D38=0, 0, D35/Data!$D38)</f>
        <v>0</v>
      </c>
      <c r="F35" s="160">
        <f>Data!H38</f>
        <v>0</v>
      </c>
      <c r="G35" s="161">
        <f>IF(Data!$D38=0, 0, F35/Data!$D38)</f>
        <v>0</v>
      </c>
      <c r="H35" s="158">
        <f>Data!I38</f>
        <v>4</v>
      </c>
      <c r="I35" s="159">
        <f>IF(Data!$D38=0, 0, H35/Data!$D38)</f>
        <v>1.7699115044247787E-2</v>
      </c>
      <c r="J35" s="160">
        <f>Data!J38</f>
        <v>136</v>
      </c>
      <c r="K35" s="161">
        <f>IF(Data!$D38=0, 0, J35/Data!$D38)</f>
        <v>0.60176991150442483</v>
      </c>
      <c r="L35" s="158">
        <f>Data!K38</f>
        <v>86</v>
      </c>
      <c r="M35" s="162">
        <f>IF(Data!$D38=0, 0, L35/Data!$D38)</f>
        <v>0.38053097345132741</v>
      </c>
      <c r="N35" s="29"/>
      <c r="O35" s="29"/>
    </row>
    <row r="36" spans="1:15" ht="6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 ht="6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ht="6" customHeight="1"/>
    <row r="39" spans="1:15" ht="6" customHeight="1"/>
    <row r="40" spans="1:15" ht="6" customHeight="1"/>
    <row r="41" spans="1:15" ht="6" customHeight="1"/>
    <row r="42" spans="1:15" ht="6" customHeight="1"/>
    <row r="43" spans="1:15" ht="6" customHeight="1"/>
    <row r="44" spans="1:15" ht="6" customHeight="1"/>
    <row r="45" spans="1:15" ht="6" customHeight="1"/>
    <row r="46" spans="1:15" ht="6" customHeight="1"/>
    <row r="47" spans="1:15" ht="6" customHeight="1"/>
    <row r="48" spans="1:15" ht="6" customHeight="1"/>
    <row r="49" ht="6" customHeight="1"/>
    <row r="50" ht="6" customHeight="1"/>
    <row r="51" ht="6" customHeight="1"/>
    <row r="52" ht="6" customHeight="1"/>
    <row r="53" ht="6" customHeight="1"/>
    <row r="54" ht="6" customHeight="1"/>
    <row r="55" ht="6" customHeight="1"/>
    <row r="56" ht="6" customHeight="1"/>
    <row r="57" ht="6" customHeight="1"/>
    <row r="58" ht="6" customHeight="1"/>
    <row r="59" ht="6" customHeight="1"/>
    <row r="60" ht="6" customHeight="1"/>
    <row r="61" ht="6" customHeight="1"/>
    <row r="62" ht="6" customHeight="1"/>
    <row r="63" ht="6" customHeight="1"/>
    <row r="64" ht="6" customHeight="1"/>
    <row r="65" ht="6" customHeight="1"/>
  </sheetData>
  <mergeCells count="7">
    <mergeCell ref="B4:B5"/>
    <mergeCell ref="C4:C5"/>
    <mergeCell ref="J4:K4"/>
    <mergeCell ref="L4:M4"/>
    <mergeCell ref="D4:E4"/>
    <mergeCell ref="F4:G4"/>
    <mergeCell ref="H4:I4"/>
  </mergeCells>
  <phoneticPr fontId="13" type="noConversion"/>
  <pageMargins left="0.59055118110236215" right="0.62992125984251968" top="1.5748031496062993" bottom="1.9685039370078741" header="0" footer="0"/>
  <pageSetup paperSize="9" orientation="portrait" r:id="rId1"/>
  <headerFooter alignWithMargins="0"/>
  <ignoredErrors>
    <ignoredError sqref="L6 J6 F6 D6 H6 F7:F8 H7 J7 L7 F9:F24 H8:H24 J8:J24 L8:L24 F25:F35 H25:H35 J25:J35 L25:L3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6" tint="0.39997558519241921"/>
  </sheetPr>
  <dimension ref="A1:O39"/>
  <sheetViews>
    <sheetView workbookViewId="0">
      <selection activeCell="B1" sqref="B1"/>
    </sheetView>
  </sheetViews>
  <sheetFormatPr defaultRowHeight="12.75"/>
  <cols>
    <col min="1" max="1" width="1.85546875" customWidth="1"/>
    <col min="2" max="2" width="28.7109375" customWidth="1"/>
    <col min="3" max="3" width="33.7109375" customWidth="1"/>
    <col min="4" max="13" width="10.5703125" customWidth="1"/>
    <col min="14" max="20" width="0.85546875" customWidth="1"/>
    <col min="21" max="39" width="1.7109375" customWidth="1"/>
  </cols>
  <sheetData>
    <row r="1" spans="1:15" ht="15">
      <c r="A1" s="62"/>
      <c r="B1" s="484" t="s">
        <v>402</v>
      </c>
      <c r="C1" s="489"/>
      <c r="D1" s="489"/>
      <c r="E1" s="489"/>
      <c r="F1" s="489"/>
      <c r="G1" s="62"/>
      <c r="H1" s="62"/>
      <c r="I1" s="62"/>
      <c r="J1" s="62"/>
      <c r="K1" s="62"/>
      <c r="L1" s="62"/>
      <c r="M1" s="62"/>
      <c r="N1" s="62"/>
      <c r="O1" s="62"/>
    </row>
    <row r="2" spans="1:15">
      <c r="A2" s="62"/>
      <c r="B2" s="485" t="str">
        <f>"Susirgimai piktybiniais navikais pagal diagnozuoto susirgimo stadijas (TNM sistema)  " &amp; GrafikaiSerg!A1 &amp; " m. Moterys."</f>
        <v>Susirgimai piktybiniais navikais pagal diagnozuoto susirgimo stadijas (TNM sistema)  2013 m. Moterys.</v>
      </c>
      <c r="C2" s="485"/>
      <c r="D2" s="487"/>
      <c r="E2" s="489"/>
      <c r="F2" s="489"/>
      <c r="G2" s="62"/>
      <c r="H2" s="62"/>
      <c r="I2" s="62"/>
      <c r="J2" s="62"/>
      <c r="K2" s="62"/>
      <c r="L2" s="62"/>
      <c r="M2" s="62"/>
      <c r="N2" s="62"/>
      <c r="O2" s="62"/>
    </row>
    <row r="3" spans="1:15">
      <c r="A3" s="62"/>
      <c r="B3" s="66" t="s">
        <v>640</v>
      </c>
      <c r="C3" s="65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12.95" customHeight="1">
      <c r="A4" s="62"/>
      <c r="B4" s="424" t="s">
        <v>242</v>
      </c>
      <c r="C4" s="426" t="s">
        <v>243</v>
      </c>
      <c r="D4" s="430" t="s">
        <v>237</v>
      </c>
      <c r="E4" s="432"/>
      <c r="F4" s="428" t="s">
        <v>238</v>
      </c>
      <c r="G4" s="429"/>
      <c r="H4" s="430" t="s">
        <v>239</v>
      </c>
      <c r="I4" s="432"/>
      <c r="J4" s="428" t="s">
        <v>240</v>
      </c>
      <c r="K4" s="429"/>
      <c r="L4" s="430" t="s">
        <v>241</v>
      </c>
      <c r="M4" s="431"/>
      <c r="N4" s="62"/>
      <c r="O4" s="62"/>
    </row>
    <row r="5" spans="1:15" ht="12.95" customHeight="1" thickBot="1">
      <c r="A5" s="62"/>
      <c r="B5" s="425"/>
      <c r="C5" s="427"/>
      <c r="D5" s="154" t="s">
        <v>244</v>
      </c>
      <c r="E5" s="155" t="s">
        <v>245</v>
      </c>
      <c r="F5" s="156" t="s">
        <v>244</v>
      </c>
      <c r="G5" s="157" t="s">
        <v>245</v>
      </c>
      <c r="H5" s="154" t="s">
        <v>244</v>
      </c>
      <c r="I5" s="155" t="s">
        <v>245</v>
      </c>
      <c r="J5" s="156" t="s">
        <v>244</v>
      </c>
      <c r="K5" s="157" t="s">
        <v>245</v>
      </c>
      <c r="L5" s="154" t="s">
        <v>244</v>
      </c>
      <c r="M5" s="138" t="s">
        <v>245</v>
      </c>
      <c r="N5" s="62"/>
      <c r="O5" s="62"/>
    </row>
    <row r="6" spans="1:15" ht="12" customHeight="1" thickTop="1">
      <c r="A6" s="62"/>
      <c r="B6" s="123" t="str">
        <f>UPPER(LEFT(TRIM(Data!B5),1)) &amp; MID(TRIM(Data!B5),2,50)</f>
        <v>Piktybiniai navikai</v>
      </c>
      <c r="C6" s="123" t="str">
        <f>Data!C5</f>
        <v>C00-C96</v>
      </c>
      <c r="D6" s="149">
        <f>Data!BT5</f>
        <v>2820</v>
      </c>
      <c r="E6" s="150">
        <f>IF(Data!$BQ5=0, 0, D6/Data!$BQ5)</f>
        <v>0.33951360462316399</v>
      </c>
      <c r="F6" s="151">
        <f>Data!BU5</f>
        <v>1462</v>
      </c>
      <c r="G6" s="150">
        <f>IF(Data!$BQ5=0, 0, F6/Data!$BQ5)</f>
        <v>0.17601733686491694</v>
      </c>
      <c r="H6" s="149">
        <f>Data!BV5</f>
        <v>1150</v>
      </c>
      <c r="I6" s="150">
        <f>IF(Data!$BQ5=0, 0, H6/Data!$BQ5)</f>
        <v>0.1384541295449073</v>
      </c>
      <c r="J6" s="151">
        <f>Data!BW5</f>
        <v>998</v>
      </c>
      <c r="K6" s="152">
        <f>IF(Data!$BQ5=0, 0, J6/Data!$BQ5)</f>
        <v>0.12015410546592825</v>
      </c>
      <c r="L6" s="149">
        <f>Data!BX5</f>
        <v>1876</v>
      </c>
      <c r="M6" s="153">
        <f>IF(Data!$BQ5=0, 0, L6/Data!$BQ5)</f>
        <v>0.22586082350108355</v>
      </c>
      <c r="N6" s="62"/>
      <c r="O6" s="62"/>
    </row>
    <row r="7" spans="1:15" ht="12" customHeight="1">
      <c r="A7" s="62"/>
      <c r="B7" s="139" t="str">
        <f>UPPER(LEFT(TRIM(Data!B6),1)) &amp; MID(TRIM(Data!B6),2,50)</f>
        <v>Lūpos</v>
      </c>
      <c r="C7" s="139" t="str">
        <f>Data!C6</f>
        <v>C00</v>
      </c>
      <c r="D7" s="158">
        <f>Data!BT6</f>
        <v>8</v>
      </c>
      <c r="E7" s="159">
        <f>IF(Data!$BQ6=0, 0, D7/Data!$BQ6)</f>
        <v>0.47058823529411764</v>
      </c>
      <c r="F7" s="160">
        <f>Data!BU6</f>
        <v>7</v>
      </c>
      <c r="G7" s="159">
        <f>IF(Data!$BQ6=0, 0, F7/Data!$BQ6)</f>
        <v>0.41176470588235292</v>
      </c>
      <c r="H7" s="158">
        <f>Data!BV6</f>
        <v>1</v>
      </c>
      <c r="I7" s="159">
        <f>IF(Data!$BQ6=0, 0, H7/Data!$BQ6)</f>
        <v>5.8823529411764705E-2</v>
      </c>
      <c r="J7" s="160">
        <f>Data!BW6</f>
        <v>0</v>
      </c>
      <c r="K7" s="161">
        <f>IF(Data!$BQ6=0, 0, J7/Data!$BQ6)</f>
        <v>0</v>
      </c>
      <c r="L7" s="158">
        <f>Data!BX6</f>
        <v>1</v>
      </c>
      <c r="M7" s="162">
        <f>IF(Data!$BQ6=0, 0, L7/Data!$BQ6)</f>
        <v>5.8823529411764705E-2</v>
      </c>
      <c r="N7" s="62"/>
      <c r="O7" s="62"/>
    </row>
    <row r="8" spans="1:15" ht="12" customHeight="1">
      <c r="A8" s="62"/>
      <c r="B8" s="123" t="str">
        <f>UPPER(LEFT(TRIM(Data!B7),1)) &amp; MID(TRIM(Data!B7),2,50)</f>
        <v>Burnos ertmės ir ryklės</v>
      </c>
      <c r="C8" s="123" t="str">
        <f>Data!C7</f>
        <v>C01-C14</v>
      </c>
      <c r="D8" s="149">
        <f>Data!BT7</f>
        <v>12</v>
      </c>
      <c r="E8" s="150">
        <f>IF(Data!$BQ7=0, 0, D8/Data!$BQ7)</f>
        <v>0.1875</v>
      </c>
      <c r="F8" s="151">
        <f>Data!BU7</f>
        <v>6</v>
      </c>
      <c r="G8" s="150">
        <f>IF(Data!$BQ7=0, 0, F8/Data!$BQ7)</f>
        <v>9.375E-2</v>
      </c>
      <c r="H8" s="149">
        <f>Data!BV7</f>
        <v>13</v>
      </c>
      <c r="I8" s="150">
        <f>IF(Data!$BQ7=0, 0, H8/Data!$BQ7)</f>
        <v>0.203125</v>
      </c>
      <c r="J8" s="151">
        <f>Data!BW7</f>
        <v>21</v>
      </c>
      <c r="K8" s="152">
        <f>IF(Data!$BQ7=0, 0, J8/Data!$BQ7)</f>
        <v>0.328125</v>
      </c>
      <c r="L8" s="149">
        <f>Data!BX7</f>
        <v>12</v>
      </c>
      <c r="M8" s="153">
        <f>IF(Data!$BQ7=0, 0, L8/Data!$BQ7)</f>
        <v>0.1875</v>
      </c>
      <c r="N8" s="62"/>
      <c r="O8" s="62"/>
    </row>
    <row r="9" spans="1:15" ht="12" customHeight="1">
      <c r="A9" s="62"/>
      <c r="B9" s="139" t="str">
        <f>UPPER(LEFT(TRIM(Data!B8),1)) &amp; MID(TRIM(Data!B8),2,50)</f>
        <v>Stemplės</v>
      </c>
      <c r="C9" s="139" t="str">
        <f>Data!C8</f>
        <v>C15</v>
      </c>
      <c r="D9" s="158">
        <f>Data!BT8</f>
        <v>2</v>
      </c>
      <c r="E9" s="159">
        <f>IF(Data!$BQ8=0, 0, D9/Data!$BQ8)</f>
        <v>6.6666666666666666E-2</v>
      </c>
      <c r="F9" s="160">
        <f>Data!BU8</f>
        <v>5</v>
      </c>
      <c r="G9" s="159">
        <f>IF(Data!$BQ8=0, 0, F9/Data!$BQ8)</f>
        <v>0.16666666666666666</v>
      </c>
      <c r="H9" s="158">
        <f>Data!BV8</f>
        <v>9</v>
      </c>
      <c r="I9" s="159">
        <f>IF(Data!$BQ8=0, 0, H9/Data!$BQ8)</f>
        <v>0.3</v>
      </c>
      <c r="J9" s="160">
        <f>Data!BW8</f>
        <v>3</v>
      </c>
      <c r="K9" s="161">
        <f>IF(Data!$BQ8=0, 0, J9/Data!$BQ8)</f>
        <v>0.1</v>
      </c>
      <c r="L9" s="158">
        <f>Data!BX8</f>
        <v>11</v>
      </c>
      <c r="M9" s="162">
        <f>IF(Data!$BQ8=0, 0, L9/Data!$BQ8)</f>
        <v>0.36666666666666664</v>
      </c>
      <c r="N9" s="62"/>
      <c r="O9" s="62"/>
    </row>
    <row r="10" spans="1:15" ht="12" customHeight="1">
      <c r="A10" s="62"/>
      <c r="B10" s="123" t="str">
        <f>UPPER(LEFT(TRIM(Data!B9),1)) &amp; MID(TRIM(Data!B9),2,50)</f>
        <v>Skrandžio</v>
      </c>
      <c r="C10" s="123" t="str">
        <f>Data!C9</f>
        <v>C16</v>
      </c>
      <c r="D10" s="149">
        <f>Data!BT9</f>
        <v>41</v>
      </c>
      <c r="E10" s="150">
        <f>IF(Data!$BQ9=0, 0, D10/Data!$BQ9)</f>
        <v>0.12275449101796407</v>
      </c>
      <c r="F10" s="151">
        <f>Data!BU9</f>
        <v>44</v>
      </c>
      <c r="G10" s="150">
        <f>IF(Data!$BQ9=0, 0, F10/Data!$BQ9)</f>
        <v>0.1317365269461078</v>
      </c>
      <c r="H10" s="149">
        <f>Data!BV9</f>
        <v>60</v>
      </c>
      <c r="I10" s="150">
        <f>IF(Data!$BQ9=0, 0, H10/Data!$BQ9)</f>
        <v>0.17964071856287425</v>
      </c>
      <c r="J10" s="151">
        <f>Data!BW9</f>
        <v>83</v>
      </c>
      <c r="K10" s="152">
        <f>IF(Data!$BQ9=0, 0, J10/Data!$BQ9)</f>
        <v>0.24850299401197604</v>
      </c>
      <c r="L10" s="149">
        <f>Data!BX9</f>
        <v>106</v>
      </c>
      <c r="M10" s="153">
        <f>IF(Data!$BQ9=0, 0, L10/Data!$BQ9)</f>
        <v>0.31736526946107785</v>
      </c>
      <c r="N10" s="62"/>
      <c r="O10" s="62"/>
    </row>
    <row r="11" spans="1:15" ht="12" customHeight="1">
      <c r="A11" s="62"/>
      <c r="B11" s="139" t="str">
        <f>UPPER(LEFT(TRIM(Data!B10),1)) &amp; MID(TRIM(Data!B10),2,50)</f>
        <v>Gaubtinės žarnos</v>
      </c>
      <c r="C11" s="139" t="str">
        <f>Data!C10</f>
        <v>C18</v>
      </c>
      <c r="D11" s="158">
        <f>Data!BT10</f>
        <v>47</v>
      </c>
      <c r="E11" s="159">
        <f>IF(Data!$BQ10=0, 0, D11/Data!$BQ10)</f>
        <v>0.1</v>
      </c>
      <c r="F11" s="160">
        <f>Data!BU10</f>
        <v>128</v>
      </c>
      <c r="G11" s="159">
        <f>IF(Data!$BQ10=0, 0, F11/Data!$BQ10)</f>
        <v>0.2723404255319149</v>
      </c>
      <c r="H11" s="158">
        <f>Data!BV10</f>
        <v>104</v>
      </c>
      <c r="I11" s="159">
        <f>IF(Data!$BQ10=0, 0, H11/Data!$BQ10)</f>
        <v>0.22127659574468084</v>
      </c>
      <c r="J11" s="160">
        <f>Data!BW10</f>
        <v>88</v>
      </c>
      <c r="K11" s="161">
        <f>IF(Data!$BQ10=0, 0, J11/Data!$BQ10)</f>
        <v>0.18723404255319148</v>
      </c>
      <c r="L11" s="158">
        <f>Data!BX10</f>
        <v>103</v>
      </c>
      <c r="M11" s="162">
        <f>IF(Data!$BQ10=0, 0, L11/Data!$BQ10)</f>
        <v>0.21914893617021278</v>
      </c>
      <c r="N11" s="62"/>
      <c r="O11" s="62"/>
    </row>
    <row r="12" spans="1:15" ht="12" customHeight="1">
      <c r="A12" s="62"/>
      <c r="B12" s="123" t="str">
        <f>UPPER(LEFT(TRIM(Data!B11),1)) &amp; MID(TRIM(Data!B11),2,50)</f>
        <v>Tiesiosios žarnos, išangės</v>
      </c>
      <c r="C12" s="123" t="str">
        <f>Data!C11</f>
        <v>C19-C21</v>
      </c>
      <c r="D12" s="149">
        <f>Data!BT11</f>
        <v>52</v>
      </c>
      <c r="E12" s="150">
        <f>IF(Data!$BQ11=0, 0, D12/Data!$BQ11)</f>
        <v>0.16049382716049382</v>
      </c>
      <c r="F12" s="151">
        <f>Data!BU11</f>
        <v>73</v>
      </c>
      <c r="G12" s="150">
        <f>IF(Data!$BQ11=0, 0, F12/Data!$BQ11)</f>
        <v>0.22530864197530864</v>
      </c>
      <c r="H12" s="149">
        <f>Data!BV11</f>
        <v>80</v>
      </c>
      <c r="I12" s="150">
        <f>IF(Data!$BQ11=0, 0, H12/Data!$BQ11)</f>
        <v>0.24691358024691357</v>
      </c>
      <c r="J12" s="151">
        <f>Data!BW11</f>
        <v>48</v>
      </c>
      <c r="K12" s="152">
        <f>IF(Data!$BQ11=0, 0, J12/Data!$BQ11)</f>
        <v>0.14814814814814814</v>
      </c>
      <c r="L12" s="149">
        <f>Data!BX11</f>
        <v>71</v>
      </c>
      <c r="M12" s="153">
        <f>IF(Data!$BQ11=0, 0, L12/Data!$BQ11)</f>
        <v>0.2191358024691358</v>
      </c>
      <c r="N12" s="62"/>
      <c r="O12" s="62"/>
    </row>
    <row r="13" spans="1:15" ht="12" customHeight="1">
      <c r="A13" s="62"/>
      <c r="B13" s="139" t="str">
        <f>UPPER(LEFT(TRIM(Data!B12),1)) &amp; MID(TRIM(Data!B12),2,50)</f>
        <v>Kepenų</v>
      </c>
      <c r="C13" s="139" t="str">
        <f>Data!C12</f>
        <v>C22</v>
      </c>
      <c r="D13" s="158">
        <f>Data!BT12</f>
        <v>1</v>
      </c>
      <c r="E13" s="159">
        <f>IF(Data!$BQ12=0, 0, D13/Data!$BQ12)</f>
        <v>1.6666666666666666E-2</v>
      </c>
      <c r="F13" s="160">
        <f>Data!BU12</f>
        <v>4</v>
      </c>
      <c r="G13" s="159">
        <f>IF(Data!$BQ12=0, 0, F13/Data!$BQ12)</f>
        <v>6.6666666666666666E-2</v>
      </c>
      <c r="H13" s="158">
        <f>Data!BV12</f>
        <v>10</v>
      </c>
      <c r="I13" s="159">
        <f>IF(Data!$BQ12=0, 0, H13/Data!$BQ12)</f>
        <v>0.16666666666666666</v>
      </c>
      <c r="J13" s="160">
        <f>Data!BW12</f>
        <v>21</v>
      </c>
      <c r="K13" s="161">
        <f>IF(Data!$BQ12=0, 0, J13/Data!$BQ12)</f>
        <v>0.35</v>
      </c>
      <c r="L13" s="158">
        <f>Data!BX12</f>
        <v>24</v>
      </c>
      <c r="M13" s="162">
        <f>IF(Data!$BQ12=0, 0, L13/Data!$BQ12)</f>
        <v>0.4</v>
      </c>
      <c r="N13" s="62"/>
      <c r="O13" s="62"/>
    </row>
    <row r="14" spans="1:15" ht="12" customHeight="1">
      <c r="A14" s="62"/>
      <c r="B14" s="123" t="str">
        <f>UPPER(LEFT(TRIM(Data!B13),1)) &amp; MID(TRIM(Data!B13),2,50)</f>
        <v>Tulžies pūslės, ekstrahepatinių takų</v>
      </c>
      <c r="C14" s="123" t="str">
        <f>Data!C13</f>
        <v>C23, C24</v>
      </c>
      <c r="D14" s="149">
        <f>Data!BT13</f>
        <v>9</v>
      </c>
      <c r="E14" s="150">
        <f>IF(Data!$BQ13=0, 0, D14/Data!$BQ13)</f>
        <v>0.12857142857142856</v>
      </c>
      <c r="F14" s="151">
        <f>Data!BU13</f>
        <v>3</v>
      </c>
      <c r="G14" s="150">
        <f>IF(Data!$BQ13=0, 0, F14/Data!$BQ13)</f>
        <v>4.2857142857142858E-2</v>
      </c>
      <c r="H14" s="149">
        <f>Data!BV13</f>
        <v>9</v>
      </c>
      <c r="I14" s="150">
        <f>IF(Data!$BQ13=0, 0, H14/Data!$BQ13)</f>
        <v>0.12857142857142856</v>
      </c>
      <c r="J14" s="151">
        <f>Data!BW13</f>
        <v>25</v>
      </c>
      <c r="K14" s="152">
        <f>IF(Data!$BQ13=0, 0, J14/Data!$BQ13)</f>
        <v>0.35714285714285715</v>
      </c>
      <c r="L14" s="149">
        <f>Data!BX13</f>
        <v>24</v>
      </c>
      <c r="M14" s="153">
        <f>IF(Data!$BQ13=0, 0, L14/Data!$BQ13)</f>
        <v>0.34285714285714286</v>
      </c>
      <c r="N14" s="62"/>
      <c r="O14" s="62"/>
    </row>
    <row r="15" spans="1:15" ht="12" customHeight="1">
      <c r="A15" s="62"/>
      <c r="B15" s="139" t="str">
        <f>UPPER(LEFT(TRIM(Data!B14),1)) &amp; MID(TRIM(Data!B14),2,50)</f>
        <v>Kasos</v>
      </c>
      <c r="C15" s="139" t="str">
        <f>Data!C14</f>
        <v>C25</v>
      </c>
      <c r="D15" s="158">
        <f>Data!BT14</f>
        <v>15</v>
      </c>
      <c r="E15" s="159">
        <f>IF(Data!$BQ14=0, 0, D15/Data!$BQ14)</f>
        <v>5.859375E-2</v>
      </c>
      <c r="F15" s="160">
        <f>Data!BU14</f>
        <v>44</v>
      </c>
      <c r="G15" s="159">
        <f>IF(Data!$BQ14=0, 0, F15/Data!$BQ14)</f>
        <v>0.171875</v>
      </c>
      <c r="H15" s="158">
        <f>Data!BV14</f>
        <v>30</v>
      </c>
      <c r="I15" s="159">
        <f>IF(Data!$BQ14=0, 0, H15/Data!$BQ14)</f>
        <v>0.1171875</v>
      </c>
      <c r="J15" s="160">
        <f>Data!BW14</f>
        <v>100</v>
      </c>
      <c r="K15" s="161">
        <f>IF(Data!$BQ14=0, 0, J15/Data!$BQ14)</f>
        <v>0.390625</v>
      </c>
      <c r="L15" s="158">
        <f>Data!BX14</f>
        <v>67</v>
      </c>
      <c r="M15" s="162">
        <f>IF(Data!$BQ14=0, 0, L15/Data!$BQ14)</f>
        <v>0.26171875</v>
      </c>
      <c r="N15" s="62"/>
      <c r="O15" s="62"/>
    </row>
    <row r="16" spans="1:15" ht="12" customHeight="1">
      <c r="A16" s="62"/>
      <c r="B16" s="123" t="str">
        <f>UPPER(LEFT(TRIM(Data!B15),1)) &amp; MID(TRIM(Data!B15),2,50)</f>
        <v>Kitų virškinimo sistemos organų</v>
      </c>
      <c r="C16" s="123" t="str">
        <f>Data!C15</f>
        <v>C17, C26, C48</v>
      </c>
      <c r="D16" s="149">
        <f>Data!BT15</f>
        <v>4</v>
      </c>
      <c r="E16" s="150">
        <f>IF(Data!$BQ15=0, 0, D16/Data!$BQ15)</f>
        <v>8.8888888888888892E-2</v>
      </c>
      <c r="F16" s="151">
        <f>Data!BU15</f>
        <v>2</v>
      </c>
      <c r="G16" s="150">
        <f>IF(Data!$BQ15=0, 0, F16/Data!$BQ15)</f>
        <v>4.4444444444444446E-2</v>
      </c>
      <c r="H16" s="149">
        <f>Data!BV15</f>
        <v>7</v>
      </c>
      <c r="I16" s="150">
        <f>IF(Data!$BQ15=0, 0, H16/Data!$BQ15)</f>
        <v>0.15555555555555556</v>
      </c>
      <c r="J16" s="151">
        <f>Data!BW15</f>
        <v>8</v>
      </c>
      <c r="K16" s="152">
        <f>IF(Data!$BQ15=0, 0, J16/Data!$BQ15)</f>
        <v>0.17777777777777778</v>
      </c>
      <c r="L16" s="149">
        <f>Data!BX15</f>
        <v>24</v>
      </c>
      <c r="M16" s="153">
        <f>IF(Data!$BQ15=0, 0, L16/Data!$BQ15)</f>
        <v>0.53333333333333333</v>
      </c>
      <c r="N16" s="62"/>
      <c r="O16" s="62"/>
    </row>
    <row r="17" spans="1:15" ht="12" customHeight="1">
      <c r="A17" s="62"/>
      <c r="B17" s="139" t="str">
        <f>UPPER(LEFT(TRIM(Data!B16),1)) &amp; MID(TRIM(Data!B16),2,50)</f>
        <v>Nosies ertmės, vid.ausies ir ančių</v>
      </c>
      <c r="C17" s="139" t="str">
        <f>Data!C16</f>
        <v>C30, C31</v>
      </c>
      <c r="D17" s="158">
        <f>Data!BT16</f>
        <v>0</v>
      </c>
      <c r="E17" s="159">
        <f>IF(Data!$BQ16=0, 0, D17/Data!$BQ16)</f>
        <v>0</v>
      </c>
      <c r="F17" s="160">
        <f>Data!BU16</f>
        <v>1</v>
      </c>
      <c r="G17" s="159">
        <f>IF(Data!$BQ16=0, 0, F17/Data!$BQ16)</f>
        <v>4.7619047619047616E-2</v>
      </c>
      <c r="H17" s="158">
        <f>Data!BV16</f>
        <v>5</v>
      </c>
      <c r="I17" s="159">
        <f>IF(Data!$BQ16=0, 0, H17/Data!$BQ16)</f>
        <v>0.23809523809523808</v>
      </c>
      <c r="J17" s="160">
        <f>Data!BW16</f>
        <v>10</v>
      </c>
      <c r="K17" s="161">
        <f>IF(Data!$BQ16=0, 0, J17/Data!$BQ16)</f>
        <v>0.47619047619047616</v>
      </c>
      <c r="L17" s="158">
        <f>Data!BX16</f>
        <v>5</v>
      </c>
      <c r="M17" s="162">
        <f>IF(Data!$BQ16=0, 0, L17/Data!$BQ16)</f>
        <v>0.23809523809523808</v>
      </c>
      <c r="N17" s="62"/>
      <c r="O17" s="62"/>
    </row>
    <row r="18" spans="1:15" ht="12" customHeight="1">
      <c r="A18" s="62"/>
      <c r="B18" s="123" t="str">
        <f>UPPER(LEFT(TRIM(Data!B17),1)) &amp; MID(TRIM(Data!B17),2,50)</f>
        <v>Gerklų</v>
      </c>
      <c r="C18" s="123" t="str">
        <f>Data!C17</f>
        <v>C32</v>
      </c>
      <c r="D18" s="149">
        <f>Data!BT17</f>
        <v>1</v>
      </c>
      <c r="E18" s="150">
        <f>IF(Data!$BQ17=0, 0, D18/Data!$BQ17)</f>
        <v>9.0909090909090912E-2</v>
      </c>
      <c r="F18" s="151">
        <f>Data!BU17</f>
        <v>1</v>
      </c>
      <c r="G18" s="150">
        <f>IF(Data!$BQ17=0, 0, F18/Data!$BQ17)</f>
        <v>9.0909090909090912E-2</v>
      </c>
      <c r="H18" s="149">
        <f>Data!BV17</f>
        <v>3</v>
      </c>
      <c r="I18" s="150">
        <f>IF(Data!$BQ17=0, 0, H18/Data!$BQ17)</f>
        <v>0.27272727272727271</v>
      </c>
      <c r="J18" s="151">
        <f>Data!BW17</f>
        <v>1</v>
      </c>
      <c r="K18" s="152">
        <f>IF(Data!$BQ17=0, 0, J18/Data!$BQ17)</f>
        <v>9.0909090909090912E-2</v>
      </c>
      <c r="L18" s="149">
        <f>Data!BX17</f>
        <v>5</v>
      </c>
      <c r="M18" s="153">
        <f>IF(Data!$BQ17=0, 0, L18/Data!$BQ17)</f>
        <v>0.45454545454545453</v>
      </c>
      <c r="N18" s="62"/>
      <c r="O18" s="62"/>
    </row>
    <row r="19" spans="1:15" ht="12" customHeight="1">
      <c r="A19" s="62"/>
      <c r="B19" s="139" t="str">
        <f>UPPER(LEFT(TRIM(Data!B18),1)) &amp; MID(TRIM(Data!B18),2,50)</f>
        <v>Plaučių, trachėjos, bronchų</v>
      </c>
      <c r="C19" s="139" t="str">
        <f>Data!C18</f>
        <v>C33, C34</v>
      </c>
      <c r="D19" s="158">
        <f>Data!BT18</f>
        <v>19</v>
      </c>
      <c r="E19" s="159">
        <f>IF(Data!$BQ18=0, 0, D19/Data!$BQ18)</f>
        <v>6.5517241379310351E-2</v>
      </c>
      <c r="F19" s="160">
        <f>Data!BU18</f>
        <v>24</v>
      </c>
      <c r="G19" s="159">
        <f>IF(Data!$BQ18=0, 0, F19/Data!$BQ18)</f>
        <v>8.2758620689655171E-2</v>
      </c>
      <c r="H19" s="158">
        <f>Data!BV18</f>
        <v>51</v>
      </c>
      <c r="I19" s="159">
        <f>IF(Data!$BQ18=0, 0, H19/Data!$BQ18)</f>
        <v>0.17586206896551723</v>
      </c>
      <c r="J19" s="160">
        <f>Data!BW18</f>
        <v>111</v>
      </c>
      <c r="K19" s="161">
        <f>IF(Data!$BQ18=0, 0, J19/Data!$BQ18)</f>
        <v>0.38275862068965516</v>
      </c>
      <c r="L19" s="158">
        <f>Data!BX18</f>
        <v>85</v>
      </c>
      <c r="M19" s="162">
        <f>IF(Data!$BQ18=0, 0, L19/Data!$BQ18)</f>
        <v>0.29310344827586204</v>
      </c>
      <c r="N19" s="62"/>
      <c r="O19" s="62"/>
    </row>
    <row r="20" spans="1:15" ht="12" customHeight="1">
      <c r="A20" s="62"/>
      <c r="B20" s="123" t="str">
        <f>UPPER(LEFT(TRIM(Data!B19),1)) &amp; MID(TRIM(Data!B19),2,50)</f>
        <v>Kitų kvėpavimo sistemos organų</v>
      </c>
      <c r="C20" s="123" t="str">
        <f>Data!C19</f>
        <v>C37-C39</v>
      </c>
      <c r="D20" s="149">
        <f>Data!BT19</f>
        <v>1</v>
      </c>
      <c r="E20" s="150">
        <f>IF(Data!$BQ19=0, 0, D20/Data!$BQ19)</f>
        <v>0.16666666666666666</v>
      </c>
      <c r="F20" s="151">
        <f>Data!BU19</f>
        <v>1</v>
      </c>
      <c r="G20" s="150">
        <f>IF(Data!$BQ19=0, 0, F20/Data!$BQ19)</f>
        <v>0.16666666666666666</v>
      </c>
      <c r="H20" s="149">
        <f>Data!BV19</f>
        <v>0</v>
      </c>
      <c r="I20" s="150">
        <f>IF(Data!$BQ19=0, 0, H20/Data!$BQ19)</f>
        <v>0</v>
      </c>
      <c r="J20" s="151">
        <f>Data!BW19</f>
        <v>1</v>
      </c>
      <c r="K20" s="152">
        <f>IF(Data!$BQ19=0, 0, J20/Data!$BQ19)</f>
        <v>0.16666666666666666</v>
      </c>
      <c r="L20" s="149">
        <f>Data!BX19</f>
        <v>3</v>
      </c>
      <c r="M20" s="153">
        <f>IF(Data!$BQ19=0, 0, L20/Data!$BQ19)</f>
        <v>0.5</v>
      </c>
      <c r="N20" s="62"/>
      <c r="O20" s="62"/>
    </row>
    <row r="21" spans="1:15" ht="12" customHeight="1">
      <c r="A21" s="62"/>
      <c r="B21" s="139" t="str">
        <f>UPPER(LEFT(TRIM(Data!B20),1)) &amp; MID(TRIM(Data!B20),2,50)</f>
        <v>Kaulų ir jungiamojo audinio</v>
      </c>
      <c r="C21" s="139" t="str">
        <f>Data!C20</f>
        <v>C40-C41, C45-C47, C49</v>
      </c>
      <c r="D21" s="158">
        <f>Data!BT20</f>
        <v>14</v>
      </c>
      <c r="E21" s="159">
        <f>IF(Data!$BQ20=0, 0, D21/Data!$BQ20)</f>
        <v>0.20289855072463769</v>
      </c>
      <c r="F21" s="160">
        <f>Data!BU20</f>
        <v>9</v>
      </c>
      <c r="G21" s="159">
        <f>IF(Data!$BQ20=0, 0, F21/Data!$BQ20)</f>
        <v>0.13043478260869565</v>
      </c>
      <c r="H21" s="158">
        <f>Data!BV20</f>
        <v>12</v>
      </c>
      <c r="I21" s="159">
        <f>IF(Data!$BQ20=0, 0, H21/Data!$BQ20)</f>
        <v>0.17391304347826086</v>
      </c>
      <c r="J21" s="160">
        <f>Data!BW20</f>
        <v>5</v>
      </c>
      <c r="K21" s="161">
        <f>IF(Data!$BQ20=0, 0, J21/Data!$BQ20)</f>
        <v>7.2463768115942032E-2</v>
      </c>
      <c r="L21" s="158">
        <f>Data!BX20</f>
        <v>29</v>
      </c>
      <c r="M21" s="162">
        <f>IF(Data!$BQ20=0, 0, L21/Data!$BQ20)</f>
        <v>0.42028985507246375</v>
      </c>
      <c r="N21" s="62"/>
      <c r="O21" s="62"/>
    </row>
    <row r="22" spans="1:15" ht="12" customHeight="1">
      <c r="A22" s="62"/>
      <c r="B22" s="123" t="str">
        <f>UPPER(LEFT(TRIM(Data!B21),1)) &amp; MID(TRIM(Data!B21),2,50)</f>
        <v>Odos melanoma</v>
      </c>
      <c r="C22" s="123" t="str">
        <f>Data!C21</f>
        <v>C43</v>
      </c>
      <c r="D22" s="149">
        <f>Data!BT21</f>
        <v>74</v>
      </c>
      <c r="E22" s="150">
        <f>IF(Data!$BQ21=0, 0, D22/Data!$BQ21)</f>
        <v>0.44311377245508982</v>
      </c>
      <c r="F22" s="151">
        <f>Data!BU21</f>
        <v>65</v>
      </c>
      <c r="G22" s="150">
        <f>IF(Data!$BQ21=0, 0, F22/Data!$BQ21)</f>
        <v>0.38922155688622756</v>
      </c>
      <c r="H22" s="149">
        <f>Data!BV21</f>
        <v>6</v>
      </c>
      <c r="I22" s="150">
        <f>IF(Data!$BQ21=0, 0, H22/Data!$BQ21)</f>
        <v>3.5928143712574849E-2</v>
      </c>
      <c r="J22" s="151">
        <f>Data!BW21</f>
        <v>7</v>
      </c>
      <c r="K22" s="152">
        <f>IF(Data!$BQ21=0, 0, J22/Data!$BQ21)</f>
        <v>4.1916167664670656E-2</v>
      </c>
      <c r="L22" s="149">
        <f>Data!BX21</f>
        <v>15</v>
      </c>
      <c r="M22" s="153">
        <f>IF(Data!$BQ21=0, 0, L22/Data!$BQ21)</f>
        <v>8.9820359281437126E-2</v>
      </c>
      <c r="N22" s="62"/>
      <c r="O22" s="62"/>
    </row>
    <row r="23" spans="1:15" ht="12" customHeight="1">
      <c r="A23" s="62"/>
      <c r="B23" s="139" t="str">
        <f>UPPER(LEFT(TRIM(Data!B22),1)) &amp; MID(TRIM(Data!B22),2,50)</f>
        <v>Kiti odos piktybiniai navikai</v>
      </c>
      <c r="C23" s="139" t="str">
        <f>Data!C22</f>
        <v>C44</v>
      </c>
      <c r="D23" s="158">
        <f>Data!BT22</f>
        <v>1049</v>
      </c>
      <c r="E23" s="159">
        <f>IF(Data!$BQ22=0, 0, D23/Data!$BQ22)</f>
        <v>0.72444751381215466</v>
      </c>
      <c r="F23" s="160">
        <f>Data!BU22</f>
        <v>318</v>
      </c>
      <c r="G23" s="159">
        <f>IF(Data!$BQ22=0, 0, F23/Data!$BQ22)</f>
        <v>0.21961325966850828</v>
      </c>
      <c r="H23" s="158">
        <f>Data!BV22</f>
        <v>8</v>
      </c>
      <c r="I23" s="159">
        <f>IF(Data!$BQ22=0, 0, H23/Data!$BQ22)</f>
        <v>5.5248618784530384E-3</v>
      </c>
      <c r="J23" s="160">
        <f>Data!BW22</f>
        <v>8</v>
      </c>
      <c r="K23" s="161">
        <f>IF(Data!$BQ22=0, 0, J23/Data!$BQ22)</f>
        <v>5.5248618784530384E-3</v>
      </c>
      <c r="L23" s="158">
        <f>Data!BX22</f>
        <v>65</v>
      </c>
      <c r="M23" s="162">
        <f>IF(Data!$BQ22=0, 0, L23/Data!$BQ22)</f>
        <v>4.4889502762430943E-2</v>
      </c>
      <c r="N23" s="62"/>
      <c r="O23" s="62"/>
    </row>
    <row r="24" spans="1:15" ht="12" customHeight="1">
      <c r="A24" s="62"/>
      <c r="B24" s="123" t="str">
        <f>UPPER(LEFT(TRIM(Data!B23),1)) &amp; MID(TRIM(Data!B23),2,50)</f>
        <v>Krūties</v>
      </c>
      <c r="C24" s="123" t="str">
        <f>Data!C23</f>
        <v>C50</v>
      </c>
      <c r="D24" s="149">
        <f>Data!BT23</f>
        <v>514</v>
      </c>
      <c r="E24" s="150">
        <f>IF(Data!$BQ23=0, 0, D24/Data!$BQ23)</f>
        <v>0.3350717079530639</v>
      </c>
      <c r="F24" s="151">
        <f>Data!BU23</f>
        <v>525</v>
      </c>
      <c r="G24" s="150">
        <f>IF(Data!$BQ23=0, 0, F24/Data!$BQ23)</f>
        <v>0.34224250325945244</v>
      </c>
      <c r="H24" s="149">
        <f>Data!BV23</f>
        <v>279</v>
      </c>
      <c r="I24" s="150">
        <f>IF(Data!$BQ23=0, 0, H24/Data!$BQ23)</f>
        <v>0.18187744458930899</v>
      </c>
      <c r="J24" s="151">
        <f>Data!BW23</f>
        <v>95</v>
      </c>
      <c r="K24" s="152">
        <f>IF(Data!$BQ23=0, 0, J24/Data!$BQ23)</f>
        <v>6.1929595827900911E-2</v>
      </c>
      <c r="L24" s="149">
        <f>Data!BX23</f>
        <v>121</v>
      </c>
      <c r="M24" s="153">
        <f>IF(Data!$BQ23=0, 0, L24/Data!$BQ23)</f>
        <v>7.8878748370273796E-2</v>
      </c>
      <c r="N24" s="62"/>
      <c r="O24" s="62"/>
    </row>
    <row r="25" spans="1:15" ht="12" customHeight="1">
      <c r="A25" s="62"/>
      <c r="B25" s="139" t="str">
        <f>UPPER(LEFT(TRIM(Data!B24),1)) &amp; MID(TRIM(Data!B24),2,50)</f>
        <v>Vulvos</v>
      </c>
      <c r="C25" s="139" t="str">
        <f>Data!C24</f>
        <v>C51</v>
      </c>
      <c r="D25" s="158">
        <f>Data!BT24</f>
        <v>21</v>
      </c>
      <c r="E25" s="159">
        <f>IF(Data!$BQ24=0, 0, D25/Data!$BQ24)</f>
        <v>0.38181818181818183</v>
      </c>
      <c r="F25" s="160">
        <f>Data!BU24</f>
        <v>8</v>
      </c>
      <c r="G25" s="159">
        <f>IF(Data!$BQ24=0, 0, F25/Data!$BQ24)</f>
        <v>0.14545454545454545</v>
      </c>
      <c r="H25" s="158">
        <f>Data!BV24</f>
        <v>12</v>
      </c>
      <c r="I25" s="159">
        <f>IF(Data!$BQ24=0, 0, H25/Data!$BQ24)</f>
        <v>0.21818181818181817</v>
      </c>
      <c r="J25" s="160">
        <f>Data!BW24</f>
        <v>8</v>
      </c>
      <c r="K25" s="161">
        <f>IF(Data!$BQ24=0, 0, J25/Data!$BQ24)</f>
        <v>0.14545454545454545</v>
      </c>
      <c r="L25" s="158">
        <f>Data!BX24</f>
        <v>6</v>
      </c>
      <c r="M25" s="162">
        <f>IF(Data!$BQ24=0, 0, L25/Data!$BQ24)</f>
        <v>0.10909090909090909</v>
      </c>
      <c r="N25" s="62"/>
      <c r="O25" s="62"/>
    </row>
    <row r="26" spans="1:15" ht="12" customHeight="1">
      <c r="A26" s="62"/>
      <c r="B26" s="123" t="str">
        <f>UPPER(LEFT(TRIM(Data!B25),1)) &amp; MID(TRIM(Data!B25),2,50)</f>
        <v>Gimdos kaklelio</v>
      </c>
      <c r="C26" s="123" t="str">
        <f>Data!C25</f>
        <v>C53</v>
      </c>
      <c r="D26" s="149">
        <f>Data!BT25</f>
        <v>142</v>
      </c>
      <c r="E26" s="150">
        <f>IF(Data!$BQ25=0, 0, D26/Data!$BQ25)</f>
        <v>0.35768261964735515</v>
      </c>
      <c r="F26" s="151">
        <f>Data!BU25</f>
        <v>58</v>
      </c>
      <c r="G26" s="150">
        <f>IF(Data!$BQ25=0, 0, F26/Data!$BQ25)</f>
        <v>0.14609571788413098</v>
      </c>
      <c r="H26" s="149">
        <f>Data!BV25</f>
        <v>103</v>
      </c>
      <c r="I26" s="150">
        <f>IF(Data!$BQ25=0, 0, H26/Data!$BQ25)</f>
        <v>0.25944584382871538</v>
      </c>
      <c r="J26" s="151">
        <f>Data!BW25</f>
        <v>36</v>
      </c>
      <c r="K26" s="152">
        <f>IF(Data!$BQ25=0, 0, J26/Data!$BQ25)</f>
        <v>9.06801007556675E-2</v>
      </c>
      <c r="L26" s="149">
        <f>Data!BX25</f>
        <v>58</v>
      </c>
      <c r="M26" s="153">
        <f>IF(Data!$BQ25=0, 0, L26/Data!$BQ25)</f>
        <v>0.14609571788413098</v>
      </c>
      <c r="N26" s="62"/>
      <c r="O26" s="62"/>
    </row>
    <row r="27" spans="1:15" ht="12" customHeight="1">
      <c r="A27" s="62"/>
      <c r="B27" s="139" t="str">
        <f>UPPER(LEFT(TRIM(Data!B26),1)) &amp; MID(TRIM(Data!B26),2,50)</f>
        <v>Gimdos kūno</v>
      </c>
      <c r="C27" s="139" t="str">
        <f>Data!C26</f>
        <v>C54, C55</v>
      </c>
      <c r="D27" s="158">
        <f>Data!BT26</f>
        <v>403</v>
      </c>
      <c r="E27" s="159">
        <f>IF(Data!$BQ26=0, 0, D27/Data!$BQ26)</f>
        <v>0.62870514820592827</v>
      </c>
      <c r="F27" s="160">
        <f>Data!BU26</f>
        <v>52</v>
      </c>
      <c r="G27" s="159">
        <f>IF(Data!$BQ26=0, 0, F27/Data!$BQ26)</f>
        <v>8.1123244929797195E-2</v>
      </c>
      <c r="H27" s="158">
        <f>Data!BV26</f>
        <v>63</v>
      </c>
      <c r="I27" s="159">
        <f>IF(Data!$BQ26=0, 0, H27/Data!$BQ26)</f>
        <v>9.8283931357254287E-2</v>
      </c>
      <c r="J27" s="160">
        <f>Data!BW26</f>
        <v>35</v>
      </c>
      <c r="K27" s="161">
        <f>IF(Data!$BQ26=0, 0, J27/Data!$BQ26)</f>
        <v>5.4602184087363496E-2</v>
      </c>
      <c r="L27" s="158">
        <f>Data!BX26</f>
        <v>88</v>
      </c>
      <c r="M27" s="162">
        <f>IF(Data!$BQ26=0, 0, L27/Data!$BQ26)</f>
        <v>0.13728549141965679</v>
      </c>
      <c r="N27" s="62"/>
      <c r="O27" s="62"/>
    </row>
    <row r="28" spans="1:15" ht="12" customHeight="1">
      <c r="A28" s="62"/>
      <c r="B28" s="123" t="str">
        <f>UPPER(LEFT(TRIM(Data!B27),1)) &amp; MID(TRIM(Data!B27),2,50)</f>
        <v>Kiaušidžių</v>
      </c>
      <c r="C28" s="123" t="str">
        <f>Data!C27</f>
        <v>C56</v>
      </c>
      <c r="D28" s="149">
        <f>Data!BT27</f>
        <v>63</v>
      </c>
      <c r="E28" s="150">
        <f>IF(Data!$BQ27=0, 0, D28/Data!$BQ27)</f>
        <v>0.17355371900826447</v>
      </c>
      <c r="F28" s="151">
        <f>Data!BU27</f>
        <v>9</v>
      </c>
      <c r="G28" s="150">
        <f>IF(Data!$BQ27=0, 0, F28/Data!$BQ27)</f>
        <v>2.4793388429752067E-2</v>
      </c>
      <c r="H28" s="149">
        <f>Data!BV27</f>
        <v>136</v>
      </c>
      <c r="I28" s="150">
        <f>IF(Data!$BQ27=0, 0, H28/Data!$BQ27)</f>
        <v>0.37465564738292012</v>
      </c>
      <c r="J28" s="151">
        <f>Data!BW27</f>
        <v>86</v>
      </c>
      <c r="K28" s="152">
        <f>IF(Data!$BQ27=0, 0, J28/Data!$BQ27)</f>
        <v>0.23691460055096419</v>
      </c>
      <c r="L28" s="149">
        <f>Data!BX27</f>
        <v>69</v>
      </c>
      <c r="M28" s="153">
        <f>IF(Data!$BQ27=0, 0, L28/Data!$BQ27)</f>
        <v>0.19008264462809918</v>
      </c>
      <c r="N28" s="62"/>
      <c r="O28" s="62"/>
    </row>
    <row r="29" spans="1:15" ht="12" customHeight="1">
      <c r="A29" s="62"/>
      <c r="B29" s="139" t="str">
        <f>UPPER(LEFT(TRIM(Data!B30),1)) &amp; MID(TRIM(Data!B30),2,50)</f>
        <v>Kitų lyties organų</v>
      </c>
      <c r="C29" s="139" t="s">
        <v>417</v>
      </c>
      <c r="D29" s="158">
        <f>Data!BT30</f>
        <v>3</v>
      </c>
      <c r="E29" s="159">
        <f>IF(Data!$BQ30=0, 0, D29/Data!$BQ30)</f>
        <v>9.6774193548387094E-2</v>
      </c>
      <c r="F29" s="160">
        <f>Data!BU30</f>
        <v>6</v>
      </c>
      <c r="G29" s="159">
        <f>IF(Data!$BQ30=0, 0, F29/Data!$BQ30)</f>
        <v>0.19354838709677419</v>
      </c>
      <c r="H29" s="158">
        <f>Data!BV30</f>
        <v>6</v>
      </c>
      <c r="I29" s="159">
        <f>IF(Data!$BQ30=0, 0, H29/Data!$BQ30)</f>
        <v>0.19354838709677419</v>
      </c>
      <c r="J29" s="160">
        <f>Data!BW30</f>
        <v>8</v>
      </c>
      <c r="K29" s="161">
        <f>IF(Data!$BQ30=0, 0, J29/Data!$BQ30)</f>
        <v>0.25806451612903225</v>
      </c>
      <c r="L29" s="158">
        <f>Data!BX30</f>
        <v>8</v>
      </c>
      <c r="M29" s="162">
        <f>IF(Data!$BQ30=0, 0, L29/Data!$BQ30)</f>
        <v>0.25806451612903225</v>
      </c>
      <c r="N29" s="62"/>
      <c r="O29" s="62"/>
    </row>
    <row r="30" spans="1:15" ht="12" customHeight="1">
      <c r="A30" s="62"/>
      <c r="B30" s="123" t="str">
        <f>UPPER(LEFT(TRIM(Data!B31),1)) &amp; MID(TRIM(Data!B31),2,50)</f>
        <v>Inkstų</v>
      </c>
      <c r="C30" s="123" t="str">
        <f>Data!C31</f>
        <v>C64</v>
      </c>
      <c r="D30" s="149">
        <f>Data!BT31</f>
        <v>127</v>
      </c>
      <c r="E30" s="150">
        <f>IF(Data!$BQ31=0, 0, D30/Data!$BQ31)</f>
        <v>0.47388059701492535</v>
      </c>
      <c r="F30" s="151">
        <f>Data!BU31</f>
        <v>17</v>
      </c>
      <c r="G30" s="150">
        <f>IF(Data!$BQ31=0, 0, F30/Data!$BQ31)</f>
        <v>6.3432835820895525E-2</v>
      </c>
      <c r="H30" s="149">
        <f>Data!BV31</f>
        <v>49</v>
      </c>
      <c r="I30" s="150">
        <f>IF(Data!$BQ31=0, 0, H30/Data!$BQ31)</f>
        <v>0.18283582089552239</v>
      </c>
      <c r="J30" s="151">
        <f>Data!BW31</f>
        <v>30</v>
      </c>
      <c r="K30" s="152">
        <f>IF(Data!$BQ31=0, 0, J30/Data!$BQ31)</f>
        <v>0.11194029850746269</v>
      </c>
      <c r="L30" s="149">
        <f>Data!BX31</f>
        <v>45</v>
      </c>
      <c r="M30" s="153">
        <f>IF(Data!$BQ31=0, 0, L30/Data!$BQ31)</f>
        <v>0.16791044776119404</v>
      </c>
      <c r="N30" s="62"/>
      <c r="O30" s="62"/>
    </row>
    <row r="31" spans="1:15" ht="12" customHeight="1">
      <c r="A31" s="62"/>
      <c r="B31" s="139" t="str">
        <f>UPPER(LEFT(TRIM(Data!B32),1)) &amp; MID(TRIM(Data!B32),2,50)</f>
        <v>Šlapimo pūslės</v>
      </c>
      <c r="C31" s="139" t="str">
        <f>Data!C32</f>
        <v>C67</v>
      </c>
      <c r="D31" s="158">
        <f>Data!BT32</f>
        <v>29</v>
      </c>
      <c r="E31" s="159">
        <f>IF(Data!$BQ32=0, 0, D31/Data!$BQ32)</f>
        <v>0.35802469135802467</v>
      </c>
      <c r="F31" s="160">
        <f>Data!BU32</f>
        <v>22</v>
      </c>
      <c r="G31" s="159">
        <f>IF(Data!$BQ32=0, 0, F31/Data!$BQ32)</f>
        <v>0.27160493827160492</v>
      </c>
      <c r="H31" s="158">
        <f>Data!BV32</f>
        <v>4</v>
      </c>
      <c r="I31" s="159">
        <f>IF(Data!$BQ32=0, 0, H31/Data!$BQ32)</f>
        <v>4.9382716049382713E-2</v>
      </c>
      <c r="J31" s="160">
        <f>Data!BW32</f>
        <v>6</v>
      </c>
      <c r="K31" s="161">
        <f>IF(Data!$BQ32=0, 0, J31/Data!$BQ32)</f>
        <v>7.407407407407407E-2</v>
      </c>
      <c r="L31" s="158">
        <f>Data!BX32</f>
        <v>20</v>
      </c>
      <c r="M31" s="162">
        <f>IF(Data!$BQ32=0, 0, L31/Data!$BQ32)</f>
        <v>0.24691358024691357</v>
      </c>
      <c r="N31" s="62"/>
      <c r="O31" s="62"/>
    </row>
    <row r="32" spans="1:15" ht="12" customHeight="1">
      <c r="A32" s="62"/>
      <c r="B32" s="123" t="str">
        <f>UPPER(LEFT(TRIM(Data!B33),1)) &amp; MID(TRIM(Data!B33),2,50)</f>
        <v>Kitų šlapimą išskiriančių organų</v>
      </c>
      <c r="C32" s="123" t="str">
        <f>Data!C33</f>
        <v>C65, C66, C68</v>
      </c>
      <c r="D32" s="149">
        <f>Data!BT33</f>
        <v>0</v>
      </c>
      <c r="E32" s="150">
        <f>IF(Data!$BQ33=0, 0, D32/Data!$BQ33)</f>
        <v>0</v>
      </c>
      <c r="F32" s="151">
        <f>Data!BU33</f>
        <v>1</v>
      </c>
      <c r="G32" s="150">
        <f>IF(Data!$BQ33=0, 0, F32/Data!$BQ33)</f>
        <v>0.16666666666666666</v>
      </c>
      <c r="H32" s="149">
        <f>Data!BV33</f>
        <v>2</v>
      </c>
      <c r="I32" s="150">
        <f>IF(Data!$BQ33=0, 0, H32/Data!$BQ33)</f>
        <v>0.33333333333333331</v>
      </c>
      <c r="J32" s="151">
        <f>Data!BW33</f>
        <v>1</v>
      </c>
      <c r="K32" s="152">
        <f>IF(Data!$BQ33=0, 0, J32/Data!$BQ33)</f>
        <v>0.16666666666666666</v>
      </c>
      <c r="L32" s="149">
        <f>Data!BX33</f>
        <v>2</v>
      </c>
      <c r="M32" s="153">
        <f>IF(Data!$BQ33=0, 0, L32/Data!$BQ33)</f>
        <v>0.33333333333333331</v>
      </c>
      <c r="N32" s="62"/>
      <c r="O32" s="62"/>
    </row>
    <row r="33" spans="1:15" ht="12" customHeight="1">
      <c r="A33" s="62"/>
      <c r="B33" s="139" t="str">
        <f>UPPER(LEFT(TRIM(Data!B34),1)) &amp; MID(TRIM(Data!B34),2,50)</f>
        <v>Akių</v>
      </c>
      <c r="C33" s="139" t="str">
        <f>Data!C34</f>
        <v>C69</v>
      </c>
      <c r="D33" s="158">
        <f>Data!BT34</f>
        <v>1</v>
      </c>
      <c r="E33" s="159">
        <f>IF(Data!$BQ34=0, 0, D33/Data!$BQ34)</f>
        <v>6.25E-2</v>
      </c>
      <c r="F33" s="160">
        <f>Data!BU34</f>
        <v>8</v>
      </c>
      <c r="G33" s="159">
        <f>IF(Data!$BQ34=0, 0, F33/Data!$BQ34)</f>
        <v>0.5</v>
      </c>
      <c r="H33" s="158">
        <f>Data!BV34</f>
        <v>5</v>
      </c>
      <c r="I33" s="159">
        <f>IF(Data!$BQ34=0, 0, H33/Data!$BQ34)</f>
        <v>0.3125</v>
      </c>
      <c r="J33" s="160">
        <f>Data!BW34</f>
        <v>1</v>
      </c>
      <c r="K33" s="161">
        <f>IF(Data!$BQ34=0, 0, J33/Data!$BQ34)</f>
        <v>6.25E-2</v>
      </c>
      <c r="L33" s="158">
        <f>Data!BX34</f>
        <v>1</v>
      </c>
      <c r="M33" s="162">
        <f>IF(Data!$BQ34=0, 0, L33/Data!$BQ34)</f>
        <v>6.25E-2</v>
      </c>
      <c r="N33" s="62"/>
      <c r="O33" s="62"/>
    </row>
    <row r="34" spans="1:15" ht="12" customHeight="1">
      <c r="A34" s="62"/>
      <c r="B34" s="123" t="str">
        <f>UPPER(LEFT(TRIM(Data!B35),1)) &amp; MID(TRIM(Data!B35),2,50)</f>
        <v>Smegenų</v>
      </c>
      <c r="C34" s="123" t="str">
        <f>Data!C35</f>
        <v>C70-C72</v>
      </c>
      <c r="D34" s="149">
        <f>Data!BT35</f>
        <v>0</v>
      </c>
      <c r="E34" s="150">
        <f>IF(Data!$BQ35=0, 0, D34/Data!$BQ35)</f>
        <v>0</v>
      </c>
      <c r="F34" s="151">
        <f>Data!BU35</f>
        <v>0</v>
      </c>
      <c r="G34" s="150">
        <f>IF(Data!$BQ35=0, 0, F34/Data!$BQ35)</f>
        <v>0</v>
      </c>
      <c r="H34" s="149">
        <f>Data!BV35</f>
        <v>0</v>
      </c>
      <c r="I34" s="150">
        <f>IF(Data!$BQ35=0, 0, H34/Data!$BQ35)</f>
        <v>0</v>
      </c>
      <c r="J34" s="151">
        <f>Data!BW35</f>
        <v>0</v>
      </c>
      <c r="K34" s="152">
        <f>IF(Data!$BQ35=0, 0, J34/Data!$BQ35)</f>
        <v>0</v>
      </c>
      <c r="L34" s="149">
        <f>Data!BX35</f>
        <v>157</v>
      </c>
      <c r="M34" s="153">
        <f>IF(Data!$BQ35=0, 0, L34/Data!$BQ35)</f>
        <v>1</v>
      </c>
      <c r="N34" s="62"/>
      <c r="O34" s="62"/>
    </row>
    <row r="35" spans="1:15" ht="12" customHeight="1">
      <c r="A35" s="62"/>
      <c r="B35" s="139" t="str">
        <f>UPPER(LEFT(TRIM(Data!B36),1)) &amp; MID(TRIM(Data!B36),2,50)</f>
        <v>Skydliaukės</v>
      </c>
      <c r="C35" s="139" t="str">
        <f>Data!C36</f>
        <v>C73</v>
      </c>
      <c r="D35" s="158">
        <f>Data!BT36</f>
        <v>166</v>
      </c>
      <c r="E35" s="159">
        <f>IF(Data!$BQ36=0, 0, D35/Data!$BQ36)</f>
        <v>0.56271186440677967</v>
      </c>
      <c r="F35" s="160">
        <f>Data!BU36</f>
        <v>20</v>
      </c>
      <c r="G35" s="159">
        <f>IF(Data!$BQ36=0, 0, F35/Data!$BQ36)</f>
        <v>6.7796610169491525E-2</v>
      </c>
      <c r="H35" s="158">
        <f>Data!BV36</f>
        <v>79</v>
      </c>
      <c r="I35" s="159">
        <f>IF(Data!$BQ36=0, 0, H35/Data!$BQ36)</f>
        <v>0.26779661016949152</v>
      </c>
      <c r="J35" s="160">
        <f>Data!BW36</f>
        <v>25</v>
      </c>
      <c r="K35" s="161">
        <f>IF(Data!$BQ36=0, 0, J35/Data!$BQ36)</f>
        <v>8.4745762711864403E-2</v>
      </c>
      <c r="L35" s="158">
        <f>Data!BX36</f>
        <v>5</v>
      </c>
      <c r="M35" s="162">
        <f>IF(Data!$BQ36=0, 0, L35/Data!$BQ36)</f>
        <v>1.6949152542372881E-2</v>
      </c>
      <c r="N35" s="62"/>
      <c r="O35" s="62"/>
    </row>
    <row r="36" spans="1:15" ht="12" customHeight="1">
      <c r="A36" s="62"/>
      <c r="B36" s="123" t="str">
        <f>UPPER(LEFT(TRIM(Data!B37),1)) &amp; MID(TRIM(Data!B37),2,50)</f>
        <v>Kitų endokrininių liaukų</v>
      </c>
      <c r="C36" s="123" t="str">
        <f>Data!C37</f>
        <v>C74-C75</v>
      </c>
      <c r="D36" s="149">
        <f>Data!BT37</f>
        <v>2</v>
      </c>
      <c r="E36" s="150">
        <f>IF(Data!$BQ37=0, 0, D36/Data!$BQ37)</f>
        <v>0.15384615384615385</v>
      </c>
      <c r="F36" s="151">
        <f>Data!BU37</f>
        <v>1</v>
      </c>
      <c r="G36" s="150">
        <f>IF(Data!$BQ37=0, 0, F36/Data!$BQ37)</f>
        <v>7.6923076923076927E-2</v>
      </c>
      <c r="H36" s="149">
        <f>Data!BV37</f>
        <v>2</v>
      </c>
      <c r="I36" s="150">
        <f>IF(Data!$BQ37=0, 0, H36/Data!$BQ37)</f>
        <v>0.15384615384615385</v>
      </c>
      <c r="J36" s="151">
        <f>Data!BW37</f>
        <v>3</v>
      </c>
      <c r="K36" s="152">
        <f>IF(Data!$BQ37=0, 0, J36/Data!$BQ37)</f>
        <v>0.23076923076923078</v>
      </c>
      <c r="L36" s="149">
        <f>Data!BX37</f>
        <v>5</v>
      </c>
      <c r="M36" s="153">
        <f>IF(Data!$BQ37=0, 0, L36/Data!$BQ37)</f>
        <v>0.38461538461538464</v>
      </c>
      <c r="N36" s="62"/>
      <c r="O36" s="62"/>
    </row>
    <row r="37" spans="1:15" ht="12" customHeight="1">
      <c r="A37" s="62"/>
      <c r="B37" s="139" t="str">
        <f>UPPER(LEFT(TRIM(Data!B38),1)) &amp; MID(TRIM(Data!B38),2,50)</f>
        <v>Nepatikslintos lokalizacijos</v>
      </c>
      <c r="C37" s="139" t="str">
        <f>Data!C38</f>
        <v>C76-C80</v>
      </c>
      <c r="D37" s="158">
        <f>Data!BT38</f>
        <v>0</v>
      </c>
      <c r="E37" s="159">
        <f>IF(Data!$BQ38=0, 0, D37/Data!$BQ38)</f>
        <v>0</v>
      </c>
      <c r="F37" s="160">
        <f>Data!BU38</f>
        <v>0</v>
      </c>
      <c r="G37" s="159">
        <f>IF(Data!$BQ38=0, 0, F37/Data!$BQ38)</f>
        <v>0</v>
      </c>
      <c r="H37" s="158">
        <f>Data!BV38</f>
        <v>2</v>
      </c>
      <c r="I37" s="159">
        <f>IF(Data!$BQ38=0, 0, H37/Data!$BQ38)</f>
        <v>8.3333333333333332E-3</v>
      </c>
      <c r="J37" s="160">
        <f>Data!BW38</f>
        <v>124</v>
      </c>
      <c r="K37" s="161">
        <f>IF(Data!$BQ38=0, 0, J37/Data!$BQ38)</f>
        <v>0.51666666666666672</v>
      </c>
      <c r="L37" s="158">
        <f>Data!BX38</f>
        <v>114</v>
      </c>
      <c r="M37" s="162">
        <f>IF(Data!$BQ38=0, 0, L37/Data!$BQ38)</f>
        <v>0.47499999999999998</v>
      </c>
      <c r="N37" s="62"/>
      <c r="O37" s="62"/>
    </row>
    <row r="38" spans="1:1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1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</row>
  </sheetData>
  <mergeCells count="7">
    <mergeCell ref="B4:B5"/>
    <mergeCell ref="C4:C5"/>
    <mergeCell ref="L4:M4"/>
    <mergeCell ref="D4:E4"/>
    <mergeCell ref="F4:G4"/>
    <mergeCell ref="H4:I4"/>
    <mergeCell ref="J4:K4"/>
  </mergeCells>
  <pageMargins left="0.59055118110236215" right="0.62992125984251968" top="1.5748031496062993" bottom="1.9685039370078741" header="0" footer="0"/>
  <pageSetup paperSize="9" orientation="portrait" r:id="rId1"/>
  <headerFooter alignWithMargins="0"/>
  <ignoredErrors>
    <ignoredError sqref="F6 H6 J6 L6 F7 H7 J7 L7 F8:F28 H8:H28 J8:J28 L8:L28 F29:F37 H29:H37 J29:J37 L29:L3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0.39997558519241921"/>
  </sheetPr>
  <dimension ref="A1:X49"/>
  <sheetViews>
    <sheetView workbookViewId="0">
      <selection activeCell="B2" sqref="B2"/>
    </sheetView>
  </sheetViews>
  <sheetFormatPr defaultRowHeight="11.25"/>
  <cols>
    <col min="1" max="1" width="1.7109375" style="27" customWidth="1"/>
    <col min="2" max="2" width="28.7109375" style="27" customWidth="1"/>
    <col min="3" max="3" width="23.7109375" style="27" customWidth="1"/>
    <col min="4" max="21" width="6" style="27" customWidth="1"/>
    <col min="22" max="22" width="6.42578125" style="27" customWidth="1"/>
    <col min="23" max="33" width="0.85546875" style="27" customWidth="1"/>
    <col min="34" max="16384" width="9.140625" style="27"/>
  </cols>
  <sheetData>
    <row r="1" spans="1:24" ht="15">
      <c r="A1" s="29"/>
      <c r="B1" s="464" t="s">
        <v>402</v>
      </c>
      <c r="C1" s="488"/>
      <c r="D1" s="488"/>
      <c r="E1" s="488"/>
      <c r="F1" s="488"/>
      <c r="G1" s="488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2.75">
      <c r="A2" s="29"/>
      <c r="B2" s="465" t="str">
        <f>"Susirgimų piktybiniais navikais pasiskirstymas pagal amžiaus grupes  " &amp; GrafikaiSerg!A1 &amp; " m. Vyrai."</f>
        <v>Susirgimų piktybiniais navikais pasiskirstymas pagal amžiaus grupes  2013 m. Vyrai.</v>
      </c>
      <c r="C2" s="490"/>
      <c r="D2" s="488"/>
      <c r="E2" s="488"/>
      <c r="F2" s="488"/>
      <c r="G2" s="488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4" ht="12.75">
      <c r="A3" s="29"/>
      <c r="B3" s="61" t="s">
        <v>641</v>
      </c>
      <c r="C3" s="55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ht="12.95" customHeight="1">
      <c r="A4" s="29"/>
      <c r="B4" s="424" t="s">
        <v>242</v>
      </c>
      <c r="C4" s="424" t="s">
        <v>243</v>
      </c>
      <c r="D4" s="429" t="s">
        <v>418</v>
      </c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28"/>
      <c r="V4" s="434" t="s">
        <v>428</v>
      </c>
      <c r="W4" s="29"/>
      <c r="X4" s="29"/>
    </row>
    <row r="5" spans="1:24" ht="12.95" customHeight="1" thickBot="1">
      <c r="A5" s="29"/>
      <c r="B5" s="425"/>
      <c r="C5" s="425"/>
      <c r="D5" s="164" t="str">
        <f>Data!Q2</f>
        <v xml:space="preserve">0-4 </v>
      </c>
      <c r="E5" s="164" t="str">
        <f>Data!R2</f>
        <v>5-9</v>
      </c>
      <c r="F5" s="164" t="str">
        <f>Data!S2</f>
        <v>10-14</v>
      </c>
      <c r="G5" s="164" t="str">
        <f>Data!T2</f>
        <v>15-19</v>
      </c>
      <c r="H5" s="164" t="str">
        <f>Data!U2</f>
        <v>20-24</v>
      </c>
      <c r="I5" s="164" t="str">
        <f>Data!V2</f>
        <v>25-29</v>
      </c>
      <c r="J5" s="164" t="str">
        <f>Data!W2</f>
        <v>30-34</v>
      </c>
      <c r="K5" s="164" t="str">
        <f>Data!X2</f>
        <v>35-39</v>
      </c>
      <c r="L5" s="164" t="str">
        <f>Data!Y2</f>
        <v>40-44</v>
      </c>
      <c r="M5" s="164" t="str">
        <f>Data!Z2</f>
        <v>45-49</v>
      </c>
      <c r="N5" s="164" t="str">
        <f>Data!AA2</f>
        <v>50-54</v>
      </c>
      <c r="O5" s="164" t="str">
        <f>Data!AB2</f>
        <v>55-59</v>
      </c>
      <c r="P5" s="164" t="str">
        <f>Data!AC2</f>
        <v>60-64</v>
      </c>
      <c r="Q5" s="164" t="str">
        <f>Data!AD2</f>
        <v>65-69</v>
      </c>
      <c r="R5" s="164" t="str">
        <f>Data!AE2</f>
        <v>70-74</v>
      </c>
      <c r="S5" s="164" t="str">
        <f>Data!AF2</f>
        <v>75-79</v>
      </c>
      <c r="T5" s="164" t="str">
        <f>Data!AG2</f>
        <v>80-84</v>
      </c>
      <c r="U5" s="164" t="str">
        <f>Data!AH2</f>
        <v>85+</v>
      </c>
      <c r="V5" s="435"/>
      <c r="W5" s="29"/>
      <c r="X5" s="29"/>
    </row>
    <row r="6" spans="1:24" ht="12" customHeight="1" thickTop="1">
      <c r="A6" s="29"/>
      <c r="B6" s="144" t="str">
        <f>UPPER(LEFT(TRIM(Data!B5),1)) &amp; MID(TRIM(Data!B5),2,50)</f>
        <v>Piktybiniai navikai</v>
      </c>
      <c r="C6" s="144" t="str">
        <f>Data!C5</f>
        <v>C00-C96</v>
      </c>
      <c r="D6" s="163">
        <f>Data!Q5</f>
        <v>11</v>
      </c>
      <c r="E6" s="163">
        <f>Data!R5</f>
        <v>7</v>
      </c>
      <c r="F6" s="163">
        <f>Data!S5</f>
        <v>13</v>
      </c>
      <c r="G6" s="163">
        <f>Data!T5</f>
        <v>22</v>
      </c>
      <c r="H6" s="163">
        <f>Data!U5</f>
        <v>23</v>
      </c>
      <c r="I6" s="163">
        <f>Data!V5</f>
        <v>46</v>
      </c>
      <c r="J6" s="163">
        <f>Data!W5</f>
        <v>61</v>
      </c>
      <c r="K6" s="163">
        <f>Data!X5</f>
        <v>82</v>
      </c>
      <c r="L6" s="163">
        <f>Data!Y5</f>
        <v>164</v>
      </c>
      <c r="M6" s="163">
        <f>Data!Z5</f>
        <v>295</v>
      </c>
      <c r="N6" s="163">
        <f>Data!AA5</f>
        <v>762</v>
      </c>
      <c r="O6" s="163">
        <f>Data!AB5</f>
        <v>1060</v>
      </c>
      <c r="P6" s="163">
        <f>Data!AC5</f>
        <v>1427</v>
      </c>
      <c r="Q6" s="163">
        <f>Data!AD5</f>
        <v>1506</v>
      </c>
      <c r="R6" s="163">
        <f>Data!AE5</f>
        <v>1685</v>
      </c>
      <c r="S6" s="163">
        <f>Data!AF5</f>
        <v>1187</v>
      </c>
      <c r="T6" s="163">
        <f>Data!AG5</f>
        <v>753</v>
      </c>
      <c r="U6" s="163">
        <f>Data!AH5</f>
        <v>425</v>
      </c>
      <c r="V6" s="163">
        <f>SUM(D6:U6)</f>
        <v>9529</v>
      </c>
      <c r="W6" s="29"/>
      <c r="X6" s="29"/>
    </row>
    <row r="7" spans="1:24" ht="12" customHeight="1">
      <c r="A7" s="29"/>
      <c r="B7" s="145" t="str">
        <f>UPPER(LEFT(TRIM(Data!B6),1)) &amp; MID(TRIM(Data!B6),2,50)</f>
        <v>Lūpos</v>
      </c>
      <c r="C7" s="145" t="str">
        <f>Data!C6</f>
        <v>C00</v>
      </c>
      <c r="D7" s="165">
        <f>Data!Q6</f>
        <v>0</v>
      </c>
      <c r="E7" s="165">
        <f>Data!R6</f>
        <v>0</v>
      </c>
      <c r="F7" s="165">
        <f>Data!S6</f>
        <v>0</v>
      </c>
      <c r="G7" s="165">
        <f>Data!T6</f>
        <v>0</v>
      </c>
      <c r="H7" s="165">
        <f>Data!U6</f>
        <v>0</v>
      </c>
      <c r="I7" s="165">
        <f>Data!V6</f>
        <v>0</v>
      </c>
      <c r="J7" s="165">
        <f>Data!W6</f>
        <v>0</v>
      </c>
      <c r="K7" s="165">
        <f>Data!X6</f>
        <v>1</v>
      </c>
      <c r="L7" s="165">
        <f>Data!Y6</f>
        <v>1</v>
      </c>
      <c r="M7" s="165">
        <f>Data!Z6</f>
        <v>0</v>
      </c>
      <c r="N7" s="165">
        <f>Data!AA6</f>
        <v>0</v>
      </c>
      <c r="O7" s="165">
        <f>Data!AB6</f>
        <v>1</v>
      </c>
      <c r="P7" s="165">
        <f>Data!AC6</f>
        <v>2</v>
      </c>
      <c r="Q7" s="165">
        <f>Data!AD6</f>
        <v>3</v>
      </c>
      <c r="R7" s="165">
        <f>Data!AE6</f>
        <v>8</v>
      </c>
      <c r="S7" s="165">
        <f>Data!AF6</f>
        <v>4</v>
      </c>
      <c r="T7" s="165">
        <f>Data!AG6</f>
        <v>3</v>
      </c>
      <c r="U7" s="165">
        <f>Data!AH6</f>
        <v>1</v>
      </c>
      <c r="V7" s="165">
        <f>SUM(D7:U7)</f>
        <v>24</v>
      </c>
      <c r="W7" s="29"/>
      <c r="X7" s="29"/>
    </row>
    <row r="8" spans="1:24" ht="12" customHeight="1">
      <c r="A8" s="29"/>
      <c r="B8" s="144" t="str">
        <f>UPPER(LEFT(TRIM(Data!B7),1)) &amp; MID(TRIM(Data!B7),2,50)</f>
        <v>Burnos ertmės ir ryklės</v>
      </c>
      <c r="C8" s="144" t="str">
        <f>Data!C7</f>
        <v>C01-C14</v>
      </c>
      <c r="D8" s="163">
        <f>Data!Q7</f>
        <v>0</v>
      </c>
      <c r="E8" s="163">
        <f>Data!R7</f>
        <v>0</v>
      </c>
      <c r="F8" s="163">
        <f>Data!S7</f>
        <v>0</v>
      </c>
      <c r="G8" s="163">
        <f>Data!T7</f>
        <v>0</v>
      </c>
      <c r="H8" s="163">
        <f>Data!U7</f>
        <v>0</v>
      </c>
      <c r="I8" s="163">
        <f>Data!V7</f>
        <v>1</v>
      </c>
      <c r="J8" s="163">
        <f>Data!W7</f>
        <v>1</v>
      </c>
      <c r="K8" s="163">
        <f>Data!X7</f>
        <v>8</v>
      </c>
      <c r="L8" s="163">
        <f>Data!Y7</f>
        <v>11</v>
      </c>
      <c r="M8" s="163">
        <f>Data!Z7</f>
        <v>19</v>
      </c>
      <c r="N8" s="163">
        <f>Data!AA7</f>
        <v>23</v>
      </c>
      <c r="O8" s="163">
        <f>Data!AB7</f>
        <v>46</v>
      </c>
      <c r="P8" s="163">
        <f>Data!AC7</f>
        <v>56</v>
      </c>
      <c r="Q8" s="163">
        <f>Data!AD7</f>
        <v>38</v>
      </c>
      <c r="R8" s="163">
        <f>Data!AE7</f>
        <v>24</v>
      </c>
      <c r="S8" s="163">
        <f>Data!AF7</f>
        <v>18</v>
      </c>
      <c r="T8" s="163">
        <f>Data!AG7</f>
        <v>5</v>
      </c>
      <c r="U8" s="163">
        <f>Data!AH7</f>
        <v>3</v>
      </c>
      <c r="V8" s="163">
        <f t="shared" ref="V8:V47" si="0">SUM(D8:U8)</f>
        <v>253</v>
      </c>
      <c r="W8" s="29"/>
      <c r="X8" s="29"/>
    </row>
    <row r="9" spans="1:24" ht="12" customHeight="1">
      <c r="A9" s="29"/>
      <c r="B9" s="145" t="str">
        <f>UPPER(LEFT(TRIM(Data!B8),1)) &amp; MID(TRIM(Data!B8),2,50)</f>
        <v>Stemplės</v>
      </c>
      <c r="C9" s="145" t="str">
        <f>Data!C8</f>
        <v>C15</v>
      </c>
      <c r="D9" s="165">
        <f>Data!Q8</f>
        <v>0</v>
      </c>
      <c r="E9" s="165">
        <f>Data!R8</f>
        <v>0</v>
      </c>
      <c r="F9" s="165">
        <f>Data!S8</f>
        <v>0</v>
      </c>
      <c r="G9" s="165">
        <f>Data!T8</f>
        <v>0</v>
      </c>
      <c r="H9" s="165">
        <f>Data!U8</f>
        <v>0</v>
      </c>
      <c r="I9" s="165">
        <f>Data!V8</f>
        <v>0</v>
      </c>
      <c r="J9" s="165">
        <f>Data!W8</f>
        <v>0</v>
      </c>
      <c r="K9" s="165">
        <f>Data!X8</f>
        <v>1</v>
      </c>
      <c r="L9" s="165">
        <f>Data!Y8</f>
        <v>3</v>
      </c>
      <c r="M9" s="165">
        <f>Data!Z8</f>
        <v>9</v>
      </c>
      <c r="N9" s="165">
        <f>Data!AA8</f>
        <v>16</v>
      </c>
      <c r="O9" s="165">
        <f>Data!AB8</f>
        <v>29</v>
      </c>
      <c r="P9" s="165">
        <f>Data!AC8</f>
        <v>35</v>
      </c>
      <c r="Q9" s="165">
        <f>Data!AD8</f>
        <v>27</v>
      </c>
      <c r="R9" s="165">
        <f>Data!AE8</f>
        <v>17</v>
      </c>
      <c r="S9" s="165">
        <f>Data!AF8</f>
        <v>14</v>
      </c>
      <c r="T9" s="165">
        <f>Data!AG8</f>
        <v>7</v>
      </c>
      <c r="U9" s="165">
        <f>Data!AH8</f>
        <v>6</v>
      </c>
      <c r="V9" s="165">
        <f t="shared" si="0"/>
        <v>164</v>
      </c>
      <c r="W9" s="29"/>
      <c r="X9" s="29"/>
    </row>
    <row r="10" spans="1:24" ht="12" customHeight="1">
      <c r="A10" s="29"/>
      <c r="B10" s="144" t="str">
        <f>UPPER(LEFT(TRIM(Data!B9),1)) &amp; MID(TRIM(Data!B9),2,50)</f>
        <v>Skrandžio</v>
      </c>
      <c r="C10" s="144" t="str">
        <f>Data!C9</f>
        <v>C16</v>
      </c>
      <c r="D10" s="163">
        <f>Data!Q9</f>
        <v>0</v>
      </c>
      <c r="E10" s="163">
        <f>Data!R9</f>
        <v>0</v>
      </c>
      <c r="F10" s="163">
        <f>Data!S9</f>
        <v>0</v>
      </c>
      <c r="G10" s="163">
        <f>Data!T9</f>
        <v>0</v>
      </c>
      <c r="H10" s="163">
        <f>Data!U9</f>
        <v>0</v>
      </c>
      <c r="I10" s="163">
        <f>Data!V9</f>
        <v>2</v>
      </c>
      <c r="J10" s="163">
        <f>Data!W9</f>
        <v>3</v>
      </c>
      <c r="K10" s="163">
        <f>Data!X9</f>
        <v>4</v>
      </c>
      <c r="L10" s="163">
        <f>Data!Y9</f>
        <v>13</v>
      </c>
      <c r="M10" s="163">
        <f>Data!Z9</f>
        <v>21</v>
      </c>
      <c r="N10" s="163">
        <f>Data!AA9</f>
        <v>41</v>
      </c>
      <c r="O10" s="163">
        <f>Data!AB9</f>
        <v>43</v>
      </c>
      <c r="P10" s="163">
        <f>Data!AC9</f>
        <v>68</v>
      </c>
      <c r="Q10" s="163">
        <f>Data!AD9</f>
        <v>68</v>
      </c>
      <c r="R10" s="163">
        <f>Data!AE9</f>
        <v>83</v>
      </c>
      <c r="S10" s="163">
        <f>Data!AF9</f>
        <v>69</v>
      </c>
      <c r="T10" s="163">
        <f>Data!AG9</f>
        <v>61</v>
      </c>
      <c r="U10" s="163">
        <f>Data!AH9</f>
        <v>34</v>
      </c>
      <c r="V10" s="163">
        <f t="shared" si="0"/>
        <v>510</v>
      </c>
      <c r="W10" s="29"/>
      <c r="X10" s="29"/>
    </row>
    <row r="11" spans="1:24" ht="12" customHeight="1">
      <c r="A11" s="29"/>
      <c r="B11" s="145" t="str">
        <f>UPPER(LEFT(TRIM(Data!B10),1)) &amp; MID(TRIM(Data!B10),2,50)</f>
        <v>Gaubtinės žarnos</v>
      </c>
      <c r="C11" s="145" t="str">
        <f>Data!C10</f>
        <v>C18</v>
      </c>
      <c r="D11" s="165">
        <f>Data!Q10</f>
        <v>0</v>
      </c>
      <c r="E11" s="165">
        <f>Data!R10</f>
        <v>0</v>
      </c>
      <c r="F11" s="165">
        <f>Data!S10</f>
        <v>0</v>
      </c>
      <c r="G11" s="165">
        <f>Data!T10</f>
        <v>0</v>
      </c>
      <c r="H11" s="165">
        <f>Data!U10</f>
        <v>0</v>
      </c>
      <c r="I11" s="165">
        <f>Data!V10</f>
        <v>1</v>
      </c>
      <c r="J11" s="165">
        <f>Data!W10</f>
        <v>3</v>
      </c>
      <c r="K11" s="165">
        <f>Data!X10</f>
        <v>2</v>
      </c>
      <c r="L11" s="165">
        <f>Data!Y10</f>
        <v>3</v>
      </c>
      <c r="M11" s="165">
        <f>Data!Z10</f>
        <v>8</v>
      </c>
      <c r="N11" s="165">
        <f>Data!AA10</f>
        <v>24</v>
      </c>
      <c r="O11" s="165">
        <f>Data!AB10</f>
        <v>37</v>
      </c>
      <c r="P11" s="165">
        <f>Data!AC10</f>
        <v>46</v>
      </c>
      <c r="Q11" s="165">
        <f>Data!AD10</f>
        <v>80</v>
      </c>
      <c r="R11" s="165">
        <f>Data!AE10</f>
        <v>93</v>
      </c>
      <c r="S11" s="165">
        <f>Data!AF10</f>
        <v>64</v>
      </c>
      <c r="T11" s="165">
        <f>Data!AG10</f>
        <v>59</v>
      </c>
      <c r="U11" s="165">
        <f>Data!AH10</f>
        <v>22</v>
      </c>
      <c r="V11" s="165">
        <f t="shared" si="0"/>
        <v>442</v>
      </c>
      <c r="W11" s="29"/>
      <c r="X11" s="29"/>
    </row>
    <row r="12" spans="1:24" ht="12" customHeight="1">
      <c r="A12" s="29"/>
      <c r="B12" s="144" t="str">
        <f>UPPER(LEFT(TRIM(Data!B11),1)) &amp; MID(TRIM(Data!B11),2,50)</f>
        <v>Tiesiosios žarnos, išangės</v>
      </c>
      <c r="C12" s="144" t="str">
        <f>Data!C11</f>
        <v>C19-C21</v>
      </c>
      <c r="D12" s="163">
        <f>Data!Q11</f>
        <v>0</v>
      </c>
      <c r="E12" s="163">
        <f>Data!R11</f>
        <v>0</v>
      </c>
      <c r="F12" s="163">
        <f>Data!S11</f>
        <v>0</v>
      </c>
      <c r="G12" s="163">
        <f>Data!T11</f>
        <v>0</v>
      </c>
      <c r="H12" s="163">
        <f>Data!U11</f>
        <v>0</v>
      </c>
      <c r="I12" s="163">
        <f>Data!V11</f>
        <v>1</v>
      </c>
      <c r="J12" s="163">
        <f>Data!W11</f>
        <v>0</v>
      </c>
      <c r="K12" s="163">
        <f>Data!X11</f>
        <v>3</v>
      </c>
      <c r="L12" s="163">
        <f>Data!Y11</f>
        <v>6</v>
      </c>
      <c r="M12" s="163">
        <f>Data!Z11</f>
        <v>17</v>
      </c>
      <c r="N12" s="163">
        <f>Data!AA11</f>
        <v>25</v>
      </c>
      <c r="O12" s="163">
        <f>Data!AB11</f>
        <v>32</v>
      </c>
      <c r="P12" s="163">
        <f>Data!AC11</f>
        <v>48</v>
      </c>
      <c r="Q12" s="163">
        <f>Data!AD11</f>
        <v>71</v>
      </c>
      <c r="R12" s="163">
        <f>Data!AE11</f>
        <v>62</v>
      </c>
      <c r="S12" s="163">
        <f>Data!AF11</f>
        <v>55</v>
      </c>
      <c r="T12" s="163">
        <f>Data!AG11</f>
        <v>39</v>
      </c>
      <c r="U12" s="163">
        <f>Data!AH11</f>
        <v>27</v>
      </c>
      <c r="V12" s="163">
        <f t="shared" si="0"/>
        <v>386</v>
      </c>
      <c r="W12" s="29"/>
      <c r="X12" s="29"/>
    </row>
    <row r="13" spans="1:24" ht="12" customHeight="1">
      <c r="A13" s="29"/>
      <c r="B13" s="145" t="str">
        <f>UPPER(LEFT(TRIM(Data!B12),1)) &amp; MID(TRIM(Data!B12),2,50)</f>
        <v>Kepenų</v>
      </c>
      <c r="C13" s="145" t="str">
        <f>Data!C12</f>
        <v>C22</v>
      </c>
      <c r="D13" s="165">
        <f>Data!Q12</f>
        <v>1</v>
      </c>
      <c r="E13" s="165">
        <f>Data!R12</f>
        <v>0</v>
      </c>
      <c r="F13" s="165">
        <f>Data!S12</f>
        <v>1</v>
      </c>
      <c r="G13" s="165">
        <f>Data!T12</f>
        <v>0</v>
      </c>
      <c r="H13" s="165">
        <f>Data!U12</f>
        <v>0</v>
      </c>
      <c r="I13" s="165">
        <f>Data!V12</f>
        <v>1</v>
      </c>
      <c r="J13" s="165">
        <f>Data!W12</f>
        <v>0</v>
      </c>
      <c r="K13" s="165">
        <f>Data!X12</f>
        <v>0</v>
      </c>
      <c r="L13" s="165">
        <f>Data!Y12</f>
        <v>3</v>
      </c>
      <c r="M13" s="165">
        <f>Data!Z12</f>
        <v>9</v>
      </c>
      <c r="N13" s="165">
        <f>Data!AA12</f>
        <v>9</v>
      </c>
      <c r="O13" s="165">
        <f>Data!AB12</f>
        <v>19</v>
      </c>
      <c r="P13" s="165">
        <f>Data!AC12</f>
        <v>13</v>
      </c>
      <c r="Q13" s="165">
        <f>Data!AD12</f>
        <v>13</v>
      </c>
      <c r="R13" s="165">
        <f>Data!AE12</f>
        <v>20</v>
      </c>
      <c r="S13" s="165">
        <f>Data!AF12</f>
        <v>17</v>
      </c>
      <c r="T13" s="165">
        <f>Data!AG12</f>
        <v>8</v>
      </c>
      <c r="U13" s="165">
        <f>Data!AH12</f>
        <v>7</v>
      </c>
      <c r="V13" s="165">
        <f t="shared" si="0"/>
        <v>121</v>
      </c>
      <c r="W13" s="29"/>
      <c r="X13" s="29"/>
    </row>
    <row r="14" spans="1:24" ht="12" customHeight="1">
      <c r="A14" s="29"/>
      <c r="B14" s="144" t="str">
        <f>UPPER(LEFT(TRIM(Data!B13),1)) &amp; MID(TRIM(Data!B13),2,50)</f>
        <v>Tulžies pūslės, ekstrahepatinių takų</v>
      </c>
      <c r="C14" s="144" t="str">
        <f>Data!C13</f>
        <v>C23, C24</v>
      </c>
      <c r="D14" s="163">
        <f>Data!Q13</f>
        <v>0</v>
      </c>
      <c r="E14" s="163">
        <f>Data!R13</f>
        <v>0</v>
      </c>
      <c r="F14" s="163">
        <f>Data!S13</f>
        <v>0</v>
      </c>
      <c r="G14" s="163">
        <f>Data!T13</f>
        <v>0</v>
      </c>
      <c r="H14" s="163">
        <f>Data!U13</f>
        <v>0</v>
      </c>
      <c r="I14" s="163">
        <f>Data!V13</f>
        <v>0</v>
      </c>
      <c r="J14" s="163">
        <f>Data!W13</f>
        <v>0</v>
      </c>
      <c r="K14" s="163">
        <f>Data!X13</f>
        <v>1</v>
      </c>
      <c r="L14" s="163">
        <f>Data!Y13</f>
        <v>2</v>
      </c>
      <c r="M14" s="163">
        <f>Data!Z13</f>
        <v>1</v>
      </c>
      <c r="N14" s="163">
        <f>Data!AA13</f>
        <v>2</v>
      </c>
      <c r="O14" s="163">
        <f>Data!AB13</f>
        <v>5</v>
      </c>
      <c r="P14" s="163">
        <f>Data!AC13</f>
        <v>6</v>
      </c>
      <c r="Q14" s="163">
        <f>Data!AD13</f>
        <v>5</v>
      </c>
      <c r="R14" s="163">
        <f>Data!AE13</f>
        <v>6</v>
      </c>
      <c r="S14" s="163">
        <f>Data!AF13</f>
        <v>9</v>
      </c>
      <c r="T14" s="163">
        <f>Data!AG13</f>
        <v>8</v>
      </c>
      <c r="U14" s="163">
        <f>Data!AH13</f>
        <v>3</v>
      </c>
      <c r="V14" s="163">
        <f t="shared" si="0"/>
        <v>48</v>
      </c>
      <c r="W14" s="29"/>
      <c r="X14" s="29"/>
    </row>
    <row r="15" spans="1:24" ht="12" customHeight="1">
      <c r="A15" s="29"/>
      <c r="B15" s="145" t="str">
        <f>UPPER(LEFT(TRIM(Data!B14),1)) &amp; MID(TRIM(Data!B14),2,50)</f>
        <v>Kasos</v>
      </c>
      <c r="C15" s="145" t="str">
        <f>Data!C14</f>
        <v>C25</v>
      </c>
      <c r="D15" s="165">
        <f>Data!Q14</f>
        <v>0</v>
      </c>
      <c r="E15" s="165">
        <f>Data!R14</f>
        <v>0</v>
      </c>
      <c r="F15" s="165">
        <f>Data!S14</f>
        <v>0</v>
      </c>
      <c r="G15" s="165">
        <f>Data!T14</f>
        <v>0</v>
      </c>
      <c r="H15" s="165">
        <f>Data!U14</f>
        <v>0</v>
      </c>
      <c r="I15" s="165">
        <f>Data!V14</f>
        <v>0</v>
      </c>
      <c r="J15" s="165">
        <f>Data!W14</f>
        <v>3</v>
      </c>
      <c r="K15" s="165">
        <f>Data!X14</f>
        <v>0</v>
      </c>
      <c r="L15" s="165">
        <f>Data!Y14</f>
        <v>7</v>
      </c>
      <c r="M15" s="165">
        <f>Data!Z14</f>
        <v>7</v>
      </c>
      <c r="N15" s="165">
        <f>Data!AA14</f>
        <v>28</v>
      </c>
      <c r="O15" s="165">
        <f>Data!AB14</f>
        <v>18</v>
      </c>
      <c r="P15" s="165">
        <f>Data!AC14</f>
        <v>32</v>
      </c>
      <c r="Q15" s="165">
        <f>Data!AD14</f>
        <v>35</v>
      </c>
      <c r="R15" s="165">
        <f>Data!AE14</f>
        <v>48</v>
      </c>
      <c r="S15" s="165">
        <f>Data!AF14</f>
        <v>38</v>
      </c>
      <c r="T15" s="165">
        <f>Data!AG14</f>
        <v>16</v>
      </c>
      <c r="U15" s="165">
        <f>Data!AH14</f>
        <v>11</v>
      </c>
      <c r="V15" s="165">
        <f t="shared" si="0"/>
        <v>243</v>
      </c>
      <c r="W15" s="29"/>
      <c r="X15" s="29"/>
    </row>
    <row r="16" spans="1:24" ht="12" customHeight="1">
      <c r="A16" s="29"/>
      <c r="B16" s="144" t="str">
        <f>UPPER(LEFT(TRIM(Data!B15),1)) &amp; MID(TRIM(Data!B15),2,50)</f>
        <v>Kitų virškinimo sistemos organų</v>
      </c>
      <c r="C16" s="144" t="str">
        <f>Data!C15</f>
        <v>C17, C26, C48</v>
      </c>
      <c r="D16" s="163">
        <f>Data!Q15</f>
        <v>0</v>
      </c>
      <c r="E16" s="163">
        <f>Data!R15</f>
        <v>1</v>
      </c>
      <c r="F16" s="163">
        <f>Data!S15</f>
        <v>0</v>
      </c>
      <c r="G16" s="163">
        <f>Data!T15</f>
        <v>0</v>
      </c>
      <c r="H16" s="163">
        <f>Data!U15</f>
        <v>0</v>
      </c>
      <c r="I16" s="163">
        <f>Data!V15</f>
        <v>0</v>
      </c>
      <c r="J16" s="163">
        <f>Data!W15</f>
        <v>0</v>
      </c>
      <c r="K16" s="163">
        <f>Data!X15</f>
        <v>1</v>
      </c>
      <c r="L16" s="163">
        <f>Data!Y15</f>
        <v>1</v>
      </c>
      <c r="M16" s="163">
        <f>Data!Z15</f>
        <v>2</v>
      </c>
      <c r="N16" s="163">
        <f>Data!AA15</f>
        <v>2</v>
      </c>
      <c r="O16" s="163">
        <f>Data!AB15</f>
        <v>3</v>
      </c>
      <c r="P16" s="163">
        <f>Data!AC15</f>
        <v>2</v>
      </c>
      <c r="Q16" s="163">
        <f>Data!AD15</f>
        <v>3</v>
      </c>
      <c r="R16" s="163">
        <f>Data!AE15</f>
        <v>3</v>
      </c>
      <c r="S16" s="163">
        <f>Data!AF15</f>
        <v>3</v>
      </c>
      <c r="T16" s="163">
        <f>Data!AG15</f>
        <v>5</v>
      </c>
      <c r="U16" s="163">
        <f>Data!AH15</f>
        <v>4</v>
      </c>
      <c r="V16" s="163">
        <f t="shared" si="0"/>
        <v>30</v>
      </c>
      <c r="W16" s="29"/>
      <c r="X16" s="29"/>
    </row>
    <row r="17" spans="1:24" ht="12" customHeight="1">
      <c r="A17" s="29"/>
      <c r="B17" s="145" t="str">
        <f>UPPER(LEFT(TRIM(Data!B16),1)) &amp; MID(TRIM(Data!B16),2,50)</f>
        <v>Nosies ertmės, vid.ausies ir ančių</v>
      </c>
      <c r="C17" s="145" t="str">
        <f>Data!C16</f>
        <v>C30, C31</v>
      </c>
      <c r="D17" s="165">
        <f>Data!Q16</f>
        <v>0</v>
      </c>
      <c r="E17" s="165">
        <f>Data!R16</f>
        <v>0</v>
      </c>
      <c r="F17" s="165">
        <f>Data!S16</f>
        <v>0</v>
      </c>
      <c r="G17" s="165">
        <f>Data!T16</f>
        <v>0</v>
      </c>
      <c r="H17" s="165">
        <f>Data!U16</f>
        <v>1</v>
      </c>
      <c r="I17" s="165">
        <f>Data!V16</f>
        <v>0</v>
      </c>
      <c r="J17" s="165">
        <f>Data!W16</f>
        <v>0</v>
      </c>
      <c r="K17" s="165">
        <f>Data!X16</f>
        <v>0</v>
      </c>
      <c r="L17" s="165">
        <f>Data!Y16</f>
        <v>0</v>
      </c>
      <c r="M17" s="165">
        <f>Data!Z16</f>
        <v>5</v>
      </c>
      <c r="N17" s="165">
        <f>Data!AA16</f>
        <v>2</v>
      </c>
      <c r="O17" s="165">
        <f>Data!AB16</f>
        <v>2</v>
      </c>
      <c r="P17" s="165">
        <f>Data!AC16</f>
        <v>1</v>
      </c>
      <c r="Q17" s="165">
        <f>Data!AD16</f>
        <v>5</v>
      </c>
      <c r="R17" s="165">
        <f>Data!AE16</f>
        <v>1</v>
      </c>
      <c r="S17" s="165">
        <f>Data!AF16</f>
        <v>1</v>
      </c>
      <c r="T17" s="165">
        <f>Data!AG16</f>
        <v>1</v>
      </c>
      <c r="U17" s="165">
        <f>Data!AH16</f>
        <v>0</v>
      </c>
      <c r="V17" s="165">
        <f t="shared" si="0"/>
        <v>19</v>
      </c>
      <c r="W17" s="29"/>
      <c r="X17" s="29"/>
    </row>
    <row r="18" spans="1:24" ht="12" customHeight="1">
      <c r="A18" s="29"/>
      <c r="B18" s="144" t="str">
        <f>UPPER(LEFT(TRIM(Data!B17),1)) &amp; MID(TRIM(Data!B17),2,50)</f>
        <v>Gerklų</v>
      </c>
      <c r="C18" s="144" t="str">
        <f>Data!C17</f>
        <v>C32</v>
      </c>
      <c r="D18" s="163">
        <f>Data!Q17</f>
        <v>0</v>
      </c>
      <c r="E18" s="163">
        <f>Data!R17</f>
        <v>0</v>
      </c>
      <c r="F18" s="163">
        <f>Data!S17</f>
        <v>0</v>
      </c>
      <c r="G18" s="163">
        <f>Data!T17</f>
        <v>1</v>
      </c>
      <c r="H18" s="163">
        <f>Data!U17</f>
        <v>0</v>
      </c>
      <c r="I18" s="163">
        <f>Data!V17</f>
        <v>0</v>
      </c>
      <c r="J18" s="163">
        <f>Data!W17</f>
        <v>0</v>
      </c>
      <c r="K18" s="163">
        <f>Data!X17</f>
        <v>0</v>
      </c>
      <c r="L18" s="163">
        <f>Data!Y17</f>
        <v>4</v>
      </c>
      <c r="M18" s="163">
        <f>Data!Z17</f>
        <v>9</v>
      </c>
      <c r="N18" s="163">
        <f>Data!AA17</f>
        <v>11</v>
      </c>
      <c r="O18" s="163">
        <f>Data!AB17</f>
        <v>30</v>
      </c>
      <c r="P18" s="163">
        <f>Data!AC17</f>
        <v>28</v>
      </c>
      <c r="Q18" s="163">
        <f>Data!AD17</f>
        <v>20</v>
      </c>
      <c r="R18" s="163">
        <f>Data!AE17</f>
        <v>21</v>
      </c>
      <c r="S18" s="163">
        <f>Data!AF17</f>
        <v>16</v>
      </c>
      <c r="T18" s="163">
        <f>Data!AG17</f>
        <v>6</v>
      </c>
      <c r="U18" s="163">
        <f>Data!AH17</f>
        <v>5</v>
      </c>
      <c r="V18" s="163">
        <f t="shared" si="0"/>
        <v>151</v>
      </c>
      <c r="W18" s="29"/>
      <c r="X18" s="29"/>
    </row>
    <row r="19" spans="1:24" ht="12" customHeight="1">
      <c r="A19" s="29"/>
      <c r="B19" s="145" t="str">
        <f>UPPER(LEFT(TRIM(Data!B18),1)) &amp; MID(TRIM(Data!B18),2,50)</f>
        <v>Plaučių, trachėjos, bronchų</v>
      </c>
      <c r="C19" s="145" t="str">
        <f>Data!C18</f>
        <v>C33, C34</v>
      </c>
      <c r="D19" s="165">
        <f>Data!Q18</f>
        <v>0</v>
      </c>
      <c r="E19" s="165">
        <f>Data!R18</f>
        <v>0</v>
      </c>
      <c r="F19" s="165">
        <f>Data!S18</f>
        <v>0</v>
      </c>
      <c r="G19" s="165">
        <f>Data!T18</f>
        <v>0</v>
      </c>
      <c r="H19" s="165">
        <f>Data!U18</f>
        <v>0</v>
      </c>
      <c r="I19" s="165">
        <f>Data!V18</f>
        <v>1</v>
      </c>
      <c r="J19" s="165">
        <f>Data!W18</f>
        <v>0</v>
      </c>
      <c r="K19" s="165">
        <f>Data!X18</f>
        <v>4</v>
      </c>
      <c r="L19" s="165">
        <f>Data!Y18</f>
        <v>9</v>
      </c>
      <c r="M19" s="165">
        <f>Data!Z18</f>
        <v>32</v>
      </c>
      <c r="N19" s="165">
        <f>Data!AA18</f>
        <v>74</v>
      </c>
      <c r="O19" s="165">
        <f>Data!AB18</f>
        <v>145</v>
      </c>
      <c r="P19" s="165">
        <f>Data!AC18</f>
        <v>196</v>
      </c>
      <c r="Q19" s="165">
        <f>Data!AD18</f>
        <v>182</v>
      </c>
      <c r="R19" s="165">
        <f>Data!AE18</f>
        <v>200</v>
      </c>
      <c r="S19" s="165">
        <f>Data!AF18</f>
        <v>178</v>
      </c>
      <c r="T19" s="165">
        <f>Data!AG18</f>
        <v>91</v>
      </c>
      <c r="U19" s="165">
        <f>Data!AH18</f>
        <v>35</v>
      </c>
      <c r="V19" s="165">
        <f t="shared" si="0"/>
        <v>1147</v>
      </c>
      <c r="W19" s="29"/>
      <c r="X19" s="29"/>
    </row>
    <row r="20" spans="1:24" ht="12" customHeight="1">
      <c r="A20" s="29"/>
      <c r="B20" s="144" t="str">
        <f>UPPER(LEFT(TRIM(Data!B19),1)) &amp; MID(TRIM(Data!B19),2,50)</f>
        <v>Kitų kvėpavimo sistemos organų</v>
      </c>
      <c r="C20" s="144" t="str">
        <f>Data!C19</f>
        <v>C37-C39</v>
      </c>
      <c r="D20" s="163">
        <f>Data!Q19</f>
        <v>0</v>
      </c>
      <c r="E20" s="163">
        <f>Data!R19</f>
        <v>0</v>
      </c>
      <c r="F20" s="163">
        <f>Data!S19</f>
        <v>0</v>
      </c>
      <c r="G20" s="163">
        <f>Data!T19</f>
        <v>0</v>
      </c>
      <c r="H20" s="163">
        <f>Data!U19</f>
        <v>0</v>
      </c>
      <c r="I20" s="163">
        <f>Data!V19</f>
        <v>0</v>
      </c>
      <c r="J20" s="163">
        <f>Data!W19</f>
        <v>0</v>
      </c>
      <c r="K20" s="163">
        <f>Data!X19</f>
        <v>0</v>
      </c>
      <c r="L20" s="163">
        <f>Data!Y19</f>
        <v>1</v>
      </c>
      <c r="M20" s="163">
        <f>Data!Z19</f>
        <v>1</v>
      </c>
      <c r="N20" s="163">
        <f>Data!AA19</f>
        <v>0</v>
      </c>
      <c r="O20" s="163">
        <f>Data!AB19</f>
        <v>1</v>
      </c>
      <c r="P20" s="163">
        <f>Data!AC19</f>
        <v>0</v>
      </c>
      <c r="Q20" s="163">
        <f>Data!AD19</f>
        <v>1</v>
      </c>
      <c r="R20" s="163">
        <f>Data!AE19</f>
        <v>2</v>
      </c>
      <c r="S20" s="163">
        <f>Data!AF19</f>
        <v>1</v>
      </c>
      <c r="T20" s="163">
        <f>Data!AG19</f>
        <v>1</v>
      </c>
      <c r="U20" s="163">
        <f>Data!AH19</f>
        <v>0</v>
      </c>
      <c r="V20" s="163">
        <f t="shared" si="0"/>
        <v>8</v>
      </c>
      <c r="W20" s="29"/>
      <c r="X20" s="29"/>
    </row>
    <row r="21" spans="1:24" ht="12" customHeight="1">
      <c r="A21" s="29"/>
      <c r="B21" s="145" t="str">
        <f>UPPER(LEFT(TRIM(Data!B20),1)) &amp; MID(TRIM(Data!B20),2,50)</f>
        <v>Kaulų ir jungiamojo audinio</v>
      </c>
      <c r="C21" s="145" t="str">
        <f>Data!C20</f>
        <v>C40-C41, C45-C47, C49</v>
      </c>
      <c r="D21" s="165">
        <f>Data!Q20</f>
        <v>1</v>
      </c>
      <c r="E21" s="165">
        <f>Data!R20</f>
        <v>0</v>
      </c>
      <c r="F21" s="165">
        <f>Data!S20</f>
        <v>2</v>
      </c>
      <c r="G21" s="165">
        <f>Data!T20</f>
        <v>1</v>
      </c>
      <c r="H21" s="165">
        <f>Data!U20</f>
        <v>2</v>
      </c>
      <c r="I21" s="165">
        <f>Data!V20</f>
        <v>0</v>
      </c>
      <c r="J21" s="165">
        <f>Data!W20</f>
        <v>3</v>
      </c>
      <c r="K21" s="165">
        <f>Data!X20</f>
        <v>2</v>
      </c>
      <c r="L21" s="165">
        <f>Data!Y20</f>
        <v>4</v>
      </c>
      <c r="M21" s="165">
        <f>Data!Z20</f>
        <v>4</v>
      </c>
      <c r="N21" s="165">
        <f>Data!AA20</f>
        <v>7</v>
      </c>
      <c r="O21" s="165">
        <f>Data!AB20</f>
        <v>1</v>
      </c>
      <c r="P21" s="165">
        <f>Data!AC20</f>
        <v>7</v>
      </c>
      <c r="Q21" s="165">
        <f>Data!AD20</f>
        <v>10</v>
      </c>
      <c r="R21" s="165">
        <f>Data!AE20</f>
        <v>7</v>
      </c>
      <c r="S21" s="165">
        <f>Data!AF20</f>
        <v>9</v>
      </c>
      <c r="T21" s="165">
        <f>Data!AG20</f>
        <v>1</v>
      </c>
      <c r="U21" s="165">
        <f>Data!AH20</f>
        <v>3</v>
      </c>
      <c r="V21" s="165">
        <f t="shared" si="0"/>
        <v>64</v>
      </c>
      <c r="W21" s="29"/>
      <c r="X21" s="29"/>
    </row>
    <row r="22" spans="1:24" ht="12" customHeight="1">
      <c r="A22" s="29"/>
      <c r="B22" s="144" t="str">
        <f>UPPER(LEFT(TRIM(Data!B21),1)) &amp; MID(TRIM(Data!B21),2,50)</f>
        <v>Odos melanoma</v>
      </c>
      <c r="C22" s="144" t="str">
        <f>Data!C21</f>
        <v>C43</v>
      </c>
      <c r="D22" s="163">
        <f>Data!Q21</f>
        <v>0</v>
      </c>
      <c r="E22" s="163">
        <f>Data!R21</f>
        <v>0</v>
      </c>
      <c r="F22" s="163">
        <f>Data!S21</f>
        <v>1</v>
      </c>
      <c r="G22" s="163">
        <f>Data!T21</f>
        <v>0</v>
      </c>
      <c r="H22" s="163">
        <f>Data!U21</f>
        <v>1</v>
      </c>
      <c r="I22" s="163">
        <f>Data!V21</f>
        <v>4</v>
      </c>
      <c r="J22" s="163">
        <f>Data!W21</f>
        <v>5</v>
      </c>
      <c r="K22" s="163">
        <f>Data!X21</f>
        <v>4</v>
      </c>
      <c r="L22" s="163">
        <f>Data!Y21</f>
        <v>10</v>
      </c>
      <c r="M22" s="163">
        <f>Data!Z21</f>
        <v>8</v>
      </c>
      <c r="N22" s="163">
        <f>Data!AA21</f>
        <v>13</v>
      </c>
      <c r="O22" s="163">
        <f>Data!AB21</f>
        <v>11</v>
      </c>
      <c r="P22" s="163">
        <f>Data!AC21</f>
        <v>16</v>
      </c>
      <c r="Q22" s="163">
        <f>Data!AD21</f>
        <v>9</v>
      </c>
      <c r="R22" s="163">
        <f>Data!AE21</f>
        <v>15</v>
      </c>
      <c r="S22" s="163">
        <f>Data!AF21</f>
        <v>11</v>
      </c>
      <c r="T22" s="163">
        <f>Data!AG21</f>
        <v>12</v>
      </c>
      <c r="U22" s="163">
        <f>Data!AH21</f>
        <v>4</v>
      </c>
      <c r="V22" s="163">
        <f t="shared" si="0"/>
        <v>124</v>
      </c>
      <c r="W22" s="29"/>
      <c r="X22" s="29"/>
    </row>
    <row r="23" spans="1:24" ht="12" customHeight="1">
      <c r="A23" s="29"/>
      <c r="B23" s="145" t="str">
        <f>UPPER(LEFT(TRIM(Data!B22),1)) &amp; MID(TRIM(Data!B22),2,50)</f>
        <v>Kiti odos piktybiniai navikai</v>
      </c>
      <c r="C23" s="145" t="str">
        <f>Data!C22</f>
        <v>C44</v>
      </c>
      <c r="D23" s="165">
        <f>Data!Q22</f>
        <v>0</v>
      </c>
      <c r="E23" s="165">
        <f>Data!R22</f>
        <v>0</v>
      </c>
      <c r="F23" s="165">
        <f>Data!S22</f>
        <v>0</v>
      </c>
      <c r="G23" s="165">
        <f>Data!T22</f>
        <v>2</v>
      </c>
      <c r="H23" s="165">
        <f>Data!U22</f>
        <v>0</v>
      </c>
      <c r="I23" s="165">
        <f>Data!V22</f>
        <v>4</v>
      </c>
      <c r="J23" s="165">
        <f>Data!W22</f>
        <v>9</v>
      </c>
      <c r="K23" s="165">
        <f>Data!X22</f>
        <v>9</v>
      </c>
      <c r="L23" s="165">
        <f>Data!Y22</f>
        <v>20</v>
      </c>
      <c r="M23" s="165">
        <f>Data!Z22</f>
        <v>30</v>
      </c>
      <c r="N23" s="165">
        <f>Data!AA22</f>
        <v>49</v>
      </c>
      <c r="O23" s="165">
        <f>Data!AB22</f>
        <v>70</v>
      </c>
      <c r="P23" s="165">
        <f>Data!AC22</f>
        <v>88</v>
      </c>
      <c r="Q23" s="165">
        <f>Data!AD22</f>
        <v>121</v>
      </c>
      <c r="R23" s="165">
        <f>Data!AE22</f>
        <v>146</v>
      </c>
      <c r="S23" s="165">
        <f>Data!AF22</f>
        <v>154</v>
      </c>
      <c r="T23" s="165">
        <f>Data!AG22</f>
        <v>115</v>
      </c>
      <c r="U23" s="165">
        <f>Data!AH22</f>
        <v>65</v>
      </c>
      <c r="V23" s="165">
        <f t="shared" si="0"/>
        <v>882</v>
      </c>
      <c r="W23" s="29"/>
      <c r="X23" s="29"/>
    </row>
    <row r="24" spans="1:24" ht="12" customHeight="1">
      <c r="A24" s="29"/>
      <c r="B24" s="144" t="str">
        <f>UPPER(LEFT(TRIM(Data!B23),1)) &amp; MID(TRIM(Data!B23),2,50)</f>
        <v>Krūties</v>
      </c>
      <c r="C24" s="144" t="str">
        <f>Data!C23</f>
        <v>C50</v>
      </c>
      <c r="D24" s="163">
        <f>Data!Q23</f>
        <v>0</v>
      </c>
      <c r="E24" s="163">
        <f>Data!R23</f>
        <v>0</v>
      </c>
      <c r="F24" s="163">
        <f>Data!S23</f>
        <v>0</v>
      </c>
      <c r="G24" s="163">
        <f>Data!T23</f>
        <v>0</v>
      </c>
      <c r="H24" s="163">
        <f>Data!U23</f>
        <v>0</v>
      </c>
      <c r="I24" s="163">
        <f>Data!V23</f>
        <v>0</v>
      </c>
      <c r="J24" s="163">
        <f>Data!W23</f>
        <v>0</v>
      </c>
      <c r="K24" s="163">
        <f>Data!X23</f>
        <v>0</v>
      </c>
      <c r="L24" s="163">
        <f>Data!Y23</f>
        <v>0</v>
      </c>
      <c r="M24" s="163">
        <f>Data!Z23</f>
        <v>2</v>
      </c>
      <c r="N24" s="163">
        <f>Data!AA23</f>
        <v>1</v>
      </c>
      <c r="O24" s="163">
        <f>Data!AB23</f>
        <v>1</v>
      </c>
      <c r="P24" s="163">
        <f>Data!AC23</f>
        <v>0</v>
      </c>
      <c r="Q24" s="163">
        <f>Data!AD23</f>
        <v>2</v>
      </c>
      <c r="R24" s="163">
        <f>Data!AE23</f>
        <v>0</v>
      </c>
      <c r="S24" s="163">
        <f>Data!AF23</f>
        <v>2</v>
      </c>
      <c r="T24" s="163">
        <f>Data!AG23</f>
        <v>1</v>
      </c>
      <c r="U24" s="163">
        <f>Data!AH23</f>
        <v>1</v>
      </c>
      <c r="V24" s="163">
        <f t="shared" si="0"/>
        <v>10</v>
      </c>
      <c r="W24" s="29"/>
      <c r="X24" s="29"/>
    </row>
    <row r="25" spans="1:24" ht="12" customHeight="1">
      <c r="A25" s="29"/>
      <c r="B25" s="145" t="str">
        <f>UPPER(LEFT(TRIM(Data!B28),1)) &amp; MID(TRIM(Data!B28),2,50)</f>
        <v>Priešinės liaukos</v>
      </c>
      <c r="C25" s="145" t="str">
        <f>Data!C28</f>
        <v>C61</v>
      </c>
      <c r="D25" s="165">
        <f>Data!Q28</f>
        <v>0</v>
      </c>
      <c r="E25" s="165">
        <f>Data!R28</f>
        <v>0</v>
      </c>
      <c r="F25" s="165">
        <f>Data!S28</f>
        <v>0</v>
      </c>
      <c r="G25" s="165">
        <f>Data!T28</f>
        <v>0</v>
      </c>
      <c r="H25" s="165">
        <f>Data!U28</f>
        <v>0</v>
      </c>
      <c r="I25" s="165">
        <f>Data!V28</f>
        <v>1</v>
      </c>
      <c r="J25" s="165">
        <f>Data!W28</f>
        <v>0</v>
      </c>
      <c r="K25" s="165">
        <f>Data!X28</f>
        <v>1</v>
      </c>
      <c r="L25" s="165">
        <f>Data!Y28</f>
        <v>9</v>
      </c>
      <c r="M25" s="165">
        <f>Data!Z28</f>
        <v>32</v>
      </c>
      <c r="N25" s="165">
        <f>Data!AA28</f>
        <v>296</v>
      </c>
      <c r="O25" s="165">
        <f>Data!AB28</f>
        <v>420</v>
      </c>
      <c r="P25" s="165">
        <f>Data!AC28</f>
        <v>608</v>
      </c>
      <c r="Q25" s="165">
        <f>Data!AD28</f>
        <v>630</v>
      </c>
      <c r="R25" s="165">
        <f>Data!AE28</f>
        <v>668</v>
      </c>
      <c r="S25" s="165">
        <f>Data!AF28</f>
        <v>288</v>
      </c>
      <c r="T25" s="165">
        <f>Data!AG28</f>
        <v>167</v>
      </c>
      <c r="U25" s="165">
        <f>Data!AH28</f>
        <v>103</v>
      </c>
      <c r="V25" s="165">
        <f t="shared" si="0"/>
        <v>3223</v>
      </c>
      <c r="W25" s="29"/>
      <c r="X25" s="29"/>
    </row>
    <row r="26" spans="1:24" ht="12" customHeight="1">
      <c r="A26" s="29"/>
      <c r="B26" s="144" t="str">
        <f>UPPER(LEFT(TRIM(Data!B29),1)) &amp; MID(TRIM(Data!B29),2,50)</f>
        <v>Sėklidžių</v>
      </c>
      <c r="C26" s="144" t="str">
        <f>Data!C29</f>
        <v>C62</v>
      </c>
      <c r="D26" s="163">
        <f>Data!Q29</f>
        <v>0</v>
      </c>
      <c r="E26" s="163">
        <f>Data!R29</f>
        <v>0</v>
      </c>
      <c r="F26" s="163">
        <f>Data!S29</f>
        <v>1</v>
      </c>
      <c r="G26" s="163">
        <f>Data!T29</f>
        <v>1</v>
      </c>
      <c r="H26" s="163">
        <f>Data!U29</f>
        <v>6</v>
      </c>
      <c r="I26" s="163">
        <f>Data!V29</f>
        <v>8</v>
      </c>
      <c r="J26" s="163">
        <f>Data!W29</f>
        <v>10</v>
      </c>
      <c r="K26" s="163">
        <f>Data!X29</f>
        <v>6</v>
      </c>
      <c r="L26" s="163">
        <f>Data!Y29</f>
        <v>8</v>
      </c>
      <c r="M26" s="163">
        <f>Data!Z29</f>
        <v>0</v>
      </c>
      <c r="N26" s="163">
        <f>Data!AA29</f>
        <v>2</v>
      </c>
      <c r="O26" s="163">
        <f>Data!AB29</f>
        <v>2</v>
      </c>
      <c r="P26" s="163">
        <f>Data!AC29</f>
        <v>1</v>
      </c>
      <c r="Q26" s="163">
        <f>Data!AD29</f>
        <v>0</v>
      </c>
      <c r="R26" s="163">
        <f>Data!AE29</f>
        <v>1</v>
      </c>
      <c r="S26" s="163">
        <f>Data!AF29</f>
        <v>0</v>
      </c>
      <c r="T26" s="163">
        <f>Data!AG29</f>
        <v>1</v>
      </c>
      <c r="U26" s="163">
        <f>Data!AH29</f>
        <v>0</v>
      </c>
      <c r="V26" s="163">
        <f t="shared" si="0"/>
        <v>47</v>
      </c>
      <c r="W26" s="29"/>
      <c r="X26" s="29"/>
    </row>
    <row r="27" spans="1:24" ht="12" customHeight="1">
      <c r="A27" s="29"/>
      <c r="B27" s="145" t="str">
        <f>UPPER(LEFT(TRIM(Data!B30),1)) &amp; MID(TRIM(Data!B30),2,50)</f>
        <v>Kitų lyties organų</v>
      </c>
      <c r="C27" s="145" t="s">
        <v>416</v>
      </c>
      <c r="D27" s="165">
        <f>Data!Q30</f>
        <v>0</v>
      </c>
      <c r="E27" s="165">
        <f>Data!R30</f>
        <v>1</v>
      </c>
      <c r="F27" s="165">
        <f>Data!S30</f>
        <v>0</v>
      </c>
      <c r="G27" s="165">
        <f>Data!T30</f>
        <v>0</v>
      </c>
      <c r="H27" s="165">
        <f>Data!U30</f>
        <v>0</v>
      </c>
      <c r="I27" s="165">
        <f>Data!V30</f>
        <v>0</v>
      </c>
      <c r="J27" s="165">
        <f>Data!W30</f>
        <v>1</v>
      </c>
      <c r="K27" s="165">
        <f>Data!X30</f>
        <v>0</v>
      </c>
      <c r="L27" s="165">
        <f>Data!Y30</f>
        <v>3</v>
      </c>
      <c r="M27" s="165">
        <f>Data!Z30</f>
        <v>0</v>
      </c>
      <c r="N27" s="165">
        <f>Data!AA30</f>
        <v>1</v>
      </c>
      <c r="O27" s="165">
        <f>Data!AB30</f>
        <v>8</v>
      </c>
      <c r="P27" s="165">
        <f>Data!AC30</f>
        <v>6</v>
      </c>
      <c r="Q27" s="165">
        <f>Data!AD30</f>
        <v>1</v>
      </c>
      <c r="R27" s="165">
        <f>Data!AE30</f>
        <v>2</v>
      </c>
      <c r="S27" s="165">
        <f>Data!AF30</f>
        <v>3</v>
      </c>
      <c r="T27" s="165">
        <f>Data!AG30</f>
        <v>1</v>
      </c>
      <c r="U27" s="165">
        <f>Data!AH30</f>
        <v>1</v>
      </c>
      <c r="V27" s="165">
        <f t="shared" si="0"/>
        <v>28</v>
      </c>
      <c r="W27" s="29"/>
      <c r="X27" s="29"/>
    </row>
    <row r="28" spans="1:24" ht="12" customHeight="1">
      <c r="A28" s="29"/>
      <c r="B28" s="144" t="str">
        <f>UPPER(LEFT(TRIM(Data!B31),1)) &amp; MID(TRIM(Data!B31),2,50)</f>
        <v>Inkstų</v>
      </c>
      <c r="C28" s="144" t="str">
        <f>Data!C31</f>
        <v>C64</v>
      </c>
      <c r="D28" s="163">
        <f>Data!Q31</f>
        <v>1</v>
      </c>
      <c r="E28" s="163">
        <f>Data!R31</f>
        <v>0</v>
      </c>
      <c r="F28" s="163">
        <f>Data!S31</f>
        <v>0</v>
      </c>
      <c r="G28" s="163">
        <f>Data!T31</f>
        <v>0</v>
      </c>
      <c r="H28" s="163">
        <f>Data!U31</f>
        <v>0</v>
      </c>
      <c r="I28" s="163">
        <f>Data!V31</f>
        <v>2</v>
      </c>
      <c r="J28" s="163">
        <f>Data!W31</f>
        <v>3</v>
      </c>
      <c r="K28" s="163">
        <f>Data!X31</f>
        <v>6</v>
      </c>
      <c r="L28" s="163">
        <f>Data!Y31</f>
        <v>13</v>
      </c>
      <c r="M28" s="163">
        <f>Data!Z31</f>
        <v>28</v>
      </c>
      <c r="N28" s="163">
        <f>Data!AA31</f>
        <v>39</v>
      </c>
      <c r="O28" s="163">
        <f>Data!AB31</f>
        <v>43</v>
      </c>
      <c r="P28" s="163">
        <f>Data!AC31</f>
        <v>41</v>
      </c>
      <c r="Q28" s="163">
        <f>Data!AD31</f>
        <v>45</v>
      </c>
      <c r="R28" s="163">
        <f>Data!AE31</f>
        <v>62</v>
      </c>
      <c r="S28" s="163">
        <f>Data!AF31</f>
        <v>43</v>
      </c>
      <c r="T28" s="163">
        <f>Data!AG31</f>
        <v>29</v>
      </c>
      <c r="U28" s="163">
        <f>Data!AH31</f>
        <v>11</v>
      </c>
      <c r="V28" s="163">
        <f t="shared" si="0"/>
        <v>366</v>
      </c>
      <c r="W28" s="29"/>
      <c r="X28" s="29"/>
    </row>
    <row r="29" spans="1:24" ht="12" customHeight="1">
      <c r="A29" s="29"/>
      <c r="B29" s="145" t="str">
        <f>UPPER(LEFT(TRIM(Data!B32),1)) &amp; MID(TRIM(Data!B32),2,50)</f>
        <v>Šlapimo pūslės</v>
      </c>
      <c r="C29" s="145" t="str">
        <f>Data!C32</f>
        <v>C67</v>
      </c>
      <c r="D29" s="165">
        <f>Data!Q32</f>
        <v>0</v>
      </c>
      <c r="E29" s="165">
        <f>Data!R32</f>
        <v>0</v>
      </c>
      <c r="F29" s="165">
        <f>Data!S32</f>
        <v>0</v>
      </c>
      <c r="G29" s="165">
        <f>Data!T32</f>
        <v>0</v>
      </c>
      <c r="H29" s="165">
        <f>Data!U32</f>
        <v>0</v>
      </c>
      <c r="I29" s="165">
        <f>Data!V32</f>
        <v>1</v>
      </c>
      <c r="J29" s="165">
        <f>Data!W32</f>
        <v>2</v>
      </c>
      <c r="K29" s="165">
        <f>Data!X32</f>
        <v>2</v>
      </c>
      <c r="L29" s="165">
        <f>Data!Y32</f>
        <v>7</v>
      </c>
      <c r="M29" s="165">
        <f>Data!Z32</f>
        <v>3</v>
      </c>
      <c r="N29" s="165">
        <f>Data!AA32</f>
        <v>14</v>
      </c>
      <c r="O29" s="165">
        <f>Data!AB32</f>
        <v>19</v>
      </c>
      <c r="P29" s="165">
        <f>Data!AC32</f>
        <v>21</v>
      </c>
      <c r="Q29" s="165">
        <f>Data!AD32</f>
        <v>29</v>
      </c>
      <c r="R29" s="165">
        <f>Data!AE32</f>
        <v>56</v>
      </c>
      <c r="S29" s="165">
        <f>Data!AF32</f>
        <v>64</v>
      </c>
      <c r="T29" s="165">
        <f>Data!AG32</f>
        <v>32</v>
      </c>
      <c r="U29" s="165">
        <f>Data!AH32</f>
        <v>25</v>
      </c>
      <c r="V29" s="165">
        <f t="shared" si="0"/>
        <v>275</v>
      </c>
      <c r="W29" s="29"/>
      <c r="X29" s="29"/>
    </row>
    <row r="30" spans="1:24" ht="12" customHeight="1">
      <c r="A30" s="29"/>
      <c r="B30" s="144" t="str">
        <f>UPPER(LEFT(TRIM(Data!B33),1)) &amp; MID(TRIM(Data!B33),2,50)</f>
        <v>Kitų šlapimą išskiriančių organų</v>
      </c>
      <c r="C30" s="144" t="str">
        <f>Data!C33</f>
        <v>C65, C66, C68</v>
      </c>
      <c r="D30" s="163">
        <f>Data!Q33</f>
        <v>0</v>
      </c>
      <c r="E30" s="163">
        <f>Data!R33</f>
        <v>0</v>
      </c>
      <c r="F30" s="163">
        <f>Data!S33</f>
        <v>0</v>
      </c>
      <c r="G30" s="163">
        <f>Data!T33</f>
        <v>0</v>
      </c>
      <c r="H30" s="163">
        <f>Data!U33</f>
        <v>0</v>
      </c>
      <c r="I30" s="163">
        <f>Data!V33</f>
        <v>0</v>
      </c>
      <c r="J30" s="163">
        <f>Data!W33</f>
        <v>0</v>
      </c>
      <c r="K30" s="163">
        <f>Data!X33</f>
        <v>0</v>
      </c>
      <c r="L30" s="163">
        <f>Data!Y33</f>
        <v>0</v>
      </c>
      <c r="M30" s="163">
        <f>Data!Z33</f>
        <v>1</v>
      </c>
      <c r="N30" s="163">
        <f>Data!AA33</f>
        <v>1</v>
      </c>
      <c r="O30" s="163">
        <f>Data!AB33</f>
        <v>1</v>
      </c>
      <c r="P30" s="163">
        <f>Data!AC33</f>
        <v>1</v>
      </c>
      <c r="Q30" s="163">
        <f>Data!AD33</f>
        <v>5</v>
      </c>
      <c r="R30" s="163">
        <f>Data!AE33</f>
        <v>4</v>
      </c>
      <c r="S30" s="163">
        <f>Data!AF33</f>
        <v>2</v>
      </c>
      <c r="T30" s="163">
        <f>Data!AG33</f>
        <v>5</v>
      </c>
      <c r="U30" s="163">
        <f>Data!AH33</f>
        <v>0</v>
      </c>
      <c r="V30" s="163">
        <f t="shared" si="0"/>
        <v>20</v>
      </c>
      <c r="W30" s="29"/>
      <c r="X30" s="29"/>
    </row>
    <row r="31" spans="1:24" ht="12" customHeight="1">
      <c r="A31" s="29"/>
      <c r="B31" s="145" t="str">
        <f>UPPER(LEFT(TRIM(Data!B34),1)) &amp; MID(TRIM(Data!B34),2,50)</f>
        <v>Akių</v>
      </c>
      <c r="C31" s="145" t="str">
        <f>Data!C34</f>
        <v>C69</v>
      </c>
      <c r="D31" s="165">
        <f>Data!Q34</f>
        <v>1</v>
      </c>
      <c r="E31" s="165">
        <f>Data!R34</f>
        <v>0</v>
      </c>
      <c r="F31" s="165">
        <f>Data!S34</f>
        <v>0</v>
      </c>
      <c r="G31" s="165">
        <f>Data!T34</f>
        <v>0</v>
      </c>
      <c r="H31" s="165">
        <f>Data!U34</f>
        <v>1</v>
      </c>
      <c r="I31" s="165">
        <f>Data!V34</f>
        <v>0</v>
      </c>
      <c r="J31" s="165">
        <f>Data!W34</f>
        <v>0</v>
      </c>
      <c r="K31" s="165">
        <f>Data!X34</f>
        <v>0</v>
      </c>
      <c r="L31" s="165">
        <f>Data!Y34</f>
        <v>0</v>
      </c>
      <c r="M31" s="165">
        <f>Data!Z34</f>
        <v>0</v>
      </c>
      <c r="N31" s="165">
        <f>Data!AA34</f>
        <v>1</v>
      </c>
      <c r="O31" s="165">
        <f>Data!AB34</f>
        <v>1</v>
      </c>
      <c r="P31" s="165">
        <f>Data!AC34</f>
        <v>3</v>
      </c>
      <c r="Q31" s="165">
        <f>Data!AD34</f>
        <v>4</v>
      </c>
      <c r="R31" s="165">
        <f>Data!AE34</f>
        <v>0</v>
      </c>
      <c r="S31" s="165">
        <f>Data!AF34</f>
        <v>3</v>
      </c>
      <c r="T31" s="165">
        <f>Data!AG34</f>
        <v>2</v>
      </c>
      <c r="U31" s="165">
        <f>Data!AH34</f>
        <v>0</v>
      </c>
      <c r="V31" s="165">
        <f t="shared" si="0"/>
        <v>16</v>
      </c>
      <c r="W31" s="29"/>
      <c r="X31" s="29"/>
    </row>
    <row r="32" spans="1:24" ht="12" customHeight="1">
      <c r="A32" s="29"/>
      <c r="B32" s="144" t="str">
        <f>UPPER(LEFT(TRIM(Data!B35),1)) &amp; MID(TRIM(Data!B35),2,50)</f>
        <v>Smegenų</v>
      </c>
      <c r="C32" s="144" t="str">
        <f>Data!C35</f>
        <v>C70-C72</v>
      </c>
      <c r="D32" s="163">
        <f>Data!Q35</f>
        <v>1</v>
      </c>
      <c r="E32" s="163">
        <f>Data!R35</f>
        <v>0</v>
      </c>
      <c r="F32" s="163">
        <f>Data!S35</f>
        <v>1</v>
      </c>
      <c r="G32" s="163">
        <f>Data!T35</f>
        <v>3</v>
      </c>
      <c r="H32" s="163">
        <f>Data!U35</f>
        <v>4</v>
      </c>
      <c r="I32" s="163">
        <f>Data!V35</f>
        <v>7</v>
      </c>
      <c r="J32" s="163">
        <f>Data!W35</f>
        <v>7</v>
      </c>
      <c r="K32" s="163">
        <f>Data!X35</f>
        <v>6</v>
      </c>
      <c r="L32" s="163">
        <f>Data!Y35</f>
        <v>4</v>
      </c>
      <c r="M32" s="163">
        <f>Data!Z35</f>
        <v>10</v>
      </c>
      <c r="N32" s="163">
        <f>Data!AA35</f>
        <v>18</v>
      </c>
      <c r="O32" s="163">
        <f>Data!AB35</f>
        <v>10</v>
      </c>
      <c r="P32" s="163">
        <f>Data!AC35</f>
        <v>11</v>
      </c>
      <c r="Q32" s="163">
        <f>Data!AD35</f>
        <v>15</v>
      </c>
      <c r="R32" s="163">
        <f>Data!AE35</f>
        <v>22</v>
      </c>
      <c r="S32" s="163">
        <f>Data!AF35</f>
        <v>13</v>
      </c>
      <c r="T32" s="163">
        <f>Data!AG35</f>
        <v>11</v>
      </c>
      <c r="U32" s="163">
        <f>Data!AH35</f>
        <v>3</v>
      </c>
      <c r="V32" s="163">
        <f t="shared" si="0"/>
        <v>146</v>
      </c>
      <c r="W32" s="29"/>
      <c r="X32" s="29"/>
    </row>
    <row r="33" spans="1:24" ht="12" customHeight="1">
      <c r="A33" s="29"/>
      <c r="B33" s="145" t="str">
        <f>UPPER(LEFT(TRIM(Data!B36),1)) &amp; MID(TRIM(Data!B36),2,50)</f>
        <v>Skydliaukės</v>
      </c>
      <c r="C33" s="145" t="str">
        <f>Data!C36</f>
        <v>C73</v>
      </c>
      <c r="D33" s="165">
        <f>Data!Q36</f>
        <v>0</v>
      </c>
      <c r="E33" s="165">
        <f>Data!R36</f>
        <v>0</v>
      </c>
      <c r="F33" s="165">
        <f>Data!S36</f>
        <v>1</v>
      </c>
      <c r="G33" s="165">
        <f>Data!T36</f>
        <v>1</v>
      </c>
      <c r="H33" s="165">
        <f>Data!U36</f>
        <v>2</v>
      </c>
      <c r="I33" s="165">
        <f>Data!V36</f>
        <v>2</v>
      </c>
      <c r="J33" s="165">
        <f>Data!W36</f>
        <v>2</v>
      </c>
      <c r="K33" s="165">
        <f>Data!X36</f>
        <v>3</v>
      </c>
      <c r="L33" s="165">
        <f>Data!Y36</f>
        <v>7</v>
      </c>
      <c r="M33" s="165">
        <f>Data!Z36</f>
        <v>6</v>
      </c>
      <c r="N33" s="165">
        <f>Data!AA36</f>
        <v>11</v>
      </c>
      <c r="O33" s="165">
        <f>Data!AB36</f>
        <v>6</v>
      </c>
      <c r="P33" s="165">
        <f>Data!AC36</f>
        <v>5</v>
      </c>
      <c r="Q33" s="165">
        <f>Data!AD36</f>
        <v>4</v>
      </c>
      <c r="R33" s="165">
        <f>Data!AE36</f>
        <v>6</v>
      </c>
      <c r="S33" s="165">
        <f>Data!AF36</f>
        <v>1</v>
      </c>
      <c r="T33" s="165">
        <f>Data!AG36</f>
        <v>0</v>
      </c>
      <c r="U33" s="165">
        <f>Data!AH36</f>
        <v>0</v>
      </c>
      <c r="V33" s="165">
        <f t="shared" si="0"/>
        <v>57</v>
      </c>
      <c r="W33" s="29"/>
      <c r="X33" s="29"/>
    </row>
    <row r="34" spans="1:24" ht="12" customHeight="1">
      <c r="A34" s="29"/>
      <c r="B34" s="144" t="str">
        <f>UPPER(LEFT(TRIM(Data!B37),1)) &amp; MID(TRIM(Data!B37),2,50)</f>
        <v>Kitų endokrininių liaukų</v>
      </c>
      <c r="C34" s="144" t="str">
        <f>Data!C37</f>
        <v>C74-C75</v>
      </c>
      <c r="D34" s="163">
        <f>Data!Q37</f>
        <v>0</v>
      </c>
      <c r="E34" s="163">
        <f>Data!R37</f>
        <v>0</v>
      </c>
      <c r="F34" s="163">
        <f>Data!S37</f>
        <v>0</v>
      </c>
      <c r="G34" s="163">
        <f>Data!T37</f>
        <v>2</v>
      </c>
      <c r="H34" s="163">
        <f>Data!U37</f>
        <v>0</v>
      </c>
      <c r="I34" s="163">
        <f>Data!V37</f>
        <v>0</v>
      </c>
      <c r="J34" s="163">
        <f>Data!W37</f>
        <v>0</v>
      </c>
      <c r="K34" s="163">
        <f>Data!X37</f>
        <v>0</v>
      </c>
      <c r="L34" s="163">
        <f>Data!Y37</f>
        <v>0</v>
      </c>
      <c r="M34" s="163">
        <f>Data!Z37</f>
        <v>2</v>
      </c>
      <c r="N34" s="163">
        <f>Data!AA37</f>
        <v>1</v>
      </c>
      <c r="O34" s="163">
        <f>Data!AB37</f>
        <v>1</v>
      </c>
      <c r="P34" s="163">
        <f>Data!AC37</f>
        <v>1</v>
      </c>
      <c r="Q34" s="163">
        <f>Data!AD37</f>
        <v>1</v>
      </c>
      <c r="R34" s="163">
        <f>Data!AE37</f>
        <v>3</v>
      </c>
      <c r="S34" s="163">
        <f>Data!AF37</f>
        <v>1</v>
      </c>
      <c r="T34" s="163">
        <f>Data!AG37</f>
        <v>0</v>
      </c>
      <c r="U34" s="163">
        <f>Data!AH37</f>
        <v>0</v>
      </c>
      <c r="V34" s="163">
        <f t="shared" si="0"/>
        <v>12</v>
      </c>
      <c r="W34" s="29"/>
      <c r="X34" s="29"/>
    </row>
    <row r="35" spans="1:24" ht="12" customHeight="1">
      <c r="A35" s="29"/>
      <c r="B35" s="145" t="str">
        <f>UPPER(LEFT(TRIM(Data!B38),1)) &amp; MID(TRIM(Data!B38),2,50)</f>
        <v>Nepatikslintos lokalizacijos</v>
      </c>
      <c r="C35" s="145" t="str">
        <f>Data!C38</f>
        <v>C76-C80</v>
      </c>
      <c r="D35" s="165">
        <f>Data!Q38</f>
        <v>0</v>
      </c>
      <c r="E35" s="165">
        <f>Data!R38</f>
        <v>0</v>
      </c>
      <c r="F35" s="165">
        <f>Data!S38</f>
        <v>0</v>
      </c>
      <c r="G35" s="165">
        <f>Data!T38</f>
        <v>0</v>
      </c>
      <c r="H35" s="165">
        <f>Data!U38</f>
        <v>0</v>
      </c>
      <c r="I35" s="165">
        <f>Data!V38</f>
        <v>1</v>
      </c>
      <c r="J35" s="165">
        <f>Data!W38</f>
        <v>1</v>
      </c>
      <c r="K35" s="165">
        <f>Data!X38</f>
        <v>2</v>
      </c>
      <c r="L35" s="165">
        <f>Data!Y38</f>
        <v>3</v>
      </c>
      <c r="M35" s="165">
        <f>Data!Z38</f>
        <v>6</v>
      </c>
      <c r="N35" s="165">
        <f>Data!AA38</f>
        <v>16</v>
      </c>
      <c r="O35" s="165">
        <f>Data!AB38</f>
        <v>23</v>
      </c>
      <c r="P35" s="165">
        <f>Data!AC38</f>
        <v>37</v>
      </c>
      <c r="Q35" s="165">
        <f>Data!AD38</f>
        <v>24</v>
      </c>
      <c r="R35" s="165">
        <f>Data!AE38</f>
        <v>39</v>
      </c>
      <c r="S35" s="165">
        <f>Data!AF38</f>
        <v>40</v>
      </c>
      <c r="T35" s="165">
        <f>Data!AG38</f>
        <v>21</v>
      </c>
      <c r="U35" s="165">
        <f>Data!AH38</f>
        <v>13</v>
      </c>
      <c r="V35" s="165">
        <f t="shared" si="0"/>
        <v>226</v>
      </c>
      <c r="W35" s="29"/>
      <c r="X35" s="29"/>
    </row>
    <row r="36" spans="1:24" ht="12" customHeight="1">
      <c r="A36" s="29"/>
      <c r="B36" s="144" t="str">
        <f>UPPER(LEFT(TRIM(Data!B39),1)) &amp; MID(TRIM(Data!B39),2,50)</f>
        <v>Hodžkino limfomos</v>
      </c>
      <c r="C36" s="144" t="str">
        <f>Data!C39</f>
        <v>C81</v>
      </c>
      <c r="D36" s="163">
        <f>Data!Q39</f>
        <v>0</v>
      </c>
      <c r="E36" s="163">
        <f>Data!R39</f>
        <v>0</v>
      </c>
      <c r="F36" s="163">
        <f>Data!S39</f>
        <v>3</v>
      </c>
      <c r="G36" s="163">
        <f>Data!T39</f>
        <v>4</v>
      </c>
      <c r="H36" s="163">
        <f>Data!U39</f>
        <v>3</v>
      </c>
      <c r="I36" s="163">
        <f>Data!V39</f>
        <v>5</v>
      </c>
      <c r="J36" s="163">
        <f>Data!W39</f>
        <v>3</v>
      </c>
      <c r="K36" s="163">
        <f>Data!X39</f>
        <v>5</v>
      </c>
      <c r="L36" s="163">
        <f>Data!Y39</f>
        <v>2</v>
      </c>
      <c r="M36" s="163">
        <f>Data!Z39</f>
        <v>0</v>
      </c>
      <c r="N36" s="163">
        <f>Data!AA39</f>
        <v>1</v>
      </c>
      <c r="O36" s="163">
        <f>Data!AB39</f>
        <v>4</v>
      </c>
      <c r="P36" s="163">
        <f>Data!AC39</f>
        <v>0</v>
      </c>
      <c r="Q36" s="163">
        <f>Data!AD39</f>
        <v>0</v>
      </c>
      <c r="R36" s="163">
        <f>Data!AE39</f>
        <v>1</v>
      </c>
      <c r="S36" s="163">
        <f>Data!AF39</f>
        <v>1</v>
      </c>
      <c r="T36" s="163">
        <f>Data!AG39</f>
        <v>1</v>
      </c>
      <c r="U36" s="163">
        <f>Data!AH39</f>
        <v>1</v>
      </c>
      <c r="V36" s="163">
        <f t="shared" si="0"/>
        <v>34</v>
      </c>
      <c r="W36" s="29"/>
      <c r="X36" s="29"/>
    </row>
    <row r="37" spans="1:24" ht="12" customHeight="1">
      <c r="A37" s="29"/>
      <c r="B37" s="145" t="str">
        <f>UPPER(LEFT(TRIM(Data!B40),1)) &amp; MID(TRIM(Data!B40),2,50)</f>
        <v>Ne Hodžkino limfomos</v>
      </c>
      <c r="C37" s="145" t="str">
        <f>Data!C40</f>
        <v>C82-C85</v>
      </c>
      <c r="D37" s="165">
        <f>Data!Q40</f>
        <v>0</v>
      </c>
      <c r="E37" s="165">
        <f>Data!R40</f>
        <v>2</v>
      </c>
      <c r="F37" s="165">
        <f>Data!S40</f>
        <v>1</v>
      </c>
      <c r="G37" s="165">
        <f>Data!T40</f>
        <v>4</v>
      </c>
      <c r="H37" s="165">
        <f>Data!U40</f>
        <v>1</v>
      </c>
      <c r="I37" s="165">
        <f>Data!V40</f>
        <v>0</v>
      </c>
      <c r="J37" s="165">
        <f>Data!W40</f>
        <v>2</v>
      </c>
      <c r="K37" s="165">
        <f>Data!X40</f>
        <v>8</v>
      </c>
      <c r="L37" s="165">
        <f>Data!Y40</f>
        <v>5</v>
      </c>
      <c r="M37" s="165">
        <f>Data!Z40</f>
        <v>11</v>
      </c>
      <c r="N37" s="165">
        <f>Data!AA40</f>
        <v>13</v>
      </c>
      <c r="O37" s="165">
        <f>Data!AB40</f>
        <v>9</v>
      </c>
      <c r="P37" s="165">
        <f>Data!AC40</f>
        <v>19</v>
      </c>
      <c r="Q37" s="165">
        <f>Data!AD40</f>
        <v>19</v>
      </c>
      <c r="R37" s="165">
        <f>Data!AE40</f>
        <v>21</v>
      </c>
      <c r="S37" s="165">
        <f>Data!AF40</f>
        <v>17</v>
      </c>
      <c r="T37" s="165">
        <f>Data!AG40</f>
        <v>10</v>
      </c>
      <c r="U37" s="165">
        <f>Data!AH40</f>
        <v>11</v>
      </c>
      <c r="V37" s="165">
        <f t="shared" si="0"/>
        <v>153</v>
      </c>
      <c r="W37" s="29"/>
      <c r="X37" s="29"/>
    </row>
    <row r="38" spans="1:24" ht="12" customHeight="1">
      <c r="A38" s="29"/>
      <c r="B38" s="144" t="str">
        <f>UPPER(LEFT(TRIM(Data!B41),1)) &amp; MID(TRIM(Data!B41),2,50)</f>
        <v>Mielominės ligos</v>
      </c>
      <c r="C38" s="144" t="str">
        <f>Data!C41</f>
        <v>C90</v>
      </c>
      <c r="D38" s="163">
        <f>Data!Q41</f>
        <v>0</v>
      </c>
      <c r="E38" s="163">
        <f>Data!R41</f>
        <v>0</v>
      </c>
      <c r="F38" s="163">
        <f>Data!S41</f>
        <v>0</v>
      </c>
      <c r="G38" s="163">
        <f>Data!T41</f>
        <v>0</v>
      </c>
      <c r="H38" s="163">
        <f>Data!U41</f>
        <v>0</v>
      </c>
      <c r="I38" s="163">
        <f>Data!V41</f>
        <v>0</v>
      </c>
      <c r="J38" s="163">
        <f>Data!W41</f>
        <v>0</v>
      </c>
      <c r="K38" s="163">
        <f>Data!X41</f>
        <v>0</v>
      </c>
      <c r="L38" s="163">
        <f>Data!Y41</f>
        <v>2</v>
      </c>
      <c r="M38" s="163">
        <f>Data!Z41</f>
        <v>5</v>
      </c>
      <c r="N38" s="163">
        <f>Data!AA41</f>
        <v>7</v>
      </c>
      <c r="O38" s="163">
        <f>Data!AB41</f>
        <v>7</v>
      </c>
      <c r="P38" s="163">
        <f>Data!AC41</f>
        <v>12</v>
      </c>
      <c r="Q38" s="163">
        <f>Data!AD41</f>
        <v>10</v>
      </c>
      <c r="R38" s="163">
        <f>Data!AE41</f>
        <v>16</v>
      </c>
      <c r="S38" s="163">
        <f>Data!AF41</f>
        <v>11</v>
      </c>
      <c r="T38" s="163">
        <f>Data!AG41</f>
        <v>8</v>
      </c>
      <c r="U38" s="163">
        <f>Data!AH41</f>
        <v>4</v>
      </c>
      <c r="V38" s="163">
        <f t="shared" si="0"/>
        <v>82</v>
      </c>
      <c r="W38" s="29"/>
      <c r="X38" s="29"/>
    </row>
    <row r="39" spans="1:24" ht="12" customHeight="1">
      <c r="A39" s="29"/>
      <c r="B39" s="145" t="str">
        <f>UPPER(LEFT(TRIM(Data!B42),1)) &amp; MID(TRIM(Data!B42),2,50)</f>
        <v>Leukemijos</v>
      </c>
      <c r="C39" s="145" t="str">
        <f>Data!C42</f>
        <v>C91-C95</v>
      </c>
      <c r="D39" s="165">
        <f>Data!Q42</f>
        <v>6</v>
      </c>
      <c r="E39" s="165">
        <f>Data!R42</f>
        <v>3</v>
      </c>
      <c r="F39" s="165">
        <f>Data!S42</f>
        <v>2</v>
      </c>
      <c r="G39" s="165">
        <f>Data!T42</f>
        <v>3</v>
      </c>
      <c r="H39" s="165">
        <f>Data!U42</f>
        <v>2</v>
      </c>
      <c r="I39" s="165">
        <f>Data!V42</f>
        <v>4</v>
      </c>
      <c r="J39" s="165">
        <f>Data!W42</f>
        <v>3</v>
      </c>
      <c r="K39" s="165">
        <f>Data!X42</f>
        <v>3</v>
      </c>
      <c r="L39" s="165">
        <f>Data!Y42</f>
        <v>2</v>
      </c>
      <c r="M39" s="165">
        <f>Data!Z42</f>
        <v>7</v>
      </c>
      <c r="N39" s="165">
        <f>Data!AA42</f>
        <v>14</v>
      </c>
      <c r="O39" s="165">
        <f>Data!AB42</f>
        <v>12</v>
      </c>
      <c r="P39" s="165">
        <f>Data!AC42</f>
        <v>17</v>
      </c>
      <c r="Q39" s="165">
        <f>Data!AD42</f>
        <v>24</v>
      </c>
      <c r="R39" s="165">
        <f>Data!AE42</f>
        <v>28</v>
      </c>
      <c r="S39" s="165">
        <f>Data!AF42</f>
        <v>35</v>
      </c>
      <c r="T39" s="165">
        <f>Data!AG42</f>
        <v>26</v>
      </c>
      <c r="U39" s="165">
        <f>Data!AH42</f>
        <v>21</v>
      </c>
      <c r="V39" s="165">
        <f t="shared" si="0"/>
        <v>212</v>
      </c>
      <c r="W39" s="29"/>
      <c r="X39" s="29"/>
    </row>
    <row r="40" spans="1:24" ht="12" customHeight="1">
      <c r="A40" s="29"/>
      <c r="B40" s="144" t="str">
        <f>UPPER(LEFT(TRIM(Data!B43),1)) &amp; MID(TRIM(Data!B43),2,50)</f>
        <v>Kiti limfinio, kraujodaros audinių</v>
      </c>
      <c r="C40" s="144" t="str">
        <f>Data!C43</f>
        <v>C88, C96</v>
      </c>
      <c r="D40" s="163">
        <f>Data!Q43</f>
        <v>0</v>
      </c>
      <c r="E40" s="163">
        <f>Data!R43</f>
        <v>0</v>
      </c>
      <c r="F40" s="163">
        <f>Data!S43</f>
        <v>0</v>
      </c>
      <c r="G40" s="163">
        <f>Data!T43</f>
        <v>0</v>
      </c>
      <c r="H40" s="163">
        <f>Data!U43</f>
        <v>0</v>
      </c>
      <c r="I40" s="163">
        <f>Data!V43</f>
        <v>0</v>
      </c>
      <c r="J40" s="163">
        <f>Data!W43</f>
        <v>0</v>
      </c>
      <c r="K40" s="163">
        <f>Data!X43</f>
        <v>0</v>
      </c>
      <c r="L40" s="163">
        <f>Data!Y43</f>
        <v>1</v>
      </c>
      <c r="M40" s="163">
        <f>Data!Z43</f>
        <v>0</v>
      </c>
      <c r="N40" s="163">
        <f>Data!AA43</f>
        <v>0</v>
      </c>
      <c r="O40" s="163">
        <f>Data!AB43</f>
        <v>0</v>
      </c>
      <c r="P40" s="163">
        <f>Data!AC43</f>
        <v>0</v>
      </c>
      <c r="Q40" s="163">
        <f>Data!AD43</f>
        <v>2</v>
      </c>
      <c r="R40" s="163">
        <f>Data!AE43</f>
        <v>0</v>
      </c>
      <c r="S40" s="163">
        <f>Data!AF43</f>
        <v>2</v>
      </c>
      <c r="T40" s="163">
        <f>Data!AG43</f>
        <v>0</v>
      </c>
      <c r="U40" s="163">
        <f>Data!AH43</f>
        <v>1</v>
      </c>
      <c r="V40" s="163">
        <f t="shared" si="0"/>
        <v>6</v>
      </c>
      <c r="W40" s="29"/>
      <c r="X40" s="29"/>
    </row>
    <row r="41" spans="1:24" ht="24" customHeight="1">
      <c r="A41" s="29"/>
      <c r="B41" s="143"/>
      <c r="C41" s="143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29"/>
      <c r="X41" s="29"/>
    </row>
    <row r="42" spans="1:24" ht="12" customHeight="1">
      <c r="A42" s="29"/>
      <c r="B42" s="144" t="str">
        <f>UPPER(LEFT(TRIM(Data!B44),1)) &amp; MID(TRIM(Data!B44),2,50)</f>
        <v>Melanoma in situ</v>
      </c>
      <c r="C42" s="144" t="str">
        <f>Data!C44</f>
        <v>D03</v>
      </c>
      <c r="D42" s="163">
        <f>Data!Q44</f>
        <v>0</v>
      </c>
      <c r="E42" s="163">
        <f>Data!R44</f>
        <v>0</v>
      </c>
      <c r="F42" s="163">
        <f>Data!S44</f>
        <v>0</v>
      </c>
      <c r="G42" s="163">
        <f>Data!T44</f>
        <v>0</v>
      </c>
      <c r="H42" s="163">
        <f>Data!U44</f>
        <v>0</v>
      </c>
      <c r="I42" s="163">
        <f>Data!V44</f>
        <v>1</v>
      </c>
      <c r="J42" s="163">
        <f>Data!W44</f>
        <v>1</v>
      </c>
      <c r="K42" s="163">
        <f>Data!X44</f>
        <v>1</v>
      </c>
      <c r="L42" s="163">
        <f>Data!Y44</f>
        <v>2</v>
      </c>
      <c r="M42" s="163">
        <f>Data!Z44</f>
        <v>1</v>
      </c>
      <c r="N42" s="163">
        <f>Data!AA44</f>
        <v>2</v>
      </c>
      <c r="O42" s="163">
        <f>Data!AB44</f>
        <v>2</v>
      </c>
      <c r="P42" s="163">
        <f>Data!AC44</f>
        <v>1</v>
      </c>
      <c r="Q42" s="163">
        <f>Data!AD44</f>
        <v>2</v>
      </c>
      <c r="R42" s="163">
        <f>Data!AE44</f>
        <v>1</v>
      </c>
      <c r="S42" s="163">
        <f>Data!AF44</f>
        <v>1</v>
      </c>
      <c r="T42" s="163">
        <f>Data!AG44</f>
        <v>0</v>
      </c>
      <c r="U42" s="163">
        <f>Data!AH44</f>
        <v>2</v>
      </c>
      <c r="V42" s="163">
        <f t="shared" si="0"/>
        <v>17</v>
      </c>
      <c r="W42" s="29"/>
      <c r="X42" s="29"/>
    </row>
    <row r="43" spans="1:24" ht="12" customHeight="1">
      <c r="A43" s="29"/>
      <c r="B43" s="145" t="str">
        <f>UPPER(LEFT(TRIM(Data!B45),1)) &amp; MID(TRIM(Data!B45),2,50)</f>
        <v>Krūties navikai in situ</v>
      </c>
      <c r="C43" s="145" t="str">
        <f>Data!C45</f>
        <v>D05</v>
      </c>
      <c r="D43" s="165">
        <f>Data!Q45</f>
        <v>0</v>
      </c>
      <c r="E43" s="165">
        <f>Data!R45</f>
        <v>0</v>
      </c>
      <c r="F43" s="165">
        <f>Data!S45</f>
        <v>0</v>
      </c>
      <c r="G43" s="165">
        <f>Data!T45</f>
        <v>0</v>
      </c>
      <c r="H43" s="165">
        <f>Data!U45</f>
        <v>0</v>
      </c>
      <c r="I43" s="165">
        <f>Data!V45</f>
        <v>0</v>
      </c>
      <c r="J43" s="165">
        <f>Data!W45</f>
        <v>0</v>
      </c>
      <c r="K43" s="165">
        <f>Data!X45</f>
        <v>0</v>
      </c>
      <c r="L43" s="165">
        <f>Data!Y45</f>
        <v>0</v>
      </c>
      <c r="M43" s="165">
        <f>Data!Z45</f>
        <v>0</v>
      </c>
      <c r="N43" s="165">
        <f>Data!AA45</f>
        <v>0</v>
      </c>
      <c r="O43" s="165">
        <f>Data!AB45</f>
        <v>0</v>
      </c>
      <c r="P43" s="165">
        <f>Data!AC45</f>
        <v>0</v>
      </c>
      <c r="Q43" s="165">
        <f>Data!AD45</f>
        <v>0</v>
      </c>
      <c r="R43" s="165">
        <f>Data!AE45</f>
        <v>0</v>
      </c>
      <c r="S43" s="165">
        <f>Data!AF45</f>
        <v>0</v>
      </c>
      <c r="T43" s="165">
        <f>Data!AG45</f>
        <v>0</v>
      </c>
      <c r="U43" s="165">
        <f>Data!AH45</f>
        <v>0</v>
      </c>
      <c r="V43" s="165">
        <f t="shared" si="0"/>
        <v>0</v>
      </c>
      <c r="W43" s="29"/>
      <c r="X43" s="29"/>
    </row>
    <row r="44" spans="1:24" ht="12" customHeight="1">
      <c r="A44" s="29"/>
      <c r="B44" s="144" t="str">
        <f>UPPER(LEFT(TRIM(Data!B47),1)) &amp; MID(TRIM(Data!B47),2,50)</f>
        <v>Šlapimo pūslės in situ</v>
      </c>
      <c r="C44" s="144" t="str">
        <f>Data!C47</f>
        <v>D09.0</v>
      </c>
      <c r="D44" s="163">
        <f>Data!Q47</f>
        <v>0</v>
      </c>
      <c r="E44" s="163">
        <f>Data!R47</f>
        <v>0</v>
      </c>
      <c r="F44" s="163">
        <f>Data!S47</f>
        <v>0</v>
      </c>
      <c r="G44" s="163">
        <f>Data!T47</f>
        <v>0</v>
      </c>
      <c r="H44" s="163">
        <f>Data!U47</f>
        <v>1</v>
      </c>
      <c r="I44" s="163">
        <f>Data!V47</f>
        <v>0</v>
      </c>
      <c r="J44" s="163">
        <f>Data!W47</f>
        <v>0</v>
      </c>
      <c r="K44" s="163">
        <f>Data!X47</f>
        <v>1</v>
      </c>
      <c r="L44" s="163">
        <f>Data!Y47</f>
        <v>1</v>
      </c>
      <c r="M44" s="163">
        <f>Data!Z47</f>
        <v>0</v>
      </c>
      <c r="N44" s="163">
        <f>Data!AA47</f>
        <v>4</v>
      </c>
      <c r="O44" s="163">
        <f>Data!AB47</f>
        <v>10</v>
      </c>
      <c r="P44" s="163">
        <f>Data!AC47</f>
        <v>16</v>
      </c>
      <c r="Q44" s="163">
        <f>Data!AD47</f>
        <v>13</v>
      </c>
      <c r="R44" s="163">
        <f>Data!AE47</f>
        <v>22</v>
      </c>
      <c r="S44" s="163">
        <f>Data!AF47</f>
        <v>12</v>
      </c>
      <c r="T44" s="163">
        <f>Data!AG47</f>
        <v>13</v>
      </c>
      <c r="U44" s="163">
        <f>Data!AH47</f>
        <v>5</v>
      </c>
      <c r="V44" s="163">
        <f t="shared" si="0"/>
        <v>98</v>
      </c>
      <c r="W44" s="29"/>
      <c r="X44" s="29"/>
    </row>
    <row r="45" spans="1:24" ht="12" customHeight="1">
      <c r="A45" s="29"/>
      <c r="B45" s="145" t="str">
        <f>UPPER(LEFT(TRIM(Data!B48),1)) &amp; MID(TRIM(Data!B48),2,50)</f>
        <v>Nervų sistemos gerybiniai navikai</v>
      </c>
      <c r="C45" s="145" t="str">
        <f>Data!C48</f>
        <v>D32, D33</v>
      </c>
      <c r="D45" s="165">
        <f>Data!Q48</f>
        <v>0</v>
      </c>
      <c r="E45" s="165">
        <f>Data!R48</f>
        <v>0</v>
      </c>
      <c r="F45" s="165">
        <f>Data!S48</f>
        <v>0</v>
      </c>
      <c r="G45" s="165">
        <f>Data!T48</f>
        <v>1</v>
      </c>
      <c r="H45" s="165">
        <f>Data!U48</f>
        <v>1</v>
      </c>
      <c r="I45" s="165">
        <f>Data!V48</f>
        <v>1</v>
      </c>
      <c r="J45" s="165">
        <f>Data!W48</f>
        <v>1</v>
      </c>
      <c r="K45" s="165">
        <f>Data!X48</f>
        <v>1</v>
      </c>
      <c r="L45" s="165">
        <f>Data!Y48</f>
        <v>1</v>
      </c>
      <c r="M45" s="165">
        <f>Data!Z48</f>
        <v>1</v>
      </c>
      <c r="N45" s="165">
        <f>Data!AA48</f>
        <v>3</v>
      </c>
      <c r="O45" s="165">
        <f>Data!AB48</f>
        <v>3</v>
      </c>
      <c r="P45" s="165">
        <f>Data!AC48</f>
        <v>8</v>
      </c>
      <c r="Q45" s="165">
        <f>Data!AD48</f>
        <v>10</v>
      </c>
      <c r="R45" s="165">
        <f>Data!AE48</f>
        <v>2</v>
      </c>
      <c r="S45" s="165">
        <f>Data!AF48</f>
        <v>4</v>
      </c>
      <c r="T45" s="165">
        <f>Data!AG48</f>
        <v>3</v>
      </c>
      <c r="U45" s="165">
        <f>Data!AH48</f>
        <v>2</v>
      </c>
      <c r="V45" s="165">
        <f t="shared" si="0"/>
        <v>42</v>
      </c>
      <c r="W45" s="29"/>
      <c r="X45" s="29"/>
    </row>
    <row r="46" spans="1:24" ht="12" customHeight="1">
      <c r="A46" s="29"/>
      <c r="B46" s="144" t="str">
        <f>UPPER(LEFT(TRIM(Data!B50),1)) &amp; MID(TRIM(Data!B50),2,50)</f>
        <v>Kiti nervų sistemos</v>
      </c>
      <c r="C46" s="144" t="str">
        <f>Data!C50</f>
        <v>D42, D43</v>
      </c>
      <c r="D46" s="163">
        <f>Data!Q50</f>
        <v>2</v>
      </c>
      <c r="E46" s="163">
        <f>Data!R50</f>
        <v>1</v>
      </c>
      <c r="F46" s="163">
        <f>Data!S50</f>
        <v>0</v>
      </c>
      <c r="G46" s="163">
        <f>Data!T50</f>
        <v>1</v>
      </c>
      <c r="H46" s="163">
        <f>Data!U50</f>
        <v>0</v>
      </c>
      <c r="I46" s="163">
        <f>Data!V50</f>
        <v>0</v>
      </c>
      <c r="J46" s="163">
        <f>Data!W50</f>
        <v>0</v>
      </c>
      <c r="K46" s="163">
        <f>Data!X50</f>
        <v>2</v>
      </c>
      <c r="L46" s="163">
        <f>Data!Y50</f>
        <v>0</v>
      </c>
      <c r="M46" s="163">
        <f>Data!Z50</f>
        <v>0</v>
      </c>
      <c r="N46" s="163">
        <f>Data!AA50</f>
        <v>1</v>
      </c>
      <c r="O46" s="163">
        <f>Data!AB50</f>
        <v>1</v>
      </c>
      <c r="P46" s="163">
        <f>Data!AC50</f>
        <v>2</v>
      </c>
      <c r="Q46" s="163">
        <f>Data!AD50</f>
        <v>2</v>
      </c>
      <c r="R46" s="163">
        <f>Data!AE50</f>
        <v>1</v>
      </c>
      <c r="S46" s="163">
        <f>Data!AF50</f>
        <v>2</v>
      </c>
      <c r="T46" s="163">
        <f>Data!AG50</f>
        <v>3</v>
      </c>
      <c r="U46" s="163">
        <f>Data!AH50</f>
        <v>0</v>
      </c>
      <c r="V46" s="163">
        <f t="shared" si="0"/>
        <v>18</v>
      </c>
      <c r="W46" s="29"/>
      <c r="X46" s="29"/>
    </row>
    <row r="47" spans="1:24" ht="12" customHeight="1">
      <c r="A47" s="29"/>
      <c r="B47" s="145" t="str">
        <f>UPPER(LEFT(TRIM(Data!B51),1)) &amp; MID(TRIM(Data!B51),2,50)</f>
        <v>Limfinio ir kraujodaros audinių</v>
      </c>
      <c r="C47" s="145" t="str">
        <f>Data!C51</f>
        <v>D45-D47</v>
      </c>
      <c r="D47" s="165">
        <f>Data!Q51</f>
        <v>0</v>
      </c>
      <c r="E47" s="165">
        <f>Data!R51</f>
        <v>0</v>
      </c>
      <c r="F47" s="165">
        <f>Data!S51</f>
        <v>1</v>
      </c>
      <c r="G47" s="165">
        <f>Data!T51</f>
        <v>0</v>
      </c>
      <c r="H47" s="165">
        <f>Data!U51</f>
        <v>1</v>
      </c>
      <c r="I47" s="165">
        <f>Data!V51</f>
        <v>4</v>
      </c>
      <c r="J47" s="165">
        <f>Data!W51</f>
        <v>1</v>
      </c>
      <c r="K47" s="165">
        <f>Data!X51</f>
        <v>1</v>
      </c>
      <c r="L47" s="165">
        <f>Data!Y51</f>
        <v>2</v>
      </c>
      <c r="M47" s="165">
        <f>Data!Z51</f>
        <v>3</v>
      </c>
      <c r="N47" s="165">
        <f>Data!AA51</f>
        <v>16</v>
      </c>
      <c r="O47" s="165">
        <f>Data!AB51</f>
        <v>18</v>
      </c>
      <c r="P47" s="165">
        <f>Data!AC51</f>
        <v>16</v>
      </c>
      <c r="Q47" s="165">
        <f>Data!AD51</f>
        <v>22</v>
      </c>
      <c r="R47" s="165">
        <f>Data!AE51</f>
        <v>36</v>
      </c>
      <c r="S47" s="165">
        <f>Data!AF51</f>
        <v>26</v>
      </c>
      <c r="T47" s="165">
        <f>Data!AG51</f>
        <v>28</v>
      </c>
      <c r="U47" s="165">
        <f>Data!AH51</f>
        <v>12</v>
      </c>
      <c r="V47" s="165">
        <f t="shared" si="0"/>
        <v>187</v>
      </c>
      <c r="W47" s="29"/>
      <c r="X47" s="29"/>
    </row>
    <row r="48" spans="1:24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</row>
    <row r="49" spans="1:24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</row>
  </sheetData>
  <mergeCells count="4">
    <mergeCell ref="D4:U4"/>
    <mergeCell ref="B4:B5"/>
    <mergeCell ref="C4:C5"/>
    <mergeCell ref="V4:V5"/>
  </mergeCells>
  <phoneticPr fontId="13" type="noConversion"/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0.39997558519241921"/>
  </sheetPr>
  <dimension ref="A1:W53"/>
  <sheetViews>
    <sheetView zoomScaleNormal="100" workbookViewId="0">
      <selection activeCell="H1" sqref="H1"/>
    </sheetView>
  </sheetViews>
  <sheetFormatPr defaultRowHeight="12.75"/>
  <cols>
    <col min="1" max="1" width="1.85546875" customWidth="1"/>
    <col min="2" max="2" width="28.7109375" customWidth="1"/>
    <col min="3" max="3" width="23.7109375" customWidth="1"/>
    <col min="4" max="21" width="6" customWidth="1"/>
    <col min="22" max="22" width="6.42578125" customWidth="1"/>
    <col min="23" max="33" width="0.85546875" customWidth="1"/>
  </cols>
  <sheetData>
    <row r="1" spans="1:23" ht="15">
      <c r="A1" s="62"/>
      <c r="B1" s="491" t="s">
        <v>402</v>
      </c>
      <c r="C1" s="491"/>
      <c r="D1" s="491"/>
      <c r="E1" s="491"/>
      <c r="F1" s="491"/>
      <c r="G1" s="491"/>
      <c r="H1" s="63"/>
      <c r="I1" s="63"/>
      <c r="J1" s="63"/>
      <c r="K1" s="63"/>
      <c r="L1" s="63"/>
      <c r="M1" s="63"/>
      <c r="N1" s="62"/>
      <c r="O1" s="62"/>
      <c r="P1" s="62"/>
      <c r="Q1" s="62"/>
      <c r="R1" s="62"/>
      <c r="S1" s="62"/>
      <c r="T1" s="62"/>
      <c r="U1" s="62"/>
      <c r="V1" s="64"/>
      <c r="W1" s="64"/>
    </row>
    <row r="2" spans="1:23" ht="12.75" customHeight="1">
      <c r="A2" s="62"/>
      <c r="B2" s="485" t="str">
        <f>"Susirgimų piktybiniais navikais pasiskirstymas pagal amžiaus grupes  " &amp; GrafikaiSerg!A1 &amp; " m. Moterys."</f>
        <v>Susirgimų piktybiniais navikais pasiskirstymas pagal amžiaus grupes  2013 m. Moterys.</v>
      </c>
      <c r="C2" s="492"/>
      <c r="D2" s="491"/>
      <c r="E2" s="491"/>
      <c r="F2" s="491"/>
      <c r="G2" s="491"/>
      <c r="H2" s="63"/>
      <c r="I2" s="63"/>
      <c r="J2" s="63"/>
      <c r="K2" s="63"/>
      <c r="L2" s="63"/>
      <c r="M2" s="63"/>
      <c r="N2" s="62"/>
      <c r="O2" s="62"/>
      <c r="P2" s="62"/>
      <c r="Q2" s="62"/>
      <c r="R2" s="62"/>
      <c r="S2" s="62"/>
      <c r="T2" s="62"/>
      <c r="U2" s="62"/>
      <c r="V2" s="64"/>
      <c r="W2" s="64"/>
    </row>
    <row r="3" spans="1:23" ht="12.75" customHeight="1">
      <c r="A3" s="62"/>
      <c r="B3" s="66" t="s">
        <v>642</v>
      </c>
      <c r="C3" s="65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4"/>
      <c r="W3" s="64"/>
    </row>
    <row r="4" spans="1:23" ht="12.95" customHeight="1">
      <c r="A4" s="62"/>
      <c r="B4" s="424" t="s">
        <v>242</v>
      </c>
      <c r="C4" s="424" t="s">
        <v>243</v>
      </c>
      <c r="D4" s="429" t="s">
        <v>418</v>
      </c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28"/>
      <c r="V4" s="434" t="s">
        <v>428</v>
      </c>
      <c r="W4" s="64"/>
    </row>
    <row r="5" spans="1:23" ht="12.95" customHeight="1" thickBot="1">
      <c r="A5" s="62"/>
      <c r="B5" s="425"/>
      <c r="C5" s="425"/>
      <c r="D5" s="167" t="str">
        <f>Data!CD2</f>
        <v xml:space="preserve">0-4 </v>
      </c>
      <c r="E5" s="167" t="str">
        <f>Data!CE2</f>
        <v>5-9</v>
      </c>
      <c r="F5" s="167" t="str">
        <f>Data!CF2</f>
        <v>10-14</v>
      </c>
      <c r="G5" s="167" t="str">
        <f>Data!CG2</f>
        <v>15-19</v>
      </c>
      <c r="H5" s="167" t="str">
        <f>Data!CH2</f>
        <v>20-24</v>
      </c>
      <c r="I5" s="167" t="str">
        <f>Data!CI2</f>
        <v>25-29</v>
      </c>
      <c r="J5" s="167" t="str">
        <f>Data!CJ2</f>
        <v>30-34</v>
      </c>
      <c r="K5" s="167" t="str">
        <f>Data!CK2</f>
        <v>35-39</v>
      </c>
      <c r="L5" s="167" t="str">
        <f>Data!CL2</f>
        <v>40-44</v>
      </c>
      <c r="M5" s="167" t="str">
        <f>Data!CM2</f>
        <v>45-49</v>
      </c>
      <c r="N5" s="167" t="str">
        <f>Data!CN2</f>
        <v>50-54</v>
      </c>
      <c r="O5" s="167" t="str">
        <f>Data!CO2</f>
        <v>55-59</v>
      </c>
      <c r="P5" s="167" t="str">
        <f>Data!CP2</f>
        <v>60-64</v>
      </c>
      <c r="Q5" s="167" t="str">
        <f>Data!CQ2</f>
        <v>65-69</v>
      </c>
      <c r="R5" s="167" t="str">
        <f>Data!CR2</f>
        <v>70-74</v>
      </c>
      <c r="S5" s="167" t="str">
        <f>Data!CS2</f>
        <v>75-79</v>
      </c>
      <c r="T5" s="167" t="str">
        <f>Data!CT2</f>
        <v>80-84</v>
      </c>
      <c r="U5" s="167" t="str">
        <f>Data!CU2</f>
        <v>85+</v>
      </c>
      <c r="V5" s="435"/>
      <c r="W5" s="64"/>
    </row>
    <row r="6" spans="1:23" ht="12" customHeight="1" thickTop="1">
      <c r="A6" s="62"/>
      <c r="B6" s="144" t="str">
        <f>UPPER(LEFT(TRIM(Data!B5),1)) &amp; MID(TRIM(Data!B5),2,50)</f>
        <v>Piktybiniai navikai</v>
      </c>
      <c r="C6" s="144" t="str">
        <f>Data!C5</f>
        <v>C00-C96</v>
      </c>
      <c r="D6" s="163">
        <f>Data!CD5</f>
        <v>16</v>
      </c>
      <c r="E6" s="163">
        <f>Data!CE5</f>
        <v>7</v>
      </c>
      <c r="F6" s="163">
        <f>Data!CF5</f>
        <v>10</v>
      </c>
      <c r="G6" s="163">
        <f>Data!CG5</f>
        <v>8</v>
      </c>
      <c r="H6" s="163">
        <f>Data!CH5</f>
        <v>26</v>
      </c>
      <c r="I6" s="163">
        <f>Data!CI5</f>
        <v>61</v>
      </c>
      <c r="J6" s="163">
        <f>Data!CJ5</f>
        <v>112</v>
      </c>
      <c r="K6" s="163">
        <f>Data!CK5</f>
        <v>150</v>
      </c>
      <c r="L6" s="163">
        <f>Data!CL5</f>
        <v>308</v>
      </c>
      <c r="M6" s="163">
        <f>Data!CM5</f>
        <v>455</v>
      </c>
      <c r="N6" s="163">
        <f>Data!CN5</f>
        <v>719</v>
      </c>
      <c r="O6" s="163">
        <f>Data!CO5</f>
        <v>799</v>
      </c>
      <c r="P6" s="163">
        <f>Data!CP5</f>
        <v>892</v>
      </c>
      <c r="Q6" s="163">
        <f>Data!CQ5</f>
        <v>953</v>
      </c>
      <c r="R6" s="163">
        <f>Data!CR5</f>
        <v>1061</v>
      </c>
      <c r="S6" s="163">
        <f>Data!CS5</f>
        <v>1092</v>
      </c>
      <c r="T6" s="163">
        <f>Data!CT5</f>
        <v>933</v>
      </c>
      <c r="U6" s="163">
        <f>Data!CU5</f>
        <v>704</v>
      </c>
      <c r="V6" s="163">
        <f>SUM(D6:U6)</f>
        <v>8306</v>
      </c>
      <c r="W6" s="64"/>
    </row>
    <row r="7" spans="1:23" ht="12" customHeight="1">
      <c r="A7" s="62"/>
      <c r="B7" s="139" t="str">
        <f>UPPER(LEFT(TRIM(Data!B6),1)) &amp; MID(TRIM(Data!B6),2,50)</f>
        <v>Lūpos</v>
      </c>
      <c r="C7" s="168" t="str">
        <f>Data!C6</f>
        <v>C00</v>
      </c>
      <c r="D7" s="169">
        <f>Data!CD6</f>
        <v>0</v>
      </c>
      <c r="E7" s="169">
        <f>Data!CE6</f>
        <v>0</v>
      </c>
      <c r="F7" s="169">
        <f>Data!CF6</f>
        <v>0</v>
      </c>
      <c r="G7" s="169">
        <f>Data!CG6</f>
        <v>0</v>
      </c>
      <c r="H7" s="169">
        <f>Data!CH6</f>
        <v>0</v>
      </c>
      <c r="I7" s="169">
        <f>Data!CI6</f>
        <v>0</v>
      </c>
      <c r="J7" s="169">
        <f>Data!CJ6</f>
        <v>0</v>
      </c>
      <c r="K7" s="169">
        <f>Data!CK6</f>
        <v>0</v>
      </c>
      <c r="L7" s="169">
        <f>Data!CL6</f>
        <v>0</v>
      </c>
      <c r="M7" s="169">
        <f>Data!CM6</f>
        <v>0</v>
      </c>
      <c r="N7" s="169">
        <f>Data!CN6</f>
        <v>0</v>
      </c>
      <c r="O7" s="169">
        <f>Data!CO6</f>
        <v>0</v>
      </c>
      <c r="P7" s="169">
        <f>Data!CP6</f>
        <v>0</v>
      </c>
      <c r="Q7" s="169">
        <f>Data!CQ6</f>
        <v>1</v>
      </c>
      <c r="R7" s="169">
        <f>Data!CR6</f>
        <v>1</v>
      </c>
      <c r="S7" s="169">
        <f>Data!CS6</f>
        <v>3</v>
      </c>
      <c r="T7" s="169">
        <f>Data!CT6</f>
        <v>10</v>
      </c>
      <c r="U7" s="169">
        <f>Data!CU6</f>
        <v>2</v>
      </c>
      <c r="V7" s="169">
        <f>SUM(D7:U7)</f>
        <v>17</v>
      </c>
      <c r="W7" s="64"/>
    </row>
    <row r="8" spans="1:23" ht="12" customHeight="1">
      <c r="A8" s="62"/>
      <c r="B8" s="144" t="str">
        <f>UPPER(LEFT(TRIM(Data!B7),1)) &amp; MID(TRIM(Data!B7),2,50)</f>
        <v>Burnos ertmės ir ryklės</v>
      </c>
      <c r="C8" s="144" t="str">
        <f>Data!C7</f>
        <v>C01-C14</v>
      </c>
      <c r="D8" s="163">
        <f>Data!CD7</f>
        <v>0</v>
      </c>
      <c r="E8" s="163">
        <f>Data!CE7</f>
        <v>0</v>
      </c>
      <c r="F8" s="163">
        <f>Data!CF7</f>
        <v>0</v>
      </c>
      <c r="G8" s="163">
        <f>Data!CG7</f>
        <v>0</v>
      </c>
      <c r="H8" s="163">
        <f>Data!CH7</f>
        <v>0</v>
      </c>
      <c r="I8" s="163">
        <f>Data!CI7</f>
        <v>0</v>
      </c>
      <c r="J8" s="163">
        <f>Data!CJ7</f>
        <v>0</v>
      </c>
      <c r="K8" s="163">
        <f>Data!CK7</f>
        <v>3</v>
      </c>
      <c r="L8" s="163">
        <f>Data!CL7</f>
        <v>3</v>
      </c>
      <c r="M8" s="163">
        <f>Data!CM7</f>
        <v>5</v>
      </c>
      <c r="N8" s="163">
        <f>Data!CN7</f>
        <v>10</v>
      </c>
      <c r="O8" s="163">
        <f>Data!CO7</f>
        <v>8</v>
      </c>
      <c r="P8" s="163">
        <f>Data!CP7</f>
        <v>4</v>
      </c>
      <c r="Q8" s="163">
        <f>Data!CQ7</f>
        <v>7</v>
      </c>
      <c r="R8" s="163">
        <f>Data!CR7</f>
        <v>7</v>
      </c>
      <c r="S8" s="163">
        <f>Data!CS7</f>
        <v>5</v>
      </c>
      <c r="T8" s="163">
        <f>Data!CT7</f>
        <v>5</v>
      </c>
      <c r="U8" s="163">
        <f>Data!CU7</f>
        <v>7</v>
      </c>
      <c r="V8" s="163">
        <f t="shared" ref="V8:V51" si="0">SUM(D8:U8)</f>
        <v>64</v>
      </c>
      <c r="W8" s="64"/>
    </row>
    <row r="9" spans="1:23" ht="12" customHeight="1">
      <c r="A9" s="62"/>
      <c r="B9" s="139" t="str">
        <f>UPPER(LEFT(TRIM(Data!B8),1)) &amp; MID(TRIM(Data!B8),2,50)</f>
        <v>Stemplės</v>
      </c>
      <c r="C9" s="168" t="str">
        <f>Data!C8</f>
        <v>C15</v>
      </c>
      <c r="D9" s="169">
        <f>Data!CD8</f>
        <v>0</v>
      </c>
      <c r="E9" s="169">
        <f>Data!CE8</f>
        <v>0</v>
      </c>
      <c r="F9" s="169">
        <f>Data!CF8</f>
        <v>0</v>
      </c>
      <c r="G9" s="169">
        <f>Data!CG8</f>
        <v>0</v>
      </c>
      <c r="H9" s="169">
        <f>Data!CH8</f>
        <v>0</v>
      </c>
      <c r="I9" s="169">
        <f>Data!CI8</f>
        <v>0</v>
      </c>
      <c r="J9" s="169">
        <f>Data!CJ8</f>
        <v>0</v>
      </c>
      <c r="K9" s="169">
        <f>Data!CK8</f>
        <v>0</v>
      </c>
      <c r="L9" s="169">
        <f>Data!CL8</f>
        <v>0</v>
      </c>
      <c r="M9" s="169">
        <f>Data!CM8</f>
        <v>0</v>
      </c>
      <c r="N9" s="169">
        <f>Data!CN8</f>
        <v>5</v>
      </c>
      <c r="O9" s="169">
        <f>Data!CO8</f>
        <v>4</v>
      </c>
      <c r="P9" s="169">
        <f>Data!CP8</f>
        <v>3</v>
      </c>
      <c r="Q9" s="169">
        <f>Data!CQ8</f>
        <v>3</v>
      </c>
      <c r="R9" s="169">
        <f>Data!CR8</f>
        <v>1</v>
      </c>
      <c r="S9" s="169">
        <f>Data!CS8</f>
        <v>1</v>
      </c>
      <c r="T9" s="169">
        <f>Data!CT8</f>
        <v>7</v>
      </c>
      <c r="U9" s="169">
        <f>Data!CU8</f>
        <v>6</v>
      </c>
      <c r="V9" s="169">
        <f t="shared" si="0"/>
        <v>30</v>
      </c>
      <c r="W9" s="64"/>
    </row>
    <row r="10" spans="1:23" ht="12" customHeight="1">
      <c r="A10" s="62"/>
      <c r="B10" s="144" t="str">
        <f>UPPER(LEFT(TRIM(Data!B9),1)) &amp; MID(TRIM(Data!B9),2,50)</f>
        <v>Skrandžio</v>
      </c>
      <c r="C10" s="144" t="str">
        <f>Data!C9</f>
        <v>C16</v>
      </c>
      <c r="D10" s="163">
        <f>Data!CD9</f>
        <v>0</v>
      </c>
      <c r="E10" s="163">
        <f>Data!CE9</f>
        <v>0</v>
      </c>
      <c r="F10" s="163">
        <f>Data!CF9</f>
        <v>0</v>
      </c>
      <c r="G10" s="163">
        <f>Data!CG9</f>
        <v>0</v>
      </c>
      <c r="H10" s="163">
        <f>Data!CH9</f>
        <v>1</v>
      </c>
      <c r="I10" s="163">
        <f>Data!CI9</f>
        <v>0</v>
      </c>
      <c r="J10" s="163">
        <f>Data!CJ9</f>
        <v>5</v>
      </c>
      <c r="K10" s="163">
        <f>Data!CK9</f>
        <v>2</v>
      </c>
      <c r="L10" s="163">
        <f>Data!CL9</f>
        <v>5</v>
      </c>
      <c r="M10" s="163">
        <f>Data!CM9</f>
        <v>10</v>
      </c>
      <c r="N10" s="163">
        <f>Data!CN9</f>
        <v>19</v>
      </c>
      <c r="O10" s="163">
        <f>Data!CO9</f>
        <v>22</v>
      </c>
      <c r="P10" s="163">
        <f>Data!CP9</f>
        <v>23</v>
      </c>
      <c r="Q10" s="163">
        <f>Data!CQ9</f>
        <v>42</v>
      </c>
      <c r="R10" s="163">
        <f>Data!CR9</f>
        <v>37</v>
      </c>
      <c r="S10" s="163">
        <f>Data!CS9</f>
        <v>61</v>
      </c>
      <c r="T10" s="163">
        <f>Data!CT9</f>
        <v>63</v>
      </c>
      <c r="U10" s="163">
        <f>Data!CU9</f>
        <v>44</v>
      </c>
      <c r="V10" s="163">
        <f t="shared" si="0"/>
        <v>334</v>
      </c>
      <c r="W10" s="64"/>
    </row>
    <row r="11" spans="1:23" ht="12" customHeight="1">
      <c r="A11" s="62"/>
      <c r="B11" s="139" t="str">
        <f>UPPER(LEFT(TRIM(Data!B10),1)) &amp; MID(TRIM(Data!B10),2,50)</f>
        <v>Gaubtinės žarnos</v>
      </c>
      <c r="C11" s="168" t="str">
        <f>Data!C10</f>
        <v>C18</v>
      </c>
      <c r="D11" s="169">
        <f>Data!CD10</f>
        <v>0</v>
      </c>
      <c r="E11" s="169">
        <f>Data!CE10</f>
        <v>0</v>
      </c>
      <c r="F11" s="169">
        <f>Data!CF10</f>
        <v>0</v>
      </c>
      <c r="G11" s="169">
        <f>Data!CG10</f>
        <v>0</v>
      </c>
      <c r="H11" s="169">
        <f>Data!CH10</f>
        <v>1</v>
      </c>
      <c r="I11" s="169">
        <f>Data!CI10</f>
        <v>0</v>
      </c>
      <c r="J11" s="169">
        <f>Data!CJ10</f>
        <v>2</v>
      </c>
      <c r="K11" s="169">
        <f>Data!CK10</f>
        <v>0</v>
      </c>
      <c r="L11" s="169">
        <f>Data!CL10</f>
        <v>8</v>
      </c>
      <c r="M11" s="169">
        <f>Data!CM10</f>
        <v>10</v>
      </c>
      <c r="N11" s="169">
        <f>Data!CN10</f>
        <v>33</v>
      </c>
      <c r="O11" s="169">
        <f>Data!CO10</f>
        <v>33</v>
      </c>
      <c r="P11" s="169">
        <f>Data!CP10</f>
        <v>41</v>
      </c>
      <c r="Q11" s="169">
        <f>Data!CQ10</f>
        <v>55</v>
      </c>
      <c r="R11" s="169">
        <f>Data!CR10</f>
        <v>61</v>
      </c>
      <c r="S11" s="169">
        <f>Data!CS10</f>
        <v>83</v>
      </c>
      <c r="T11" s="169">
        <f>Data!CT10</f>
        <v>80</v>
      </c>
      <c r="U11" s="169">
        <f>Data!CU10</f>
        <v>63</v>
      </c>
      <c r="V11" s="169">
        <f t="shared" si="0"/>
        <v>470</v>
      </c>
      <c r="W11" s="64"/>
    </row>
    <row r="12" spans="1:23" ht="12" customHeight="1">
      <c r="A12" s="62"/>
      <c r="B12" s="144" t="str">
        <f>UPPER(LEFT(TRIM(Data!B11),1)) &amp; MID(TRIM(Data!B11),2,50)</f>
        <v>Tiesiosios žarnos, išangės</v>
      </c>
      <c r="C12" s="144" t="str">
        <f>Data!C11</f>
        <v>C19-C21</v>
      </c>
      <c r="D12" s="163">
        <f>Data!CD11</f>
        <v>0</v>
      </c>
      <c r="E12" s="163">
        <f>Data!CE11</f>
        <v>0</v>
      </c>
      <c r="F12" s="163">
        <f>Data!CF11</f>
        <v>0</v>
      </c>
      <c r="G12" s="163">
        <f>Data!CG11</f>
        <v>0</v>
      </c>
      <c r="H12" s="163">
        <f>Data!CH11</f>
        <v>0</v>
      </c>
      <c r="I12" s="163">
        <f>Data!CI11</f>
        <v>1</v>
      </c>
      <c r="J12" s="163">
        <f>Data!CJ11</f>
        <v>2</v>
      </c>
      <c r="K12" s="163">
        <f>Data!CK11</f>
        <v>2</v>
      </c>
      <c r="L12" s="163">
        <f>Data!CL11</f>
        <v>6</v>
      </c>
      <c r="M12" s="163">
        <f>Data!CM11</f>
        <v>9</v>
      </c>
      <c r="N12" s="163">
        <f>Data!CN11</f>
        <v>28</v>
      </c>
      <c r="O12" s="163">
        <f>Data!CO11</f>
        <v>31</v>
      </c>
      <c r="P12" s="163">
        <f>Data!CP11</f>
        <v>35</v>
      </c>
      <c r="Q12" s="163">
        <f>Data!CQ11</f>
        <v>32</v>
      </c>
      <c r="R12" s="163">
        <f>Data!CR11</f>
        <v>37</v>
      </c>
      <c r="S12" s="163">
        <f>Data!CS11</f>
        <v>57</v>
      </c>
      <c r="T12" s="163">
        <f>Data!CT11</f>
        <v>49</v>
      </c>
      <c r="U12" s="163">
        <f>Data!CU11</f>
        <v>35</v>
      </c>
      <c r="V12" s="163">
        <f t="shared" si="0"/>
        <v>324</v>
      </c>
      <c r="W12" s="64"/>
    </row>
    <row r="13" spans="1:23" ht="12" customHeight="1">
      <c r="A13" s="62"/>
      <c r="B13" s="139" t="str">
        <f>UPPER(LEFT(TRIM(Data!B12),1)) &amp; MID(TRIM(Data!B12),2,50)</f>
        <v>Kepenų</v>
      </c>
      <c r="C13" s="168" t="str">
        <f>Data!C12</f>
        <v>C22</v>
      </c>
      <c r="D13" s="169">
        <f>Data!CD12</f>
        <v>1</v>
      </c>
      <c r="E13" s="169">
        <f>Data!CE12</f>
        <v>0</v>
      </c>
      <c r="F13" s="169">
        <f>Data!CF12</f>
        <v>0</v>
      </c>
      <c r="G13" s="169">
        <f>Data!CG12</f>
        <v>0</v>
      </c>
      <c r="H13" s="169">
        <f>Data!CH12</f>
        <v>0</v>
      </c>
      <c r="I13" s="169">
        <f>Data!CI12</f>
        <v>0</v>
      </c>
      <c r="J13" s="169">
        <f>Data!CJ12</f>
        <v>0</v>
      </c>
      <c r="K13" s="169">
        <f>Data!CK12</f>
        <v>0</v>
      </c>
      <c r="L13" s="169">
        <f>Data!CL12</f>
        <v>1</v>
      </c>
      <c r="M13" s="169">
        <f>Data!CM12</f>
        <v>1</v>
      </c>
      <c r="N13" s="169">
        <f>Data!CN12</f>
        <v>4</v>
      </c>
      <c r="O13" s="169">
        <f>Data!CO12</f>
        <v>4</v>
      </c>
      <c r="P13" s="169">
        <f>Data!CP12</f>
        <v>9</v>
      </c>
      <c r="Q13" s="169">
        <f>Data!CQ12</f>
        <v>2</v>
      </c>
      <c r="R13" s="169">
        <f>Data!CR12</f>
        <v>9</v>
      </c>
      <c r="S13" s="169">
        <f>Data!CS12</f>
        <v>9</v>
      </c>
      <c r="T13" s="169">
        <f>Data!CT12</f>
        <v>10</v>
      </c>
      <c r="U13" s="169">
        <f>Data!CU12</f>
        <v>10</v>
      </c>
      <c r="V13" s="169">
        <f t="shared" si="0"/>
        <v>60</v>
      </c>
      <c r="W13" s="64"/>
    </row>
    <row r="14" spans="1:23" ht="12" customHeight="1">
      <c r="A14" s="62"/>
      <c r="B14" s="144" t="str">
        <f>UPPER(LEFT(TRIM(Data!B13),1)) &amp; MID(TRIM(Data!B13),2,50)</f>
        <v>Tulžies pūslės, ekstrahepatinių takų</v>
      </c>
      <c r="C14" s="144" t="str">
        <f>Data!C13</f>
        <v>C23, C24</v>
      </c>
      <c r="D14" s="163">
        <f>Data!CD13</f>
        <v>0</v>
      </c>
      <c r="E14" s="163">
        <f>Data!CE13</f>
        <v>0</v>
      </c>
      <c r="F14" s="163">
        <f>Data!CF13</f>
        <v>0</v>
      </c>
      <c r="G14" s="163">
        <f>Data!CG13</f>
        <v>0</v>
      </c>
      <c r="H14" s="163">
        <f>Data!CH13</f>
        <v>0</v>
      </c>
      <c r="I14" s="163">
        <f>Data!CI13</f>
        <v>0</v>
      </c>
      <c r="J14" s="163">
        <f>Data!CJ13</f>
        <v>0</v>
      </c>
      <c r="K14" s="163">
        <f>Data!CK13</f>
        <v>0</v>
      </c>
      <c r="L14" s="163">
        <f>Data!CL13</f>
        <v>0</v>
      </c>
      <c r="M14" s="163">
        <f>Data!CM13</f>
        <v>1</v>
      </c>
      <c r="N14" s="163">
        <f>Data!CN13</f>
        <v>4</v>
      </c>
      <c r="O14" s="163">
        <f>Data!CO13</f>
        <v>6</v>
      </c>
      <c r="P14" s="163">
        <f>Data!CP13</f>
        <v>7</v>
      </c>
      <c r="Q14" s="163">
        <f>Data!CQ13</f>
        <v>10</v>
      </c>
      <c r="R14" s="163">
        <f>Data!CR13</f>
        <v>12</v>
      </c>
      <c r="S14" s="163">
        <f>Data!CS13</f>
        <v>8</v>
      </c>
      <c r="T14" s="163">
        <f>Data!CT13</f>
        <v>13</v>
      </c>
      <c r="U14" s="163">
        <f>Data!CU13</f>
        <v>9</v>
      </c>
      <c r="V14" s="163">
        <f t="shared" si="0"/>
        <v>70</v>
      </c>
      <c r="W14" s="64"/>
    </row>
    <row r="15" spans="1:23" ht="12" customHeight="1">
      <c r="A15" s="62"/>
      <c r="B15" s="139" t="str">
        <f>UPPER(LEFT(TRIM(Data!B14),1)) &amp; MID(TRIM(Data!B14),2,50)</f>
        <v>Kasos</v>
      </c>
      <c r="C15" s="168" t="str">
        <f>Data!C14</f>
        <v>C25</v>
      </c>
      <c r="D15" s="169">
        <f>Data!CD14</f>
        <v>0</v>
      </c>
      <c r="E15" s="169">
        <f>Data!CE14</f>
        <v>0</v>
      </c>
      <c r="F15" s="169">
        <f>Data!CF14</f>
        <v>0</v>
      </c>
      <c r="G15" s="169">
        <f>Data!CG14</f>
        <v>0</v>
      </c>
      <c r="H15" s="169">
        <f>Data!CH14</f>
        <v>0</v>
      </c>
      <c r="I15" s="169">
        <f>Data!CI14</f>
        <v>0</v>
      </c>
      <c r="J15" s="169">
        <f>Data!CJ14</f>
        <v>0</v>
      </c>
      <c r="K15" s="169">
        <f>Data!CK14</f>
        <v>0</v>
      </c>
      <c r="L15" s="169">
        <f>Data!CL14</f>
        <v>3</v>
      </c>
      <c r="M15" s="169">
        <f>Data!CM14</f>
        <v>10</v>
      </c>
      <c r="N15" s="169">
        <f>Data!CN14</f>
        <v>13</v>
      </c>
      <c r="O15" s="169">
        <f>Data!CO14</f>
        <v>17</v>
      </c>
      <c r="P15" s="169">
        <f>Data!CP14</f>
        <v>19</v>
      </c>
      <c r="Q15" s="169">
        <f>Data!CQ14</f>
        <v>29</v>
      </c>
      <c r="R15" s="169">
        <f>Data!CR14</f>
        <v>48</v>
      </c>
      <c r="S15" s="169">
        <f>Data!CS14</f>
        <v>37</v>
      </c>
      <c r="T15" s="169">
        <f>Data!CT14</f>
        <v>45</v>
      </c>
      <c r="U15" s="169">
        <f>Data!CU14</f>
        <v>35</v>
      </c>
      <c r="V15" s="169">
        <f t="shared" si="0"/>
        <v>256</v>
      </c>
      <c r="W15" s="64"/>
    </row>
    <row r="16" spans="1:23" ht="12" customHeight="1">
      <c r="A16" s="62"/>
      <c r="B16" s="144" t="str">
        <f>UPPER(LEFT(TRIM(Data!B15),1)) &amp; MID(TRIM(Data!B15),2,50)</f>
        <v>Kitų virškinimo sistemos organų</v>
      </c>
      <c r="C16" s="144" t="str">
        <f>Data!C15</f>
        <v>C17, C26, C48</v>
      </c>
      <c r="D16" s="163">
        <f>Data!CD15</f>
        <v>3</v>
      </c>
      <c r="E16" s="163">
        <f>Data!CE15</f>
        <v>0</v>
      </c>
      <c r="F16" s="163">
        <f>Data!CF15</f>
        <v>0</v>
      </c>
      <c r="G16" s="163">
        <f>Data!CG15</f>
        <v>0</v>
      </c>
      <c r="H16" s="163">
        <f>Data!CH15</f>
        <v>0</v>
      </c>
      <c r="I16" s="163">
        <f>Data!CI15</f>
        <v>0</v>
      </c>
      <c r="J16" s="163">
        <f>Data!CJ15</f>
        <v>0</v>
      </c>
      <c r="K16" s="163">
        <f>Data!CK15</f>
        <v>0</v>
      </c>
      <c r="L16" s="163">
        <f>Data!CL15</f>
        <v>4</v>
      </c>
      <c r="M16" s="163">
        <f>Data!CM15</f>
        <v>0</v>
      </c>
      <c r="N16" s="163">
        <f>Data!CN15</f>
        <v>2</v>
      </c>
      <c r="O16" s="163">
        <f>Data!CO15</f>
        <v>2</v>
      </c>
      <c r="P16" s="163">
        <f>Data!CP15</f>
        <v>4</v>
      </c>
      <c r="Q16" s="163">
        <f>Data!CQ15</f>
        <v>5</v>
      </c>
      <c r="R16" s="163">
        <f>Data!CR15</f>
        <v>5</v>
      </c>
      <c r="S16" s="163">
        <f>Data!CS15</f>
        <v>10</v>
      </c>
      <c r="T16" s="163">
        <f>Data!CT15</f>
        <v>5</v>
      </c>
      <c r="U16" s="163">
        <f>Data!CU15</f>
        <v>5</v>
      </c>
      <c r="V16" s="163">
        <f t="shared" si="0"/>
        <v>45</v>
      </c>
      <c r="W16" s="64"/>
    </row>
    <row r="17" spans="1:23" ht="12" customHeight="1">
      <c r="A17" s="62"/>
      <c r="B17" s="139" t="str">
        <f>UPPER(LEFT(TRIM(Data!B16),1)) &amp; MID(TRIM(Data!B16),2,50)</f>
        <v>Nosies ertmės, vid.ausies ir ančių</v>
      </c>
      <c r="C17" s="168" t="str">
        <f>Data!C16</f>
        <v>C30, C31</v>
      </c>
      <c r="D17" s="169">
        <f>Data!CD16</f>
        <v>0</v>
      </c>
      <c r="E17" s="169">
        <f>Data!CE16</f>
        <v>0</v>
      </c>
      <c r="F17" s="169">
        <f>Data!CF16</f>
        <v>0</v>
      </c>
      <c r="G17" s="169">
        <f>Data!CG16</f>
        <v>0</v>
      </c>
      <c r="H17" s="169">
        <f>Data!CH16</f>
        <v>0</v>
      </c>
      <c r="I17" s="169">
        <f>Data!CI16</f>
        <v>0</v>
      </c>
      <c r="J17" s="169">
        <f>Data!CJ16</f>
        <v>0</v>
      </c>
      <c r="K17" s="169">
        <f>Data!CK16</f>
        <v>0</v>
      </c>
      <c r="L17" s="169">
        <f>Data!CL16</f>
        <v>1</v>
      </c>
      <c r="M17" s="169">
        <f>Data!CM16</f>
        <v>0</v>
      </c>
      <c r="N17" s="169">
        <f>Data!CN16</f>
        <v>2</v>
      </c>
      <c r="O17" s="169">
        <f>Data!CO16</f>
        <v>2</v>
      </c>
      <c r="P17" s="169">
        <f>Data!CP16</f>
        <v>5</v>
      </c>
      <c r="Q17" s="169">
        <f>Data!CQ16</f>
        <v>3</v>
      </c>
      <c r="R17" s="169">
        <f>Data!CR16</f>
        <v>2</v>
      </c>
      <c r="S17" s="169">
        <f>Data!CS16</f>
        <v>0</v>
      </c>
      <c r="T17" s="169">
        <f>Data!CT16</f>
        <v>4</v>
      </c>
      <c r="U17" s="169">
        <f>Data!CU16</f>
        <v>2</v>
      </c>
      <c r="V17" s="169">
        <f t="shared" si="0"/>
        <v>21</v>
      </c>
      <c r="W17" s="64"/>
    </row>
    <row r="18" spans="1:23" ht="12" customHeight="1">
      <c r="A18" s="62"/>
      <c r="B18" s="144" t="str">
        <f>UPPER(LEFT(TRIM(Data!B17),1)) &amp; MID(TRIM(Data!B17),2,50)</f>
        <v>Gerklų</v>
      </c>
      <c r="C18" s="144" t="str">
        <f>Data!C17</f>
        <v>C32</v>
      </c>
      <c r="D18" s="163">
        <f>Data!CD17</f>
        <v>0</v>
      </c>
      <c r="E18" s="163">
        <f>Data!CE17</f>
        <v>0</v>
      </c>
      <c r="F18" s="163">
        <f>Data!CF17</f>
        <v>0</v>
      </c>
      <c r="G18" s="163">
        <f>Data!CG17</f>
        <v>0</v>
      </c>
      <c r="H18" s="163">
        <f>Data!CH17</f>
        <v>0</v>
      </c>
      <c r="I18" s="163">
        <f>Data!CI17</f>
        <v>0</v>
      </c>
      <c r="J18" s="163">
        <f>Data!CJ17</f>
        <v>1</v>
      </c>
      <c r="K18" s="163">
        <f>Data!CK17</f>
        <v>1</v>
      </c>
      <c r="L18" s="163">
        <f>Data!CL17</f>
        <v>0</v>
      </c>
      <c r="M18" s="163">
        <f>Data!CM17</f>
        <v>0</v>
      </c>
      <c r="N18" s="163">
        <f>Data!CN17</f>
        <v>2</v>
      </c>
      <c r="O18" s="163">
        <f>Data!CO17</f>
        <v>2</v>
      </c>
      <c r="P18" s="163">
        <f>Data!CP17</f>
        <v>1</v>
      </c>
      <c r="Q18" s="163">
        <f>Data!CQ17</f>
        <v>2</v>
      </c>
      <c r="R18" s="163">
        <f>Data!CR17</f>
        <v>0</v>
      </c>
      <c r="S18" s="163">
        <f>Data!CS17</f>
        <v>2</v>
      </c>
      <c r="T18" s="163">
        <f>Data!CT17</f>
        <v>0</v>
      </c>
      <c r="U18" s="163">
        <f>Data!CU17</f>
        <v>0</v>
      </c>
      <c r="V18" s="163">
        <f t="shared" si="0"/>
        <v>11</v>
      </c>
      <c r="W18" s="64"/>
    </row>
    <row r="19" spans="1:23" ht="12" customHeight="1">
      <c r="A19" s="62"/>
      <c r="B19" s="139" t="str">
        <f>UPPER(LEFT(TRIM(Data!B18),1)) &amp; MID(TRIM(Data!B18),2,50)</f>
        <v>Plaučių, trachėjos, bronchų</v>
      </c>
      <c r="C19" s="168" t="str">
        <f>Data!C18</f>
        <v>C33, C34</v>
      </c>
      <c r="D19" s="169">
        <f>Data!CD18</f>
        <v>0</v>
      </c>
      <c r="E19" s="169">
        <f>Data!CE18</f>
        <v>0</v>
      </c>
      <c r="F19" s="169">
        <f>Data!CF18</f>
        <v>0</v>
      </c>
      <c r="G19" s="169">
        <f>Data!CG18</f>
        <v>0</v>
      </c>
      <c r="H19" s="169">
        <f>Data!CH18</f>
        <v>0</v>
      </c>
      <c r="I19" s="169">
        <f>Data!CI18</f>
        <v>1</v>
      </c>
      <c r="J19" s="169">
        <f>Data!CJ18</f>
        <v>0</v>
      </c>
      <c r="K19" s="169">
        <f>Data!CK18</f>
        <v>1</v>
      </c>
      <c r="L19" s="169">
        <f>Data!CL18</f>
        <v>4</v>
      </c>
      <c r="M19" s="169">
        <f>Data!CM18</f>
        <v>6</v>
      </c>
      <c r="N19" s="169">
        <f>Data!CN18</f>
        <v>17</v>
      </c>
      <c r="O19" s="169">
        <f>Data!CO18</f>
        <v>31</v>
      </c>
      <c r="P19" s="169">
        <f>Data!CP18</f>
        <v>39</v>
      </c>
      <c r="Q19" s="169">
        <f>Data!CQ18</f>
        <v>32</v>
      </c>
      <c r="R19" s="169">
        <f>Data!CR18</f>
        <v>40</v>
      </c>
      <c r="S19" s="169">
        <f>Data!CS18</f>
        <v>54</v>
      </c>
      <c r="T19" s="169">
        <f>Data!CT18</f>
        <v>32</v>
      </c>
      <c r="U19" s="169">
        <f>Data!CU18</f>
        <v>33</v>
      </c>
      <c r="V19" s="169">
        <f t="shared" si="0"/>
        <v>290</v>
      </c>
      <c r="W19" s="64"/>
    </row>
    <row r="20" spans="1:23" ht="12" customHeight="1">
      <c r="A20" s="62"/>
      <c r="B20" s="144" t="str">
        <f>UPPER(LEFT(TRIM(Data!B19),1)) &amp; MID(TRIM(Data!B19),2,50)</f>
        <v>Kitų kvėpavimo sistemos organų</v>
      </c>
      <c r="C20" s="144" t="str">
        <f>Data!C19</f>
        <v>C37-C39</v>
      </c>
      <c r="D20" s="163">
        <f>Data!CD19</f>
        <v>1</v>
      </c>
      <c r="E20" s="163">
        <f>Data!CE19</f>
        <v>0</v>
      </c>
      <c r="F20" s="163">
        <f>Data!CF19</f>
        <v>0</v>
      </c>
      <c r="G20" s="163">
        <f>Data!CG19</f>
        <v>0</v>
      </c>
      <c r="H20" s="163">
        <f>Data!CH19</f>
        <v>0</v>
      </c>
      <c r="I20" s="163">
        <f>Data!CI19</f>
        <v>0</v>
      </c>
      <c r="J20" s="163">
        <f>Data!CJ19</f>
        <v>0</v>
      </c>
      <c r="K20" s="163">
        <f>Data!CK19</f>
        <v>0</v>
      </c>
      <c r="L20" s="163">
        <f>Data!CL19</f>
        <v>0</v>
      </c>
      <c r="M20" s="163">
        <f>Data!CM19</f>
        <v>0</v>
      </c>
      <c r="N20" s="163">
        <f>Data!CN19</f>
        <v>0</v>
      </c>
      <c r="O20" s="163">
        <f>Data!CO19</f>
        <v>1</v>
      </c>
      <c r="P20" s="163">
        <f>Data!CP19</f>
        <v>0</v>
      </c>
      <c r="Q20" s="163">
        <f>Data!CQ19</f>
        <v>2</v>
      </c>
      <c r="R20" s="163">
        <f>Data!CR19</f>
        <v>0</v>
      </c>
      <c r="S20" s="163">
        <f>Data!CS19</f>
        <v>1</v>
      </c>
      <c r="T20" s="163">
        <f>Data!CT19</f>
        <v>0</v>
      </c>
      <c r="U20" s="163">
        <f>Data!CU19</f>
        <v>1</v>
      </c>
      <c r="V20" s="163">
        <f t="shared" si="0"/>
        <v>6</v>
      </c>
      <c r="W20" s="64"/>
    </row>
    <row r="21" spans="1:23" ht="12" customHeight="1">
      <c r="A21" s="62"/>
      <c r="B21" s="139" t="str">
        <f>UPPER(LEFT(TRIM(Data!B20),1)) &amp; MID(TRIM(Data!B20),2,50)</f>
        <v>Kaulų ir jungiamojo audinio</v>
      </c>
      <c r="C21" s="168" t="str">
        <f>Data!C20</f>
        <v>C40-C41, C45-C47, C49</v>
      </c>
      <c r="D21" s="169">
        <f>Data!CD20</f>
        <v>0</v>
      </c>
      <c r="E21" s="169">
        <f>Data!CE20</f>
        <v>1</v>
      </c>
      <c r="F21" s="169">
        <f>Data!CF20</f>
        <v>3</v>
      </c>
      <c r="G21" s="169">
        <f>Data!CG20</f>
        <v>1</v>
      </c>
      <c r="H21" s="169">
        <f>Data!CH20</f>
        <v>1</v>
      </c>
      <c r="I21" s="169">
        <f>Data!CI20</f>
        <v>3</v>
      </c>
      <c r="J21" s="169">
        <f>Data!CJ20</f>
        <v>1</v>
      </c>
      <c r="K21" s="169">
        <f>Data!CK20</f>
        <v>1</v>
      </c>
      <c r="L21" s="169">
        <f>Data!CL20</f>
        <v>1</v>
      </c>
      <c r="M21" s="169">
        <f>Data!CM20</f>
        <v>5</v>
      </c>
      <c r="N21" s="169">
        <f>Data!CN20</f>
        <v>9</v>
      </c>
      <c r="O21" s="169">
        <f>Data!CO20</f>
        <v>4</v>
      </c>
      <c r="P21" s="169">
        <f>Data!CP20</f>
        <v>8</v>
      </c>
      <c r="Q21" s="169">
        <f>Data!CQ20</f>
        <v>5</v>
      </c>
      <c r="R21" s="169">
        <f>Data!CR20</f>
        <v>5</v>
      </c>
      <c r="S21" s="169">
        <f>Data!CS20</f>
        <v>8</v>
      </c>
      <c r="T21" s="169">
        <f>Data!CT20</f>
        <v>4</v>
      </c>
      <c r="U21" s="169">
        <f>Data!CU20</f>
        <v>9</v>
      </c>
      <c r="V21" s="169">
        <f t="shared" si="0"/>
        <v>69</v>
      </c>
      <c r="W21" s="64"/>
    </row>
    <row r="22" spans="1:23" ht="12" customHeight="1">
      <c r="A22" s="62"/>
      <c r="B22" s="144" t="str">
        <f>UPPER(LEFT(TRIM(Data!B21),1)) &amp; MID(TRIM(Data!B21),2,50)</f>
        <v>Odos melanoma</v>
      </c>
      <c r="C22" s="144" t="str">
        <f>Data!C21</f>
        <v>C43</v>
      </c>
      <c r="D22" s="163">
        <f>Data!CD21</f>
        <v>0</v>
      </c>
      <c r="E22" s="163">
        <f>Data!CE21</f>
        <v>0</v>
      </c>
      <c r="F22" s="163">
        <f>Data!CF21</f>
        <v>0</v>
      </c>
      <c r="G22" s="163">
        <f>Data!CG21</f>
        <v>1</v>
      </c>
      <c r="H22" s="163">
        <f>Data!CH21</f>
        <v>1</v>
      </c>
      <c r="I22" s="163">
        <f>Data!CI21</f>
        <v>1</v>
      </c>
      <c r="J22" s="163">
        <f>Data!CJ21</f>
        <v>1</v>
      </c>
      <c r="K22" s="163">
        <f>Data!CK21</f>
        <v>7</v>
      </c>
      <c r="L22" s="163">
        <f>Data!CL21</f>
        <v>11</v>
      </c>
      <c r="M22" s="163">
        <f>Data!CM21</f>
        <v>10</v>
      </c>
      <c r="N22" s="163">
        <f>Data!CN21</f>
        <v>21</v>
      </c>
      <c r="O22" s="163">
        <f>Data!CO21</f>
        <v>16</v>
      </c>
      <c r="P22" s="163">
        <f>Data!CP21</f>
        <v>13</v>
      </c>
      <c r="Q22" s="163">
        <f>Data!CQ21</f>
        <v>18</v>
      </c>
      <c r="R22" s="163">
        <f>Data!CR21</f>
        <v>18</v>
      </c>
      <c r="S22" s="163">
        <f>Data!CS21</f>
        <v>21</v>
      </c>
      <c r="T22" s="163">
        <f>Data!CT21</f>
        <v>14</v>
      </c>
      <c r="U22" s="163">
        <f>Data!CU21</f>
        <v>14</v>
      </c>
      <c r="V22" s="163">
        <f t="shared" si="0"/>
        <v>167</v>
      </c>
      <c r="W22" s="64"/>
    </row>
    <row r="23" spans="1:23" ht="12" customHeight="1">
      <c r="A23" s="62"/>
      <c r="B23" s="139" t="str">
        <f>UPPER(LEFT(TRIM(Data!B22),1)) &amp; MID(TRIM(Data!B22),2,50)</f>
        <v>Kiti odos piktybiniai navikai</v>
      </c>
      <c r="C23" s="168" t="str">
        <f>Data!C22</f>
        <v>C44</v>
      </c>
      <c r="D23" s="169">
        <f>Data!CD22</f>
        <v>0</v>
      </c>
      <c r="E23" s="169">
        <f>Data!CE22</f>
        <v>1</v>
      </c>
      <c r="F23" s="169">
        <f>Data!CF22</f>
        <v>1</v>
      </c>
      <c r="G23" s="169">
        <f>Data!CG22</f>
        <v>0</v>
      </c>
      <c r="H23" s="169">
        <f>Data!CH22</f>
        <v>4</v>
      </c>
      <c r="I23" s="169">
        <f>Data!CI22</f>
        <v>6</v>
      </c>
      <c r="J23" s="169">
        <f>Data!CJ22</f>
        <v>12</v>
      </c>
      <c r="K23" s="169">
        <f>Data!CK22</f>
        <v>11</v>
      </c>
      <c r="L23" s="169">
        <f>Data!CL22</f>
        <v>32</v>
      </c>
      <c r="M23" s="169">
        <f>Data!CM22</f>
        <v>59</v>
      </c>
      <c r="N23" s="169">
        <f>Data!CN22</f>
        <v>87</v>
      </c>
      <c r="O23" s="169">
        <f>Data!CO22</f>
        <v>103</v>
      </c>
      <c r="P23" s="169">
        <f>Data!CP22</f>
        <v>135</v>
      </c>
      <c r="Q23" s="169">
        <f>Data!CQ22</f>
        <v>178</v>
      </c>
      <c r="R23" s="169">
        <f>Data!CR22</f>
        <v>242</v>
      </c>
      <c r="S23" s="169">
        <f>Data!CS22</f>
        <v>246</v>
      </c>
      <c r="T23" s="169">
        <f>Data!CT22</f>
        <v>185</v>
      </c>
      <c r="U23" s="169">
        <f>Data!CU22</f>
        <v>146</v>
      </c>
      <c r="V23" s="169">
        <f t="shared" si="0"/>
        <v>1448</v>
      </c>
      <c r="W23" s="64"/>
    </row>
    <row r="24" spans="1:23" ht="12" customHeight="1">
      <c r="A24" s="62"/>
      <c r="B24" s="144" t="str">
        <f>UPPER(LEFT(TRIM(Data!B23),1)) &amp; MID(TRIM(Data!B23),2,50)</f>
        <v>Krūties</v>
      </c>
      <c r="C24" s="144" t="str">
        <f>Data!C23</f>
        <v>C50</v>
      </c>
      <c r="D24" s="163">
        <f>Data!CD23</f>
        <v>0</v>
      </c>
      <c r="E24" s="163">
        <f>Data!CE23</f>
        <v>0</v>
      </c>
      <c r="F24" s="163">
        <f>Data!CF23</f>
        <v>0</v>
      </c>
      <c r="G24" s="163">
        <f>Data!CG23</f>
        <v>0</v>
      </c>
      <c r="H24" s="163">
        <f>Data!CH23</f>
        <v>1</v>
      </c>
      <c r="I24" s="163">
        <f>Data!CI23</f>
        <v>12</v>
      </c>
      <c r="J24" s="163">
        <f>Data!CJ23</f>
        <v>20</v>
      </c>
      <c r="K24" s="163">
        <f>Data!CK23</f>
        <v>48</v>
      </c>
      <c r="L24" s="163">
        <f>Data!CL23</f>
        <v>103</v>
      </c>
      <c r="M24" s="163">
        <f>Data!CM23</f>
        <v>126</v>
      </c>
      <c r="N24" s="163">
        <f>Data!CN23</f>
        <v>183</v>
      </c>
      <c r="O24" s="163">
        <f>Data!CO23</f>
        <v>201</v>
      </c>
      <c r="P24" s="163">
        <f>Data!CP23</f>
        <v>202</v>
      </c>
      <c r="Q24" s="163">
        <f>Data!CQ23</f>
        <v>185</v>
      </c>
      <c r="R24" s="163">
        <f>Data!CR23</f>
        <v>154</v>
      </c>
      <c r="S24" s="163">
        <f>Data!CS23</f>
        <v>139</v>
      </c>
      <c r="T24" s="163">
        <f>Data!CT23</f>
        <v>97</v>
      </c>
      <c r="U24" s="163">
        <f>Data!CU23</f>
        <v>63</v>
      </c>
      <c r="V24" s="163">
        <f t="shared" si="0"/>
        <v>1534</v>
      </c>
      <c r="W24" s="64"/>
    </row>
    <row r="25" spans="1:23" ht="12" customHeight="1">
      <c r="A25" s="62"/>
      <c r="B25" s="139" t="str">
        <f>UPPER(LEFT(TRIM(Data!B24),1)) &amp; MID(TRIM(Data!B24),2,50)</f>
        <v>Vulvos</v>
      </c>
      <c r="C25" s="168" t="str">
        <f>Data!C24</f>
        <v>C51</v>
      </c>
      <c r="D25" s="169">
        <f>Data!CD24</f>
        <v>0</v>
      </c>
      <c r="E25" s="169">
        <f>Data!CE24</f>
        <v>0</v>
      </c>
      <c r="F25" s="169">
        <f>Data!CF24</f>
        <v>0</v>
      </c>
      <c r="G25" s="169">
        <f>Data!CG24</f>
        <v>0</v>
      </c>
      <c r="H25" s="169">
        <f>Data!CH24</f>
        <v>0</v>
      </c>
      <c r="I25" s="169">
        <f>Data!CI24</f>
        <v>0</v>
      </c>
      <c r="J25" s="169">
        <f>Data!CJ24</f>
        <v>0</v>
      </c>
      <c r="K25" s="169">
        <f>Data!CK24</f>
        <v>1</v>
      </c>
      <c r="L25" s="169">
        <f>Data!CL24</f>
        <v>2</v>
      </c>
      <c r="M25" s="169">
        <f>Data!CM24</f>
        <v>1</v>
      </c>
      <c r="N25" s="169">
        <f>Data!CN24</f>
        <v>1</v>
      </c>
      <c r="O25" s="169">
        <f>Data!CO24</f>
        <v>5</v>
      </c>
      <c r="P25" s="169">
        <f>Data!CP24</f>
        <v>3</v>
      </c>
      <c r="Q25" s="169">
        <f>Data!CQ24</f>
        <v>5</v>
      </c>
      <c r="R25" s="169">
        <f>Data!CR24</f>
        <v>11</v>
      </c>
      <c r="S25" s="169">
        <f>Data!CS24</f>
        <v>9</v>
      </c>
      <c r="T25" s="169">
        <f>Data!CT24</f>
        <v>9</v>
      </c>
      <c r="U25" s="169">
        <f>Data!CU24</f>
        <v>8</v>
      </c>
      <c r="V25" s="169">
        <f t="shared" si="0"/>
        <v>55</v>
      </c>
      <c r="W25" s="64"/>
    </row>
    <row r="26" spans="1:23" ht="12" customHeight="1">
      <c r="A26" s="62"/>
      <c r="B26" s="144" t="str">
        <f>UPPER(LEFT(TRIM(Data!B25),1)) &amp; MID(TRIM(Data!B25),2,50)</f>
        <v>Gimdos kaklelio</v>
      </c>
      <c r="C26" s="144" t="str">
        <f>Data!C25</f>
        <v>C53</v>
      </c>
      <c r="D26" s="163">
        <f>Data!CD25</f>
        <v>0</v>
      </c>
      <c r="E26" s="163">
        <f>Data!CE25</f>
        <v>0</v>
      </c>
      <c r="F26" s="163">
        <f>Data!CF25</f>
        <v>0</v>
      </c>
      <c r="G26" s="163">
        <f>Data!CG25</f>
        <v>0</v>
      </c>
      <c r="H26" s="163">
        <f>Data!CH25</f>
        <v>0</v>
      </c>
      <c r="I26" s="163">
        <f>Data!CI25</f>
        <v>10</v>
      </c>
      <c r="J26" s="163">
        <f>Data!CJ25</f>
        <v>27</v>
      </c>
      <c r="K26" s="163">
        <f>Data!CK25</f>
        <v>27</v>
      </c>
      <c r="L26" s="163">
        <f>Data!CL25</f>
        <v>45</v>
      </c>
      <c r="M26" s="163">
        <f>Data!CM25</f>
        <v>55</v>
      </c>
      <c r="N26" s="163">
        <f>Data!CN25</f>
        <v>52</v>
      </c>
      <c r="O26" s="163">
        <f>Data!CO25</f>
        <v>40</v>
      </c>
      <c r="P26" s="163">
        <f>Data!CP25</f>
        <v>37</v>
      </c>
      <c r="Q26" s="163">
        <f>Data!CQ25</f>
        <v>30</v>
      </c>
      <c r="R26" s="163">
        <f>Data!CR25</f>
        <v>21</v>
      </c>
      <c r="S26" s="163">
        <f>Data!CS25</f>
        <v>25</v>
      </c>
      <c r="T26" s="163">
        <f>Data!CT25</f>
        <v>20</v>
      </c>
      <c r="U26" s="163">
        <f>Data!CU25</f>
        <v>8</v>
      </c>
      <c r="V26" s="163">
        <f t="shared" si="0"/>
        <v>397</v>
      </c>
      <c r="W26" s="64"/>
    </row>
    <row r="27" spans="1:23" ht="12" customHeight="1">
      <c r="A27" s="62"/>
      <c r="B27" s="139" t="str">
        <f>UPPER(LEFT(TRIM(Data!B26),1)) &amp; MID(TRIM(Data!B26),2,50)</f>
        <v>Gimdos kūno</v>
      </c>
      <c r="C27" s="168" t="str">
        <f>Data!C26</f>
        <v>C54, C55</v>
      </c>
      <c r="D27" s="169">
        <f>Data!CD26</f>
        <v>0</v>
      </c>
      <c r="E27" s="169">
        <f>Data!CE26</f>
        <v>0</v>
      </c>
      <c r="F27" s="169">
        <f>Data!CF26</f>
        <v>0</v>
      </c>
      <c r="G27" s="169">
        <f>Data!CG26</f>
        <v>0</v>
      </c>
      <c r="H27" s="169">
        <f>Data!CH26</f>
        <v>0</v>
      </c>
      <c r="I27" s="169">
        <f>Data!CI26</f>
        <v>0</v>
      </c>
      <c r="J27" s="169">
        <f>Data!CJ26</f>
        <v>2</v>
      </c>
      <c r="K27" s="169">
        <f>Data!CK26</f>
        <v>7</v>
      </c>
      <c r="L27" s="169">
        <f>Data!CL26</f>
        <v>13</v>
      </c>
      <c r="M27" s="169">
        <f>Data!CM26</f>
        <v>41</v>
      </c>
      <c r="N27" s="169">
        <f>Data!CN26</f>
        <v>74</v>
      </c>
      <c r="O27" s="169">
        <f>Data!CO26</f>
        <v>89</v>
      </c>
      <c r="P27" s="169">
        <f>Data!CP26</f>
        <v>103</v>
      </c>
      <c r="Q27" s="169">
        <f>Data!CQ26</f>
        <v>84</v>
      </c>
      <c r="R27" s="169">
        <f>Data!CR26</f>
        <v>88</v>
      </c>
      <c r="S27" s="169">
        <f>Data!CS26</f>
        <v>71</v>
      </c>
      <c r="T27" s="169">
        <f>Data!CT26</f>
        <v>47</v>
      </c>
      <c r="U27" s="169">
        <f>Data!CU26</f>
        <v>22</v>
      </c>
      <c r="V27" s="169">
        <f t="shared" si="0"/>
        <v>641</v>
      </c>
      <c r="W27" s="64"/>
    </row>
    <row r="28" spans="1:23" ht="12" customHeight="1">
      <c r="A28" s="62"/>
      <c r="B28" s="144" t="str">
        <f>UPPER(LEFT(TRIM(Data!B27),1)) &amp; MID(TRIM(Data!B27),2,50)</f>
        <v>Kiaušidžių</v>
      </c>
      <c r="C28" s="144" t="str">
        <f>Data!C27</f>
        <v>C56</v>
      </c>
      <c r="D28" s="163">
        <f>Data!CD27</f>
        <v>0</v>
      </c>
      <c r="E28" s="163">
        <f>Data!CE27</f>
        <v>0</v>
      </c>
      <c r="F28" s="163">
        <f>Data!CF27</f>
        <v>0</v>
      </c>
      <c r="G28" s="163">
        <f>Data!CG27</f>
        <v>0</v>
      </c>
      <c r="H28" s="163">
        <f>Data!CH27</f>
        <v>2</v>
      </c>
      <c r="I28" s="163">
        <f>Data!CI27</f>
        <v>4</v>
      </c>
      <c r="J28" s="163">
        <f>Data!CJ27</f>
        <v>4</v>
      </c>
      <c r="K28" s="163">
        <f>Data!CK27</f>
        <v>3</v>
      </c>
      <c r="L28" s="163">
        <f>Data!CL27</f>
        <v>14</v>
      </c>
      <c r="M28" s="163">
        <f>Data!CM27</f>
        <v>29</v>
      </c>
      <c r="N28" s="163">
        <f>Data!CN27</f>
        <v>52</v>
      </c>
      <c r="O28" s="163">
        <f>Data!CO27</f>
        <v>45</v>
      </c>
      <c r="P28" s="163">
        <f>Data!CP27</f>
        <v>38</v>
      </c>
      <c r="Q28" s="163">
        <f>Data!CQ27</f>
        <v>37</v>
      </c>
      <c r="R28" s="163">
        <f>Data!CR27</f>
        <v>31</v>
      </c>
      <c r="S28" s="163">
        <f>Data!CS27</f>
        <v>39</v>
      </c>
      <c r="T28" s="163">
        <f>Data!CT27</f>
        <v>43</v>
      </c>
      <c r="U28" s="163">
        <f>Data!CU27</f>
        <v>22</v>
      </c>
      <c r="V28" s="163">
        <f t="shared" si="0"/>
        <v>363</v>
      </c>
      <c r="W28" s="64"/>
    </row>
    <row r="29" spans="1:23" ht="12" customHeight="1">
      <c r="A29" s="62"/>
      <c r="B29" s="139" t="str">
        <f>UPPER(LEFT(TRIM(Data!B30),1)) &amp; MID(TRIM(Data!B30),2,50)</f>
        <v>Kitų lyties organų</v>
      </c>
      <c r="C29" s="168" t="s">
        <v>417</v>
      </c>
      <c r="D29" s="169">
        <f>Data!CD30</f>
        <v>0</v>
      </c>
      <c r="E29" s="169">
        <f>Data!CE30</f>
        <v>0</v>
      </c>
      <c r="F29" s="169">
        <f>Data!CF30</f>
        <v>0</v>
      </c>
      <c r="G29" s="169">
        <f>Data!CG30</f>
        <v>0</v>
      </c>
      <c r="H29" s="169">
        <f>Data!CH30</f>
        <v>0</v>
      </c>
      <c r="I29" s="169">
        <f>Data!CI30</f>
        <v>0</v>
      </c>
      <c r="J29" s="169">
        <f>Data!CJ30</f>
        <v>0</v>
      </c>
      <c r="K29" s="169">
        <f>Data!CK30</f>
        <v>2</v>
      </c>
      <c r="L29" s="169">
        <f>Data!CL30</f>
        <v>1</v>
      </c>
      <c r="M29" s="169">
        <f>Data!CM30</f>
        <v>2</v>
      </c>
      <c r="N29" s="169">
        <f>Data!CN30</f>
        <v>5</v>
      </c>
      <c r="O29" s="169">
        <f>Data!CO30</f>
        <v>3</v>
      </c>
      <c r="P29" s="169">
        <f>Data!CP30</f>
        <v>3</v>
      </c>
      <c r="Q29" s="169">
        <f>Data!CQ30</f>
        <v>1</v>
      </c>
      <c r="R29" s="169">
        <f>Data!CR30</f>
        <v>7</v>
      </c>
      <c r="S29" s="169">
        <f>Data!CS30</f>
        <v>3</v>
      </c>
      <c r="T29" s="169">
        <f>Data!CT30</f>
        <v>2</v>
      </c>
      <c r="U29" s="169">
        <f>Data!CU30</f>
        <v>2</v>
      </c>
      <c r="V29" s="169">
        <f t="shared" si="0"/>
        <v>31</v>
      </c>
      <c r="W29" s="64"/>
    </row>
    <row r="30" spans="1:23" ht="12" customHeight="1">
      <c r="A30" s="62"/>
      <c r="B30" s="144" t="str">
        <f>UPPER(LEFT(TRIM(Data!B31),1)) &amp; MID(TRIM(Data!B31),2,50)</f>
        <v>Inkstų</v>
      </c>
      <c r="C30" s="144" t="str">
        <f>Data!C31</f>
        <v>C64</v>
      </c>
      <c r="D30" s="163">
        <f>Data!CD31</f>
        <v>2</v>
      </c>
      <c r="E30" s="163">
        <f>Data!CE31</f>
        <v>1</v>
      </c>
      <c r="F30" s="163">
        <f>Data!CF31</f>
        <v>0</v>
      </c>
      <c r="G30" s="163">
        <f>Data!CG31</f>
        <v>0</v>
      </c>
      <c r="H30" s="163">
        <f>Data!CH31</f>
        <v>1</v>
      </c>
      <c r="I30" s="163">
        <f>Data!CI31</f>
        <v>1</v>
      </c>
      <c r="J30" s="163">
        <f>Data!CJ31</f>
        <v>1</v>
      </c>
      <c r="K30" s="163">
        <f>Data!CK31</f>
        <v>1</v>
      </c>
      <c r="L30" s="163">
        <f>Data!CL31</f>
        <v>6</v>
      </c>
      <c r="M30" s="163">
        <f>Data!CM31</f>
        <v>8</v>
      </c>
      <c r="N30" s="163">
        <f>Data!CN31</f>
        <v>20</v>
      </c>
      <c r="O30" s="163">
        <f>Data!CO31</f>
        <v>24</v>
      </c>
      <c r="P30" s="163">
        <f>Data!CP31</f>
        <v>36</v>
      </c>
      <c r="Q30" s="163">
        <f>Data!CQ31</f>
        <v>39</v>
      </c>
      <c r="R30" s="163">
        <f>Data!CR31</f>
        <v>45</v>
      </c>
      <c r="S30" s="163">
        <f>Data!CS31</f>
        <v>39</v>
      </c>
      <c r="T30" s="163">
        <f>Data!CT31</f>
        <v>27</v>
      </c>
      <c r="U30" s="163">
        <f>Data!CU31</f>
        <v>17</v>
      </c>
      <c r="V30" s="163">
        <f t="shared" si="0"/>
        <v>268</v>
      </c>
      <c r="W30" s="64"/>
    </row>
    <row r="31" spans="1:23" ht="12" customHeight="1">
      <c r="A31" s="62"/>
      <c r="B31" s="139" t="str">
        <f>UPPER(LEFT(TRIM(Data!B32),1)) &amp; MID(TRIM(Data!B32),2,50)</f>
        <v>Šlapimo pūslės</v>
      </c>
      <c r="C31" s="168" t="str">
        <f>Data!C32</f>
        <v>C67</v>
      </c>
      <c r="D31" s="169">
        <f>Data!CD32</f>
        <v>1</v>
      </c>
      <c r="E31" s="169">
        <f>Data!CE32</f>
        <v>0</v>
      </c>
      <c r="F31" s="169">
        <f>Data!CF32</f>
        <v>0</v>
      </c>
      <c r="G31" s="169">
        <f>Data!CG32</f>
        <v>0</v>
      </c>
      <c r="H31" s="169">
        <f>Data!CH32</f>
        <v>0</v>
      </c>
      <c r="I31" s="169">
        <f>Data!CI32</f>
        <v>0</v>
      </c>
      <c r="J31" s="169">
        <f>Data!CJ32</f>
        <v>0</v>
      </c>
      <c r="K31" s="169">
        <f>Data!CK32</f>
        <v>0</v>
      </c>
      <c r="L31" s="169">
        <f>Data!CL32</f>
        <v>0</v>
      </c>
      <c r="M31" s="169">
        <f>Data!CM32</f>
        <v>1</v>
      </c>
      <c r="N31" s="169">
        <f>Data!CN32</f>
        <v>2</v>
      </c>
      <c r="O31" s="169">
        <f>Data!CO32</f>
        <v>6</v>
      </c>
      <c r="P31" s="169">
        <f>Data!CP32</f>
        <v>10</v>
      </c>
      <c r="Q31" s="169">
        <f>Data!CQ32</f>
        <v>8</v>
      </c>
      <c r="R31" s="169">
        <f>Data!CR32</f>
        <v>9</v>
      </c>
      <c r="S31" s="169">
        <f>Data!CS32</f>
        <v>14</v>
      </c>
      <c r="T31" s="169">
        <f>Data!CT32</f>
        <v>17</v>
      </c>
      <c r="U31" s="169">
        <f>Data!CU32</f>
        <v>13</v>
      </c>
      <c r="V31" s="169">
        <f t="shared" si="0"/>
        <v>81</v>
      </c>
      <c r="W31" s="64"/>
    </row>
    <row r="32" spans="1:23" ht="12" customHeight="1">
      <c r="A32" s="62"/>
      <c r="B32" s="144" t="str">
        <f>UPPER(LEFT(TRIM(Data!B33),1)) &amp; MID(TRIM(Data!B33),2,50)</f>
        <v>Kitų šlapimą išskiriančių organų</v>
      </c>
      <c r="C32" s="144" t="str">
        <f>Data!C33</f>
        <v>C65, C66, C68</v>
      </c>
      <c r="D32" s="163">
        <f>Data!CD33</f>
        <v>0</v>
      </c>
      <c r="E32" s="163">
        <f>Data!CE33</f>
        <v>0</v>
      </c>
      <c r="F32" s="163">
        <f>Data!CF33</f>
        <v>0</v>
      </c>
      <c r="G32" s="163">
        <f>Data!CG33</f>
        <v>0</v>
      </c>
      <c r="H32" s="163">
        <f>Data!CH33</f>
        <v>0</v>
      </c>
      <c r="I32" s="163">
        <f>Data!CI33</f>
        <v>0</v>
      </c>
      <c r="J32" s="163">
        <f>Data!CJ33</f>
        <v>0</v>
      </c>
      <c r="K32" s="163">
        <f>Data!CK33</f>
        <v>0</v>
      </c>
      <c r="L32" s="163">
        <f>Data!CL33</f>
        <v>0</v>
      </c>
      <c r="M32" s="163">
        <f>Data!CM33</f>
        <v>0</v>
      </c>
      <c r="N32" s="163">
        <f>Data!CN33</f>
        <v>0</v>
      </c>
      <c r="O32" s="163">
        <f>Data!CO33</f>
        <v>0</v>
      </c>
      <c r="P32" s="163">
        <f>Data!CP33</f>
        <v>0</v>
      </c>
      <c r="Q32" s="163">
        <f>Data!CQ33</f>
        <v>2</v>
      </c>
      <c r="R32" s="163">
        <f>Data!CR33</f>
        <v>1</v>
      </c>
      <c r="S32" s="163">
        <f>Data!CS33</f>
        <v>1</v>
      </c>
      <c r="T32" s="163">
        <f>Data!CT33</f>
        <v>1</v>
      </c>
      <c r="U32" s="163">
        <f>Data!CU33</f>
        <v>1</v>
      </c>
      <c r="V32" s="163">
        <f t="shared" si="0"/>
        <v>6</v>
      </c>
      <c r="W32" s="64"/>
    </row>
    <row r="33" spans="1:23" ht="12" customHeight="1">
      <c r="A33" s="62"/>
      <c r="B33" s="139" t="str">
        <f>UPPER(LEFT(TRIM(Data!B34),1)) &amp; MID(TRIM(Data!B34),2,50)</f>
        <v>Akių</v>
      </c>
      <c r="C33" s="168" t="str">
        <f>Data!C34</f>
        <v>C69</v>
      </c>
      <c r="D33" s="169">
        <f>Data!CD34</f>
        <v>0</v>
      </c>
      <c r="E33" s="169">
        <f>Data!CE34</f>
        <v>0</v>
      </c>
      <c r="F33" s="169">
        <f>Data!CF34</f>
        <v>0</v>
      </c>
      <c r="G33" s="169">
        <f>Data!CG34</f>
        <v>0</v>
      </c>
      <c r="H33" s="169">
        <f>Data!CH34</f>
        <v>0</v>
      </c>
      <c r="I33" s="169">
        <f>Data!CI34</f>
        <v>0</v>
      </c>
      <c r="J33" s="169">
        <f>Data!CJ34</f>
        <v>0</v>
      </c>
      <c r="K33" s="169">
        <f>Data!CK34</f>
        <v>0</v>
      </c>
      <c r="L33" s="169">
        <f>Data!CL34</f>
        <v>1</v>
      </c>
      <c r="M33" s="169">
        <f>Data!CM34</f>
        <v>0</v>
      </c>
      <c r="N33" s="169">
        <f>Data!CN34</f>
        <v>1</v>
      </c>
      <c r="O33" s="169">
        <f>Data!CO34</f>
        <v>3</v>
      </c>
      <c r="P33" s="169">
        <f>Data!CP34</f>
        <v>3</v>
      </c>
      <c r="Q33" s="169">
        <f>Data!CQ34</f>
        <v>2</v>
      </c>
      <c r="R33" s="169">
        <f>Data!CR34</f>
        <v>3</v>
      </c>
      <c r="S33" s="169">
        <f>Data!CS34</f>
        <v>0</v>
      </c>
      <c r="T33" s="169">
        <f>Data!CT34</f>
        <v>1</v>
      </c>
      <c r="U33" s="169">
        <f>Data!CU34</f>
        <v>2</v>
      </c>
      <c r="V33" s="169">
        <f t="shared" si="0"/>
        <v>16</v>
      </c>
      <c r="W33" s="64"/>
    </row>
    <row r="34" spans="1:23" ht="12" customHeight="1">
      <c r="A34" s="62"/>
      <c r="B34" s="144" t="str">
        <f>UPPER(LEFT(TRIM(Data!B35),1)) &amp; MID(TRIM(Data!B35),2,50)</f>
        <v>Smegenų</v>
      </c>
      <c r="C34" s="144" t="str">
        <f>Data!C35</f>
        <v>C70-C72</v>
      </c>
      <c r="D34" s="163">
        <f>Data!CD35</f>
        <v>3</v>
      </c>
      <c r="E34" s="163">
        <f>Data!CE35</f>
        <v>2</v>
      </c>
      <c r="F34" s="163">
        <f>Data!CF35</f>
        <v>1</v>
      </c>
      <c r="G34" s="163">
        <f>Data!CG35</f>
        <v>1</v>
      </c>
      <c r="H34" s="163">
        <f>Data!CH35</f>
        <v>2</v>
      </c>
      <c r="I34" s="163">
        <f>Data!CI35</f>
        <v>5</v>
      </c>
      <c r="J34" s="163">
        <f>Data!CJ35</f>
        <v>4</v>
      </c>
      <c r="K34" s="163">
        <f>Data!CK35</f>
        <v>2</v>
      </c>
      <c r="L34" s="163">
        <f>Data!CL35</f>
        <v>3</v>
      </c>
      <c r="M34" s="163">
        <f>Data!CM35</f>
        <v>6</v>
      </c>
      <c r="N34" s="163">
        <f>Data!CN35</f>
        <v>14</v>
      </c>
      <c r="O34" s="163">
        <f>Data!CO35</f>
        <v>15</v>
      </c>
      <c r="P34" s="163">
        <f>Data!CP35</f>
        <v>13</v>
      </c>
      <c r="Q34" s="163">
        <f>Data!CQ35</f>
        <v>10</v>
      </c>
      <c r="R34" s="163">
        <f>Data!CR35</f>
        <v>28</v>
      </c>
      <c r="S34" s="163">
        <f>Data!CS35</f>
        <v>18</v>
      </c>
      <c r="T34" s="163">
        <f>Data!CT35</f>
        <v>16</v>
      </c>
      <c r="U34" s="163">
        <f>Data!CU35</f>
        <v>14</v>
      </c>
      <c r="V34" s="163">
        <f t="shared" si="0"/>
        <v>157</v>
      </c>
      <c r="W34" s="64"/>
    </row>
    <row r="35" spans="1:23" ht="12" customHeight="1">
      <c r="A35" s="62"/>
      <c r="B35" s="139" t="str">
        <f>UPPER(LEFT(TRIM(Data!B36),1)) &amp; MID(TRIM(Data!B36),2,50)</f>
        <v>Skydliaukės</v>
      </c>
      <c r="C35" s="168" t="str">
        <f>Data!C36</f>
        <v>C73</v>
      </c>
      <c r="D35" s="169">
        <f>Data!CD36</f>
        <v>0</v>
      </c>
      <c r="E35" s="169">
        <f>Data!CE36</f>
        <v>0</v>
      </c>
      <c r="F35" s="169">
        <f>Data!CF36</f>
        <v>0</v>
      </c>
      <c r="G35" s="169">
        <f>Data!CG36</f>
        <v>1</v>
      </c>
      <c r="H35" s="169">
        <f>Data!CH36</f>
        <v>6</v>
      </c>
      <c r="I35" s="169">
        <f>Data!CI36</f>
        <v>7</v>
      </c>
      <c r="J35" s="169">
        <f>Data!CJ36</f>
        <v>23</v>
      </c>
      <c r="K35" s="169">
        <f>Data!CK36</f>
        <v>18</v>
      </c>
      <c r="L35" s="169">
        <f>Data!CL36</f>
        <v>21</v>
      </c>
      <c r="M35" s="169">
        <f>Data!CM36</f>
        <v>33</v>
      </c>
      <c r="N35" s="169">
        <f>Data!CN36</f>
        <v>27</v>
      </c>
      <c r="O35" s="169">
        <f>Data!CO36</f>
        <v>36</v>
      </c>
      <c r="P35" s="169">
        <f>Data!CP36</f>
        <v>37</v>
      </c>
      <c r="Q35" s="169">
        <f>Data!CQ36</f>
        <v>37</v>
      </c>
      <c r="R35" s="169">
        <f>Data!CR36</f>
        <v>30</v>
      </c>
      <c r="S35" s="169">
        <f>Data!CS36</f>
        <v>8</v>
      </c>
      <c r="T35" s="169">
        <f>Data!CT36</f>
        <v>5</v>
      </c>
      <c r="U35" s="169">
        <f>Data!CU36</f>
        <v>6</v>
      </c>
      <c r="V35" s="169">
        <f t="shared" si="0"/>
        <v>295</v>
      </c>
      <c r="W35" s="64"/>
    </row>
    <row r="36" spans="1:23" ht="12" customHeight="1">
      <c r="A36" s="62"/>
      <c r="B36" s="144" t="str">
        <f>UPPER(LEFT(TRIM(Data!B37),1)) &amp; MID(TRIM(Data!B37),2,50)</f>
        <v>Kitų endokrininių liaukų</v>
      </c>
      <c r="C36" s="144" t="str">
        <f>Data!C37</f>
        <v>C74-C75</v>
      </c>
      <c r="D36" s="163">
        <f>Data!CD37</f>
        <v>1</v>
      </c>
      <c r="E36" s="163">
        <f>Data!CE37</f>
        <v>0</v>
      </c>
      <c r="F36" s="163">
        <f>Data!CF37</f>
        <v>0</v>
      </c>
      <c r="G36" s="163">
        <f>Data!CG37</f>
        <v>0</v>
      </c>
      <c r="H36" s="163">
        <f>Data!CH37</f>
        <v>0</v>
      </c>
      <c r="I36" s="163">
        <f>Data!CI37</f>
        <v>0</v>
      </c>
      <c r="J36" s="163">
        <f>Data!CJ37</f>
        <v>0</v>
      </c>
      <c r="K36" s="163">
        <f>Data!CK37</f>
        <v>0</v>
      </c>
      <c r="L36" s="163">
        <f>Data!CL37</f>
        <v>0</v>
      </c>
      <c r="M36" s="163">
        <f>Data!CM37</f>
        <v>0</v>
      </c>
      <c r="N36" s="163">
        <f>Data!CN37</f>
        <v>1</v>
      </c>
      <c r="O36" s="163">
        <f>Data!CO37</f>
        <v>0</v>
      </c>
      <c r="P36" s="163">
        <f>Data!CP37</f>
        <v>0</v>
      </c>
      <c r="Q36" s="163">
        <f>Data!CQ37</f>
        <v>3</v>
      </c>
      <c r="R36" s="163">
        <f>Data!CR37</f>
        <v>5</v>
      </c>
      <c r="S36" s="163">
        <f>Data!CS37</f>
        <v>2</v>
      </c>
      <c r="T36" s="163">
        <f>Data!CT37</f>
        <v>0</v>
      </c>
      <c r="U36" s="163">
        <f>Data!CU37</f>
        <v>1</v>
      </c>
      <c r="V36" s="163">
        <f t="shared" si="0"/>
        <v>13</v>
      </c>
      <c r="W36" s="64"/>
    </row>
    <row r="37" spans="1:23" ht="12" customHeight="1">
      <c r="A37" s="62"/>
      <c r="B37" s="139" t="str">
        <f>UPPER(LEFT(TRIM(Data!B38),1)) &amp; MID(TRIM(Data!B38),2,50)</f>
        <v>Nepatikslintos lokalizacijos</v>
      </c>
      <c r="C37" s="168" t="str">
        <f>Data!C38</f>
        <v>C76-C80</v>
      </c>
      <c r="D37" s="169">
        <f>Data!CD38</f>
        <v>0</v>
      </c>
      <c r="E37" s="169">
        <f>Data!CE38</f>
        <v>0</v>
      </c>
      <c r="F37" s="169">
        <f>Data!CF38</f>
        <v>0</v>
      </c>
      <c r="G37" s="169">
        <f>Data!CG38</f>
        <v>0</v>
      </c>
      <c r="H37" s="169">
        <f>Data!CH38</f>
        <v>0</v>
      </c>
      <c r="I37" s="169">
        <f>Data!CI38</f>
        <v>1</v>
      </c>
      <c r="J37" s="169">
        <f>Data!CJ38</f>
        <v>0</v>
      </c>
      <c r="K37" s="169">
        <f>Data!CK38</f>
        <v>1</v>
      </c>
      <c r="L37" s="169">
        <f>Data!CL38</f>
        <v>5</v>
      </c>
      <c r="M37" s="169">
        <f>Data!CM38</f>
        <v>5</v>
      </c>
      <c r="N37" s="169">
        <f>Data!CN38</f>
        <v>12</v>
      </c>
      <c r="O37" s="169">
        <f>Data!CO38</f>
        <v>13</v>
      </c>
      <c r="P37" s="169">
        <f>Data!CP38</f>
        <v>15</v>
      </c>
      <c r="Q37" s="169">
        <f>Data!CQ38</f>
        <v>25</v>
      </c>
      <c r="R37" s="169">
        <f>Data!CR38</f>
        <v>32</v>
      </c>
      <c r="S37" s="169">
        <f>Data!CS38</f>
        <v>37</v>
      </c>
      <c r="T37" s="169">
        <f>Data!CT38</f>
        <v>44</v>
      </c>
      <c r="U37" s="169">
        <f>Data!CU38</f>
        <v>50</v>
      </c>
      <c r="V37" s="169">
        <f t="shared" si="0"/>
        <v>240</v>
      </c>
      <c r="W37" s="64"/>
    </row>
    <row r="38" spans="1:23" ht="12" customHeight="1">
      <c r="A38" s="62"/>
      <c r="B38" s="144" t="str">
        <f>UPPER(LEFT(TRIM(Data!B39),1)) &amp; MID(TRIM(Data!B39),2,50)</f>
        <v>Hodžkino limfomos</v>
      </c>
      <c r="C38" s="144" t="str">
        <f>Data!C39</f>
        <v>C81</v>
      </c>
      <c r="D38" s="163">
        <f>Data!CD39</f>
        <v>0</v>
      </c>
      <c r="E38" s="163">
        <f>Data!CE39</f>
        <v>0</v>
      </c>
      <c r="F38" s="163">
        <f>Data!CF39</f>
        <v>2</v>
      </c>
      <c r="G38" s="163">
        <f>Data!CG39</f>
        <v>0</v>
      </c>
      <c r="H38" s="163">
        <f>Data!CH39</f>
        <v>5</v>
      </c>
      <c r="I38" s="163">
        <f>Data!CI39</f>
        <v>3</v>
      </c>
      <c r="J38" s="163">
        <f>Data!CJ39</f>
        <v>3</v>
      </c>
      <c r="K38" s="163">
        <f>Data!CK39</f>
        <v>4</v>
      </c>
      <c r="L38" s="163">
        <f>Data!CL39</f>
        <v>0</v>
      </c>
      <c r="M38" s="163">
        <f>Data!CM39</f>
        <v>1</v>
      </c>
      <c r="N38" s="163">
        <f>Data!CN39</f>
        <v>1</v>
      </c>
      <c r="O38" s="163">
        <f>Data!CO39</f>
        <v>1</v>
      </c>
      <c r="P38" s="163">
        <f>Data!CP39</f>
        <v>0</v>
      </c>
      <c r="Q38" s="163">
        <f>Data!CQ39</f>
        <v>1</v>
      </c>
      <c r="R38" s="163">
        <f>Data!CR39</f>
        <v>4</v>
      </c>
      <c r="S38" s="163">
        <f>Data!CS39</f>
        <v>0</v>
      </c>
      <c r="T38" s="163">
        <f>Data!CT39</f>
        <v>2</v>
      </c>
      <c r="U38" s="163">
        <f>Data!CU39</f>
        <v>1</v>
      </c>
      <c r="V38" s="163">
        <f t="shared" si="0"/>
        <v>28</v>
      </c>
      <c r="W38" s="64"/>
    </row>
    <row r="39" spans="1:23" ht="12" customHeight="1">
      <c r="A39" s="62"/>
      <c r="B39" s="139" t="str">
        <f>UPPER(LEFT(TRIM(Data!B40),1)) &amp; MID(TRIM(Data!B40),2,50)</f>
        <v>Ne Hodžkino limfomos</v>
      </c>
      <c r="C39" s="168" t="str">
        <f>Data!C40</f>
        <v>C82-C85</v>
      </c>
      <c r="D39" s="169">
        <f>Data!CD40</f>
        <v>0</v>
      </c>
      <c r="E39" s="169">
        <f>Data!CE40</f>
        <v>0</v>
      </c>
      <c r="F39" s="169">
        <f>Data!CF40</f>
        <v>0</v>
      </c>
      <c r="G39" s="169">
        <f>Data!CG40</f>
        <v>2</v>
      </c>
      <c r="H39" s="169">
        <f>Data!CH40</f>
        <v>0</v>
      </c>
      <c r="I39" s="169">
        <f>Data!CI40</f>
        <v>5</v>
      </c>
      <c r="J39" s="169">
        <f>Data!CJ40</f>
        <v>3</v>
      </c>
      <c r="K39" s="169">
        <f>Data!CK40</f>
        <v>6</v>
      </c>
      <c r="L39" s="169">
        <f>Data!CL40</f>
        <v>10</v>
      </c>
      <c r="M39" s="169">
        <f>Data!CM40</f>
        <v>9</v>
      </c>
      <c r="N39" s="169">
        <f>Data!CN40</f>
        <v>6</v>
      </c>
      <c r="O39" s="169">
        <f>Data!CO40</f>
        <v>13</v>
      </c>
      <c r="P39" s="169">
        <f>Data!CP40</f>
        <v>17</v>
      </c>
      <c r="Q39" s="169">
        <f>Data!CQ40</f>
        <v>23</v>
      </c>
      <c r="R39" s="169">
        <f>Data!CR40</f>
        <v>24</v>
      </c>
      <c r="S39" s="169">
        <f>Data!CS40</f>
        <v>28</v>
      </c>
      <c r="T39" s="169">
        <f>Data!CT40</f>
        <v>21</v>
      </c>
      <c r="U39" s="169">
        <f>Data!CU40</f>
        <v>23</v>
      </c>
      <c r="V39" s="169">
        <f t="shared" si="0"/>
        <v>190</v>
      </c>
      <c r="W39" s="64"/>
    </row>
    <row r="40" spans="1:23" ht="12" customHeight="1">
      <c r="A40" s="62"/>
      <c r="B40" s="144" t="str">
        <f>UPPER(LEFT(TRIM(Data!B41),1)) &amp; MID(TRIM(Data!B41),2,50)</f>
        <v>Mielominės ligos</v>
      </c>
      <c r="C40" s="144" t="str">
        <f>Data!C41</f>
        <v>C90</v>
      </c>
      <c r="D40" s="163">
        <f>Data!CD41</f>
        <v>0</v>
      </c>
      <c r="E40" s="163">
        <f>Data!CE41</f>
        <v>0</v>
      </c>
      <c r="F40" s="163">
        <f>Data!CF41</f>
        <v>0</v>
      </c>
      <c r="G40" s="163">
        <f>Data!CG41</f>
        <v>0</v>
      </c>
      <c r="H40" s="163">
        <f>Data!CH41</f>
        <v>0</v>
      </c>
      <c r="I40" s="163">
        <f>Data!CI41</f>
        <v>0</v>
      </c>
      <c r="J40" s="163">
        <f>Data!CJ41</f>
        <v>0</v>
      </c>
      <c r="K40" s="163">
        <f>Data!CK41</f>
        <v>1</v>
      </c>
      <c r="L40" s="163">
        <f>Data!CL41</f>
        <v>1</v>
      </c>
      <c r="M40" s="163">
        <f>Data!CM41</f>
        <v>0</v>
      </c>
      <c r="N40" s="163">
        <f>Data!CN41</f>
        <v>5</v>
      </c>
      <c r="O40" s="163">
        <f>Data!CO41</f>
        <v>5</v>
      </c>
      <c r="P40" s="163">
        <f>Data!CP41</f>
        <v>6</v>
      </c>
      <c r="Q40" s="163">
        <f>Data!CQ41</f>
        <v>13</v>
      </c>
      <c r="R40" s="163">
        <f>Data!CR41</f>
        <v>12</v>
      </c>
      <c r="S40" s="163">
        <f>Data!CS41</f>
        <v>15</v>
      </c>
      <c r="T40" s="163">
        <f>Data!CT41</f>
        <v>20</v>
      </c>
      <c r="U40" s="163">
        <f>Data!CU41</f>
        <v>6</v>
      </c>
      <c r="V40" s="163">
        <f t="shared" si="0"/>
        <v>84</v>
      </c>
      <c r="W40" s="64"/>
    </row>
    <row r="41" spans="1:23" ht="12" customHeight="1">
      <c r="A41" s="62"/>
      <c r="B41" s="139" t="str">
        <f>UPPER(LEFT(TRIM(Data!B42),1)) &amp; MID(TRIM(Data!B42),2,50)</f>
        <v>Leukemijos</v>
      </c>
      <c r="C41" s="168" t="str">
        <f>Data!C42</f>
        <v>C91-C95</v>
      </c>
      <c r="D41" s="169">
        <f>Data!CD42</f>
        <v>4</v>
      </c>
      <c r="E41" s="169">
        <f>Data!CE42</f>
        <v>2</v>
      </c>
      <c r="F41" s="169">
        <f>Data!CF42</f>
        <v>3</v>
      </c>
      <c r="G41" s="169">
        <f>Data!CG42</f>
        <v>2</v>
      </c>
      <c r="H41" s="169">
        <f>Data!CH42</f>
        <v>0</v>
      </c>
      <c r="I41" s="169">
        <f>Data!CI42</f>
        <v>1</v>
      </c>
      <c r="J41" s="169">
        <f>Data!CJ42</f>
        <v>1</v>
      </c>
      <c r="K41" s="169">
        <f>Data!CK42</f>
        <v>1</v>
      </c>
      <c r="L41" s="169">
        <f>Data!CL42</f>
        <v>4</v>
      </c>
      <c r="M41" s="169">
        <f>Data!CM42</f>
        <v>11</v>
      </c>
      <c r="N41" s="169">
        <f>Data!CN42</f>
        <v>7</v>
      </c>
      <c r="O41" s="169">
        <f>Data!CO42</f>
        <v>14</v>
      </c>
      <c r="P41" s="169">
        <f>Data!CP42</f>
        <v>23</v>
      </c>
      <c r="Q41" s="169">
        <f>Data!CQ42</f>
        <v>21</v>
      </c>
      <c r="R41" s="169">
        <f>Data!CR42</f>
        <v>31</v>
      </c>
      <c r="S41" s="169">
        <f>Data!CS42</f>
        <v>36</v>
      </c>
      <c r="T41" s="169">
        <f>Data!CT42</f>
        <v>35</v>
      </c>
      <c r="U41" s="169">
        <f>Data!CU42</f>
        <v>24</v>
      </c>
      <c r="V41" s="169">
        <f t="shared" si="0"/>
        <v>220</v>
      </c>
      <c r="W41" s="64"/>
    </row>
    <row r="42" spans="1:23" ht="12" customHeight="1">
      <c r="A42" s="62"/>
      <c r="B42" s="144" t="str">
        <f>UPPER(LEFT(TRIM(Data!B43),1)) &amp; MID(TRIM(Data!B43),2,50)</f>
        <v>Kiti limfinio, kraujodaros audinių</v>
      </c>
      <c r="C42" s="144" t="str">
        <f>Data!C43</f>
        <v>C88, C96</v>
      </c>
      <c r="D42" s="163">
        <f>Data!CD43</f>
        <v>0</v>
      </c>
      <c r="E42" s="163">
        <f>Data!CE43</f>
        <v>0</v>
      </c>
      <c r="F42" s="163">
        <f>Data!CF43</f>
        <v>0</v>
      </c>
      <c r="G42" s="163">
        <f>Data!CG43</f>
        <v>0</v>
      </c>
      <c r="H42" s="163">
        <f>Data!CH43</f>
        <v>1</v>
      </c>
      <c r="I42" s="163">
        <f>Data!CI43</f>
        <v>0</v>
      </c>
      <c r="J42" s="163">
        <f>Data!CJ43</f>
        <v>0</v>
      </c>
      <c r="K42" s="163">
        <f>Data!CK43</f>
        <v>0</v>
      </c>
      <c r="L42" s="163">
        <f>Data!CL43</f>
        <v>0</v>
      </c>
      <c r="M42" s="163">
        <f>Data!CM43</f>
        <v>1</v>
      </c>
      <c r="N42" s="163">
        <f>Data!CN43</f>
        <v>0</v>
      </c>
      <c r="O42" s="163">
        <f>Data!CO43</f>
        <v>0</v>
      </c>
      <c r="P42" s="163">
        <f>Data!CP43</f>
        <v>0</v>
      </c>
      <c r="Q42" s="163">
        <f>Data!CQ43</f>
        <v>1</v>
      </c>
      <c r="R42" s="163">
        <f>Data!CR43</f>
        <v>0</v>
      </c>
      <c r="S42" s="163">
        <f>Data!CS43</f>
        <v>2</v>
      </c>
      <c r="T42" s="163">
        <f>Data!CT43</f>
        <v>0</v>
      </c>
      <c r="U42" s="163">
        <f>Data!CU43</f>
        <v>0</v>
      </c>
      <c r="V42" s="163">
        <f t="shared" si="0"/>
        <v>5</v>
      </c>
      <c r="W42" s="64"/>
    </row>
    <row r="43" spans="1:23" ht="24" customHeight="1">
      <c r="A43" s="62"/>
      <c r="B43" s="143"/>
      <c r="C43" s="170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64"/>
    </row>
    <row r="44" spans="1:23" ht="12" customHeight="1">
      <c r="A44" s="62"/>
      <c r="B44" s="144" t="str">
        <f>UPPER(LEFT(TRIM(Data!B44),1)) &amp; MID(TRIM(Data!B44),2,50)</f>
        <v>Melanoma in situ</v>
      </c>
      <c r="C44" s="144" t="str">
        <f>Data!C44</f>
        <v>D03</v>
      </c>
      <c r="D44" s="163">
        <f>Data!CD44</f>
        <v>0</v>
      </c>
      <c r="E44" s="163">
        <f>Data!CE44</f>
        <v>0</v>
      </c>
      <c r="F44" s="163">
        <f>Data!CF44</f>
        <v>0</v>
      </c>
      <c r="G44" s="163">
        <f>Data!CG44</f>
        <v>0</v>
      </c>
      <c r="H44" s="163">
        <f>Data!CH44</f>
        <v>0</v>
      </c>
      <c r="I44" s="163">
        <f>Data!CI44</f>
        <v>1</v>
      </c>
      <c r="J44" s="163">
        <f>Data!CJ44</f>
        <v>0</v>
      </c>
      <c r="K44" s="163">
        <f>Data!CK44</f>
        <v>1</v>
      </c>
      <c r="L44" s="163">
        <f>Data!CL44</f>
        <v>1</v>
      </c>
      <c r="M44" s="163">
        <f>Data!CM44</f>
        <v>2</v>
      </c>
      <c r="N44" s="163">
        <f>Data!CN44</f>
        <v>1</v>
      </c>
      <c r="O44" s="163">
        <f>Data!CO44</f>
        <v>4</v>
      </c>
      <c r="P44" s="163">
        <f>Data!CP44</f>
        <v>4</v>
      </c>
      <c r="Q44" s="163">
        <f>Data!CQ44</f>
        <v>4</v>
      </c>
      <c r="R44" s="163">
        <f>Data!CR44</f>
        <v>4</v>
      </c>
      <c r="S44" s="163">
        <f>Data!CS44</f>
        <v>3</v>
      </c>
      <c r="T44" s="163">
        <f>Data!CT44</f>
        <v>2</v>
      </c>
      <c r="U44" s="163">
        <f>Data!CU44</f>
        <v>1</v>
      </c>
      <c r="V44" s="163">
        <f t="shared" si="0"/>
        <v>28</v>
      </c>
      <c r="W44" s="64"/>
    </row>
    <row r="45" spans="1:23" ht="12" customHeight="1">
      <c r="A45" s="62"/>
      <c r="B45" s="139" t="str">
        <f>UPPER(LEFT(TRIM(Data!B45),1)) &amp; MID(TRIM(Data!B45),2,50)</f>
        <v>Krūties navikai in situ</v>
      </c>
      <c r="C45" s="168" t="str">
        <f>Data!C45</f>
        <v>D05</v>
      </c>
      <c r="D45" s="169">
        <f>Data!CD45</f>
        <v>0</v>
      </c>
      <c r="E45" s="169">
        <f>Data!CE45</f>
        <v>0</v>
      </c>
      <c r="F45" s="169">
        <f>Data!CF45</f>
        <v>0</v>
      </c>
      <c r="G45" s="169">
        <f>Data!CG45</f>
        <v>0</v>
      </c>
      <c r="H45" s="169">
        <f>Data!CH45</f>
        <v>0</v>
      </c>
      <c r="I45" s="169">
        <f>Data!CI45</f>
        <v>0</v>
      </c>
      <c r="J45" s="169">
        <f>Data!CJ45</f>
        <v>0</v>
      </c>
      <c r="K45" s="169">
        <f>Data!CK45</f>
        <v>5</v>
      </c>
      <c r="L45" s="169">
        <f>Data!CL45</f>
        <v>4</v>
      </c>
      <c r="M45" s="169">
        <f>Data!CM45</f>
        <v>15</v>
      </c>
      <c r="N45" s="169">
        <f>Data!CN45</f>
        <v>25</v>
      </c>
      <c r="O45" s="169">
        <f>Data!CO45</f>
        <v>6</v>
      </c>
      <c r="P45" s="169">
        <f>Data!CP45</f>
        <v>13</v>
      </c>
      <c r="Q45" s="169">
        <f>Data!CQ45</f>
        <v>10</v>
      </c>
      <c r="R45" s="169">
        <f>Data!CR45</f>
        <v>10</v>
      </c>
      <c r="S45" s="169">
        <f>Data!CS45</f>
        <v>4</v>
      </c>
      <c r="T45" s="169">
        <f>Data!CT45</f>
        <v>2</v>
      </c>
      <c r="U45" s="169">
        <f>Data!CU45</f>
        <v>3</v>
      </c>
      <c r="V45" s="169">
        <f t="shared" si="0"/>
        <v>97</v>
      </c>
      <c r="W45" s="64"/>
    </row>
    <row r="46" spans="1:23" ht="12" customHeight="1">
      <c r="A46" s="62"/>
      <c r="B46" s="144" t="str">
        <f>UPPER(LEFT(TRIM(Data!B46),1)) &amp; MID(TRIM(Data!B46),2,50)</f>
        <v>Gimdos kaklelio in situ</v>
      </c>
      <c r="C46" s="144" t="str">
        <f>Data!C46</f>
        <v>D06</v>
      </c>
      <c r="D46" s="163">
        <f>Data!CD46</f>
        <v>0</v>
      </c>
      <c r="E46" s="163">
        <f>Data!CE46</f>
        <v>0</v>
      </c>
      <c r="F46" s="163">
        <f>Data!CF46</f>
        <v>0</v>
      </c>
      <c r="G46" s="163">
        <f>Data!CG46</f>
        <v>0</v>
      </c>
      <c r="H46" s="163">
        <f>Data!CH46</f>
        <v>8</v>
      </c>
      <c r="I46" s="163">
        <f>Data!CI46</f>
        <v>172</v>
      </c>
      <c r="J46" s="163">
        <f>Data!CJ46</f>
        <v>187</v>
      </c>
      <c r="K46" s="163">
        <f>Data!CK46</f>
        <v>121</v>
      </c>
      <c r="L46" s="163">
        <f>Data!CL46</f>
        <v>102</v>
      </c>
      <c r="M46" s="163">
        <f>Data!CM46</f>
        <v>59</v>
      </c>
      <c r="N46" s="163">
        <f>Data!CN46</f>
        <v>41</v>
      </c>
      <c r="O46" s="163">
        <f>Data!CO46</f>
        <v>20</v>
      </c>
      <c r="P46" s="163">
        <f>Data!CP46</f>
        <v>4</v>
      </c>
      <c r="Q46" s="163">
        <f>Data!CQ46</f>
        <v>5</v>
      </c>
      <c r="R46" s="163">
        <f>Data!CR46</f>
        <v>1</v>
      </c>
      <c r="S46" s="163">
        <f>Data!CS46</f>
        <v>2</v>
      </c>
      <c r="T46" s="163">
        <f>Data!CT46</f>
        <v>0</v>
      </c>
      <c r="U46" s="163">
        <f>Data!CU46</f>
        <v>0</v>
      </c>
      <c r="V46" s="163">
        <f t="shared" si="0"/>
        <v>722</v>
      </c>
      <c r="W46" s="64"/>
    </row>
    <row r="47" spans="1:23" ht="12" customHeight="1">
      <c r="A47" s="62"/>
      <c r="B47" s="139" t="str">
        <f>UPPER(LEFT(TRIM(Data!B47),1)) &amp; MID(TRIM(Data!B47),2,50)</f>
        <v>Šlapimo pūslės in situ</v>
      </c>
      <c r="C47" s="168" t="str">
        <f>Data!C47</f>
        <v>D09.0</v>
      </c>
      <c r="D47" s="169">
        <f>Data!CD47</f>
        <v>0</v>
      </c>
      <c r="E47" s="169">
        <f>Data!CE47</f>
        <v>0</v>
      </c>
      <c r="F47" s="169">
        <f>Data!CF47</f>
        <v>0</v>
      </c>
      <c r="G47" s="169">
        <f>Data!CG47</f>
        <v>1</v>
      </c>
      <c r="H47" s="169">
        <f>Data!CH47</f>
        <v>0</v>
      </c>
      <c r="I47" s="169">
        <f>Data!CI47</f>
        <v>0</v>
      </c>
      <c r="J47" s="169">
        <f>Data!CJ47</f>
        <v>0</v>
      </c>
      <c r="K47" s="169">
        <f>Data!CK47</f>
        <v>0</v>
      </c>
      <c r="L47" s="169">
        <f>Data!CL47</f>
        <v>1</v>
      </c>
      <c r="M47" s="169">
        <f>Data!CM47</f>
        <v>1</v>
      </c>
      <c r="N47" s="169">
        <f>Data!CN47</f>
        <v>1</v>
      </c>
      <c r="O47" s="169">
        <f>Data!CO47</f>
        <v>4</v>
      </c>
      <c r="P47" s="169">
        <f>Data!CP47</f>
        <v>6</v>
      </c>
      <c r="Q47" s="169">
        <f>Data!CQ47</f>
        <v>6</v>
      </c>
      <c r="R47" s="169">
        <f>Data!CR47</f>
        <v>5</v>
      </c>
      <c r="S47" s="169">
        <f>Data!CS47</f>
        <v>4</v>
      </c>
      <c r="T47" s="169">
        <f>Data!CT47</f>
        <v>5</v>
      </c>
      <c r="U47" s="169">
        <f>Data!CU47</f>
        <v>3</v>
      </c>
      <c r="V47" s="169">
        <f t="shared" si="0"/>
        <v>37</v>
      </c>
      <c r="W47" s="64"/>
    </row>
    <row r="48" spans="1:23" ht="12" customHeight="1">
      <c r="A48" s="62"/>
      <c r="B48" s="144" t="str">
        <f>UPPER(LEFT(TRIM(Data!B48),1)) &amp; MID(TRIM(Data!B48),2,50)</f>
        <v>Nervų sistemos gerybiniai navikai</v>
      </c>
      <c r="C48" s="144" t="str">
        <f>Data!C48</f>
        <v>D32, D33</v>
      </c>
      <c r="D48" s="163">
        <f>Data!CD48</f>
        <v>0</v>
      </c>
      <c r="E48" s="163">
        <f>Data!CE48</f>
        <v>0</v>
      </c>
      <c r="F48" s="163">
        <f>Data!CF48</f>
        <v>1</v>
      </c>
      <c r="G48" s="163">
        <f>Data!CG48</f>
        <v>1</v>
      </c>
      <c r="H48" s="163">
        <f>Data!CH48</f>
        <v>1</v>
      </c>
      <c r="I48" s="163">
        <f>Data!CI48</f>
        <v>0</v>
      </c>
      <c r="J48" s="163">
        <f>Data!CJ48</f>
        <v>2</v>
      </c>
      <c r="K48" s="163">
        <f>Data!CK48</f>
        <v>3</v>
      </c>
      <c r="L48" s="163">
        <f>Data!CL48</f>
        <v>6</v>
      </c>
      <c r="M48" s="163">
        <f>Data!CM48</f>
        <v>5</v>
      </c>
      <c r="N48" s="163">
        <f>Data!CN48</f>
        <v>10</v>
      </c>
      <c r="O48" s="163">
        <f>Data!CO48</f>
        <v>8</v>
      </c>
      <c r="P48" s="163">
        <f>Data!CP48</f>
        <v>12</v>
      </c>
      <c r="Q48" s="163">
        <f>Data!CQ48</f>
        <v>16</v>
      </c>
      <c r="R48" s="163">
        <f>Data!CR48</f>
        <v>14</v>
      </c>
      <c r="S48" s="163">
        <f>Data!CS48</f>
        <v>16</v>
      </c>
      <c r="T48" s="163">
        <f>Data!CT48</f>
        <v>10</v>
      </c>
      <c r="U48" s="163">
        <f>Data!CU48</f>
        <v>9</v>
      </c>
      <c r="V48" s="163">
        <f t="shared" si="0"/>
        <v>114</v>
      </c>
      <c r="W48" s="64"/>
    </row>
    <row r="49" spans="1:23" ht="12" customHeight="1">
      <c r="A49" s="62"/>
      <c r="B49" s="139" t="str">
        <f>UPPER(LEFT(TRIM(Data!B49),1)) &amp; MID(TRIM(Data!B49),2,50)</f>
        <v>Kiaušidžių</v>
      </c>
      <c r="C49" s="168" t="str">
        <f>Data!C49</f>
        <v>D39.1</v>
      </c>
      <c r="D49" s="169">
        <f>Data!CD49</f>
        <v>0</v>
      </c>
      <c r="E49" s="169">
        <f>Data!CE49</f>
        <v>0</v>
      </c>
      <c r="F49" s="169">
        <f>Data!CF49</f>
        <v>0</v>
      </c>
      <c r="G49" s="169">
        <f>Data!CG49</f>
        <v>0</v>
      </c>
      <c r="H49" s="169">
        <f>Data!CH49</f>
        <v>0</v>
      </c>
      <c r="I49" s="169">
        <f>Data!CI49</f>
        <v>2</v>
      </c>
      <c r="J49" s="169">
        <f>Data!CJ49</f>
        <v>5</v>
      </c>
      <c r="K49" s="169">
        <f>Data!CK49</f>
        <v>5</v>
      </c>
      <c r="L49" s="169">
        <f>Data!CL49</f>
        <v>1</v>
      </c>
      <c r="M49" s="169">
        <f>Data!CM49</f>
        <v>3</v>
      </c>
      <c r="N49" s="169">
        <f>Data!CN49</f>
        <v>4</v>
      </c>
      <c r="O49" s="169">
        <f>Data!CO49</f>
        <v>10</v>
      </c>
      <c r="P49" s="169">
        <f>Data!CP49</f>
        <v>2</v>
      </c>
      <c r="Q49" s="169">
        <f>Data!CQ49</f>
        <v>4</v>
      </c>
      <c r="R49" s="169">
        <f>Data!CR49</f>
        <v>2</v>
      </c>
      <c r="S49" s="169">
        <f>Data!CS49</f>
        <v>1</v>
      </c>
      <c r="T49" s="169">
        <f>Data!CT49</f>
        <v>2</v>
      </c>
      <c r="U49" s="169">
        <f>Data!CU49</f>
        <v>1</v>
      </c>
      <c r="V49" s="169">
        <f t="shared" si="0"/>
        <v>42</v>
      </c>
      <c r="W49" s="64"/>
    </row>
    <row r="50" spans="1:23" ht="12" customHeight="1">
      <c r="A50" s="62"/>
      <c r="B50" s="144" t="str">
        <f>UPPER(LEFT(TRIM(Data!B50),1)) &amp; MID(TRIM(Data!B50),2,50)</f>
        <v>Kiti nervų sistemos</v>
      </c>
      <c r="C50" s="144" t="str">
        <f>Data!C50</f>
        <v>D42, D43</v>
      </c>
      <c r="D50" s="163">
        <f>Data!CD50</f>
        <v>1</v>
      </c>
      <c r="E50" s="163">
        <f>Data!CE50</f>
        <v>0</v>
      </c>
      <c r="F50" s="163">
        <f>Data!CF50</f>
        <v>1</v>
      </c>
      <c r="G50" s="163">
        <f>Data!CG50</f>
        <v>1</v>
      </c>
      <c r="H50" s="163">
        <f>Data!CH50</f>
        <v>0</v>
      </c>
      <c r="I50" s="163">
        <f>Data!CI50</f>
        <v>2</v>
      </c>
      <c r="J50" s="163">
        <f>Data!CJ50</f>
        <v>1</v>
      </c>
      <c r="K50" s="163">
        <f>Data!CK50</f>
        <v>1</v>
      </c>
      <c r="L50" s="163">
        <f>Data!CL50</f>
        <v>2</v>
      </c>
      <c r="M50" s="163">
        <f>Data!CM50</f>
        <v>0</v>
      </c>
      <c r="N50" s="163">
        <f>Data!CN50</f>
        <v>2</v>
      </c>
      <c r="O50" s="163">
        <f>Data!CO50</f>
        <v>0</v>
      </c>
      <c r="P50" s="163">
        <f>Data!CP50</f>
        <v>2</v>
      </c>
      <c r="Q50" s="163">
        <f>Data!CQ50</f>
        <v>0</v>
      </c>
      <c r="R50" s="163">
        <f>Data!CR50</f>
        <v>4</v>
      </c>
      <c r="S50" s="163">
        <f>Data!CS50</f>
        <v>4</v>
      </c>
      <c r="T50" s="163">
        <f>Data!CT50</f>
        <v>5</v>
      </c>
      <c r="U50" s="163">
        <f>Data!CU50</f>
        <v>5</v>
      </c>
      <c r="V50" s="163">
        <f t="shared" si="0"/>
        <v>31</v>
      </c>
      <c r="W50" s="64"/>
    </row>
    <row r="51" spans="1:23" ht="12" customHeight="1">
      <c r="A51" s="62"/>
      <c r="B51" s="139" t="str">
        <f>UPPER(LEFT(TRIM(Data!B51),1)) &amp; MID(TRIM(Data!B51),2,50)</f>
        <v>Limfinio ir kraujodaros audinių</v>
      </c>
      <c r="C51" s="168" t="str">
        <f>Data!C51</f>
        <v>D45-D47</v>
      </c>
      <c r="D51" s="169">
        <f>Data!CD51</f>
        <v>0</v>
      </c>
      <c r="E51" s="169">
        <f>Data!CE51</f>
        <v>0</v>
      </c>
      <c r="F51" s="169">
        <f>Data!CF51</f>
        <v>0</v>
      </c>
      <c r="G51" s="169">
        <f>Data!CG51</f>
        <v>0</v>
      </c>
      <c r="H51" s="169">
        <f>Data!CH51</f>
        <v>2</v>
      </c>
      <c r="I51" s="169">
        <f>Data!CI51</f>
        <v>1</v>
      </c>
      <c r="J51" s="169">
        <f>Data!CJ51</f>
        <v>2</v>
      </c>
      <c r="K51" s="169">
        <f>Data!CK51</f>
        <v>4</v>
      </c>
      <c r="L51" s="169">
        <f>Data!CL51</f>
        <v>4</v>
      </c>
      <c r="M51" s="169">
        <f>Data!CM51</f>
        <v>11</v>
      </c>
      <c r="N51" s="169">
        <f>Data!CN51</f>
        <v>13</v>
      </c>
      <c r="O51" s="169">
        <f>Data!CO51</f>
        <v>13</v>
      </c>
      <c r="P51" s="169">
        <f>Data!CP51</f>
        <v>14</v>
      </c>
      <c r="Q51" s="169">
        <f>Data!CQ51</f>
        <v>19</v>
      </c>
      <c r="R51" s="169">
        <f>Data!CR51</f>
        <v>31</v>
      </c>
      <c r="S51" s="169">
        <f>Data!CS51</f>
        <v>34</v>
      </c>
      <c r="T51" s="169">
        <f>Data!CT51</f>
        <v>40</v>
      </c>
      <c r="U51" s="169">
        <f>Data!CU51</f>
        <v>21</v>
      </c>
      <c r="V51" s="169">
        <f t="shared" si="0"/>
        <v>209</v>
      </c>
      <c r="W51" s="64"/>
    </row>
    <row r="52" spans="1:23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4"/>
      <c r="W52" s="64"/>
    </row>
    <row r="53" spans="1:23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4"/>
      <c r="W53" s="64"/>
    </row>
  </sheetData>
  <mergeCells count="4">
    <mergeCell ref="D4:U4"/>
    <mergeCell ref="B4:B5"/>
    <mergeCell ref="C4:C5"/>
    <mergeCell ref="V4:V5"/>
  </mergeCells>
  <phoneticPr fontId="13" type="noConversion"/>
  <pageMargins left="0.59055118110236227" right="0.62992125984251968" top="1.5748031496062993" bottom="1.9685039370078741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4"/>
  </sheetPr>
  <dimension ref="A1:W51"/>
  <sheetViews>
    <sheetView workbookViewId="0">
      <selection activeCell="I2" sqref="I2"/>
    </sheetView>
  </sheetViews>
  <sheetFormatPr defaultRowHeight="11.25"/>
  <cols>
    <col min="1" max="1" width="1.7109375" style="178" customWidth="1"/>
    <col min="2" max="2" width="28.7109375" style="178" customWidth="1"/>
    <col min="3" max="3" width="23.7109375" style="178" customWidth="1"/>
    <col min="4" max="14" width="6" style="178" customWidth="1"/>
    <col min="15" max="21" width="6.28515625" style="178" customWidth="1"/>
    <col min="22" max="22" width="7.28515625" style="178" customWidth="1"/>
    <col min="23" max="27" width="0.85546875" style="178" customWidth="1"/>
    <col min="28" max="16384" width="9.140625" style="178"/>
  </cols>
  <sheetData>
    <row r="1" spans="1:23" ht="15">
      <c r="A1" s="177"/>
      <c r="B1" s="493" t="s">
        <v>403</v>
      </c>
      <c r="C1" s="494"/>
      <c r="D1" s="494"/>
      <c r="E1" s="494"/>
      <c r="F1" s="494"/>
      <c r="G1" s="494"/>
      <c r="H1" s="494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</row>
    <row r="2" spans="1:23" ht="12.75" customHeight="1">
      <c r="A2" s="179"/>
      <c r="B2" s="306"/>
      <c r="C2" s="306"/>
      <c r="D2" s="305">
        <f>Lent02v!S4</f>
        <v>77450</v>
      </c>
      <c r="E2" s="305">
        <f>Lent02v!T4</f>
        <v>69004</v>
      </c>
      <c r="F2" s="305">
        <f>Lent02v!U4</f>
        <v>75796</v>
      </c>
      <c r="G2" s="305">
        <f>Lent02v!V4</f>
        <v>93604</v>
      </c>
      <c r="H2" s="305">
        <f>Lent02v!W4</f>
        <v>110043</v>
      </c>
      <c r="I2" s="305">
        <f>Lent02v!X4</f>
        <v>99495</v>
      </c>
      <c r="J2" s="305">
        <f>Lent02v!Y4</f>
        <v>88515</v>
      </c>
      <c r="K2" s="305">
        <f>Lent02v!Z4</f>
        <v>91233</v>
      </c>
      <c r="L2" s="305">
        <f>Lent02v!AA4</f>
        <v>101097</v>
      </c>
      <c r="M2" s="305">
        <f>Lent02v!AB4</f>
        <v>102448</v>
      </c>
      <c r="N2" s="305">
        <f>Lent02v!AC4</f>
        <v>110413</v>
      </c>
      <c r="O2" s="305">
        <f>Lent02v!AD4</f>
        <v>88386</v>
      </c>
      <c r="P2" s="305">
        <f>Lent02v!AE4</f>
        <v>72515</v>
      </c>
      <c r="Q2" s="305">
        <f>Lent02v!AF4</f>
        <v>53668</v>
      </c>
      <c r="R2" s="305">
        <f>Lent02v!AG4</f>
        <v>51266</v>
      </c>
      <c r="S2" s="305">
        <f>Lent02v!AH4</f>
        <v>39045</v>
      </c>
      <c r="T2" s="305">
        <f>Lent02v!AI4</f>
        <v>25056</v>
      </c>
      <c r="U2" s="305">
        <f>Lent02vm!AJ4</f>
        <v>13409</v>
      </c>
      <c r="V2" s="305">
        <f>SUM(D2:U2)</f>
        <v>1362443</v>
      </c>
      <c r="W2" s="177"/>
    </row>
    <row r="3" spans="1:23" ht="12.75" customHeight="1">
      <c r="A3" s="179"/>
      <c r="B3" s="495" t="str">
        <f>"Sergamumo piktybiniais navikais rodiklis pagal amžių  " &amp; GrafikaiSerg!A1 &amp; " metais. Vyrai. (100 000 gyventojų)"</f>
        <v>Sergamumo piktybiniais navikais rodiklis pagal amžių  2013 metais. Vyrai. (100 000 gyventojų)</v>
      </c>
      <c r="C3" s="495"/>
      <c r="D3" s="494"/>
      <c r="E3" s="494"/>
      <c r="F3" s="494"/>
      <c r="G3" s="494"/>
      <c r="H3" s="494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</row>
    <row r="4" spans="1:23" ht="12.75" customHeight="1">
      <c r="A4" s="179"/>
      <c r="B4" s="180" t="s">
        <v>643</v>
      </c>
      <c r="C4" s="179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77"/>
    </row>
    <row r="5" spans="1:23" ht="12" customHeight="1">
      <c r="A5" s="179"/>
      <c r="B5" s="436" t="s">
        <v>242</v>
      </c>
      <c r="C5" s="436" t="s">
        <v>243</v>
      </c>
      <c r="D5" s="438" t="s">
        <v>418</v>
      </c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40"/>
      <c r="V5" s="441" t="s">
        <v>428</v>
      </c>
      <c r="W5" s="177"/>
    </row>
    <row r="6" spans="1:23" ht="12" customHeight="1" thickBot="1">
      <c r="A6" s="177"/>
      <c r="B6" s="437"/>
      <c r="C6" s="437"/>
      <c r="D6" s="195" t="s">
        <v>13</v>
      </c>
      <c r="E6" s="195" t="s">
        <v>11</v>
      </c>
      <c r="F6" s="195" t="s">
        <v>12</v>
      </c>
      <c r="G6" s="195" t="s">
        <v>14</v>
      </c>
      <c r="H6" s="195" t="s">
        <v>15</v>
      </c>
      <c r="I6" s="194" t="s">
        <v>16</v>
      </c>
      <c r="J6" s="194" t="s">
        <v>158</v>
      </c>
      <c r="K6" s="194" t="s">
        <v>17</v>
      </c>
      <c r="L6" s="194" t="s">
        <v>18</v>
      </c>
      <c r="M6" s="194" t="s">
        <v>19</v>
      </c>
      <c r="N6" s="194" t="s">
        <v>20</v>
      </c>
      <c r="O6" s="194" t="s">
        <v>21</v>
      </c>
      <c r="P6" s="194" t="s">
        <v>159</v>
      </c>
      <c r="Q6" s="194" t="s">
        <v>160</v>
      </c>
      <c r="R6" s="194" t="s">
        <v>161</v>
      </c>
      <c r="S6" s="194" t="s">
        <v>162</v>
      </c>
      <c r="T6" s="194" t="s">
        <v>22</v>
      </c>
      <c r="U6" s="194" t="s">
        <v>23</v>
      </c>
      <c r="V6" s="442"/>
      <c r="W6" s="177"/>
    </row>
    <row r="7" spans="1:23" ht="12" customHeight="1" thickTop="1">
      <c r="A7" s="177"/>
      <c r="B7" s="182" t="str">
        <f>UPPER(LEFT(TRIM(Data!B5),1)) &amp; MID(TRIM(Data!B5),2,50)</f>
        <v>Piktybiniai navikai</v>
      </c>
      <c r="C7" s="183" t="str">
        <f>Data!C5</f>
        <v>C00-C96</v>
      </c>
      <c r="D7" s="200">
        <f>Data!Q5/D$2*100000</f>
        <v>14.202711426726921</v>
      </c>
      <c r="E7" s="200">
        <f>Data!R5/E$2*100000</f>
        <v>10.144339458582111</v>
      </c>
      <c r="F7" s="200">
        <f>Data!S5/F$2*100000</f>
        <v>17.151300860203705</v>
      </c>
      <c r="G7" s="200">
        <f>Data!T5/G$2*100000</f>
        <v>23.503269091064485</v>
      </c>
      <c r="H7" s="200">
        <f>Data!U5/H$2*100000</f>
        <v>20.900920549239842</v>
      </c>
      <c r="I7" s="200">
        <f>Data!V5/I$2*100000</f>
        <v>46.23347906929996</v>
      </c>
      <c r="J7" s="200">
        <f>Data!W5/J$2*100000</f>
        <v>68.914873185335821</v>
      </c>
      <c r="K7" s="200">
        <f>Data!X5/K$2*100000</f>
        <v>89.879758420746882</v>
      </c>
      <c r="L7" s="200">
        <f>Data!Y5/L$2*100000</f>
        <v>162.22044175395908</v>
      </c>
      <c r="M7" s="200">
        <f>Data!Z5/M$2*100000</f>
        <v>287.95096048727157</v>
      </c>
      <c r="N7" s="200">
        <f>Data!AA5/N$2*100000</f>
        <v>690.1361252751035</v>
      </c>
      <c r="O7" s="200">
        <f>Data!AB5/O$2*100000</f>
        <v>1199.2849546308239</v>
      </c>
      <c r="P7" s="200">
        <f>Data!AC5/P$2*100000</f>
        <v>1967.86871681721</v>
      </c>
      <c r="Q7" s="200">
        <f>Data!AD5/Q$2*100000</f>
        <v>2806.1414623239175</v>
      </c>
      <c r="R7" s="200">
        <f>Data!AE5/R$2*100000</f>
        <v>3286.7787617524286</v>
      </c>
      <c r="S7" s="200">
        <f>Data!AF5/S$2*100000</f>
        <v>3040.0819567166091</v>
      </c>
      <c r="T7" s="200">
        <f>Data!AG5/T$2*100000</f>
        <v>3005.2681992337166</v>
      </c>
      <c r="U7" s="200">
        <f>Data!AH5/U$2*100000</f>
        <v>3169.51301364755</v>
      </c>
      <c r="V7" s="200">
        <f>Data!D5/V$2*100000</f>
        <v>699.40540631791566</v>
      </c>
      <c r="W7" s="177"/>
    </row>
    <row r="8" spans="1:23" ht="12" customHeight="1">
      <c r="A8" s="177"/>
      <c r="B8" s="196" t="str">
        <f>UPPER(LEFT(TRIM(Data!B6),1)) &amp; MID(TRIM(Data!B6),2,50)</f>
        <v>Lūpos</v>
      </c>
      <c r="C8" s="197" t="str">
        <f>Data!C6</f>
        <v>C00</v>
      </c>
      <c r="D8" s="201">
        <f>Data!Q6/D$2*100000</f>
        <v>0</v>
      </c>
      <c r="E8" s="201">
        <f>Data!R6/E$2*100000</f>
        <v>0</v>
      </c>
      <c r="F8" s="201">
        <f>Data!S6/F$2*100000</f>
        <v>0</v>
      </c>
      <c r="G8" s="201">
        <f>Data!T6/G$2*100000</f>
        <v>0</v>
      </c>
      <c r="H8" s="201">
        <f>Data!U6/H$2*100000</f>
        <v>0</v>
      </c>
      <c r="I8" s="201">
        <f>Data!V6/I$2*100000</f>
        <v>0</v>
      </c>
      <c r="J8" s="201">
        <f>Data!W6/J$2*100000</f>
        <v>0</v>
      </c>
      <c r="K8" s="201">
        <f>Data!X6/K$2*100000</f>
        <v>1.0960946148871571</v>
      </c>
      <c r="L8" s="201">
        <f>Data!Y6/L$2*100000</f>
        <v>0.98914903508511631</v>
      </c>
      <c r="M8" s="201">
        <f>Data!Z6/M$2*100000</f>
        <v>0</v>
      </c>
      <c r="N8" s="201">
        <f>Data!AA6/N$2*100000</f>
        <v>0</v>
      </c>
      <c r="O8" s="201">
        <f>Data!AB6/O$2*100000</f>
        <v>1.1314009005951169</v>
      </c>
      <c r="P8" s="201">
        <f>Data!AC6/P$2*100000</f>
        <v>2.7580500586085637</v>
      </c>
      <c r="Q8" s="201">
        <f>Data!AD6/Q$2*100000</f>
        <v>5.5899232317209515</v>
      </c>
      <c r="R8" s="201">
        <f>Data!AE6/R$2*100000</f>
        <v>15.604884328794911</v>
      </c>
      <c r="S8" s="201">
        <f>Data!AF6/S$2*100000</f>
        <v>10.244589576130105</v>
      </c>
      <c r="T8" s="201">
        <f>Data!AG6/T$2*100000</f>
        <v>11.973180076628353</v>
      </c>
      <c r="U8" s="201">
        <f>Data!AH6/U$2*100000</f>
        <v>7.4576776791707058</v>
      </c>
      <c r="V8" s="201">
        <f>Data!D6/V$2*100000</f>
        <v>1.7615415837579993</v>
      </c>
      <c r="W8" s="177"/>
    </row>
    <row r="9" spans="1:23" ht="12" customHeight="1">
      <c r="A9" s="177"/>
      <c r="B9" s="182" t="str">
        <f>UPPER(LEFT(TRIM(Data!B7),1)) &amp; MID(TRIM(Data!B7),2,50)</f>
        <v>Burnos ertmės ir ryklės</v>
      </c>
      <c r="C9" s="183" t="str">
        <f>Data!C7</f>
        <v>C01-C14</v>
      </c>
      <c r="D9" s="200">
        <f>Data!Q7/D$2*100000</f>
        <v>0</v>
      </c>
      <c r="E9" s="200">
        <f>Data!R7/E$2*100000</f>
        <v>0</v>
      </c>
      <c r="F9" s="200">
        <f>Data!S7/F$2*100000</f>
        <v>0</v>
      </c>
      <c r="G9" s="200">
        <f>Data!T7/G$2*100000</f>
        <v>0</v>
      </c>
      <c r="H9" s="200">
        <f>Data!U7/H$2*100000</f>
        <v>0</v>
      </c>
      <c r="I9" s="200">
        <f>Data!V7/I$2*100000</f>
        <v>1.0050756319413037</v>
      </c>
      <c r="J9" s="200">
        <f>Data!W7/J$2*100000</f>
        <v>1.1297520194317348</v>
      </c>
      <c r="K9" s="200">
        <f>Data!X7/K$2*100000</f>
        <v>8.7687569190972567</v>
      </c>
      <c r="L9" s="200">
        <f>Data!Y7/L$2*100000</f>
        <v>10.880639385936279</v>
      </c>
      <c r="M9" s="200">
        <f>Data!Z7/M$2*100000</f>
        <v>18.545994065281899</v>
      </c>
      <c r="N9" s="200">
        <f>Data!AA7/N$2*100000</f>
        <v>20.830880421689475</v>
      </c>
      <c r="O9" s="200">
        <f>Data!AB7/O$2*100000</f>
        <v>52.044441427375375</v>
      </c>
      <c r="P9" s="200">
        <f>Data!AC7/P$2*100000</f>
        <v>77.225401641039795</v>
      </c>
      <c r="Q9" s="200">
        <f>Data!AD7/Q$2*100000</f>
        <v>70.805694268465388</v>
      </c>
      <c r="R9" s="200">
        <f>Data!AE7/R$2*100000</f>
        <v>46.814652986384736</v>
      </c>
      <c r="S9" s="200">
        <f>Data!AF7/S$2*100000</f>
        <v>46.100653092585482</v>
      </c>
      <c r="T9" s="200">
        <f>Data!AG7/T$2*100000</f>
        <v>19.955300127713922</v>
      </c>
      <c r="U9" s="200">
        <f>Data!AH7/U$2*100000</f>
        <v>22.373033037512119</v>
      </c>
      <c r="V9" s="200">
        <f>Data!D7/V$2*100000</f>
        <v>18.569584195448911</v>
      </c>
      <c r="W9" s="177"/>
    </row>
    <row r="10" spans="1:23" ht="12" customHeight="1">
      <c r="A10" s="177"/>
      <c r="B10" s="196" t="str">
        <f>UPPER(LEFT(TRIM(Data!B8),1)) &amp; MID(TRIM(Data!B8),2,50)</f>
        <v>Stemplės</v>
      </c>
      <c r="C10" s="197" t="str">
        <f>Data!C8</f>
        <v>C15</v>
      </c>
      <c r="D10" s="201">
        <f>Data!Q8/D$2*100000</f>
        <v>0</v>
      </c>
      <c r="E10" s="201">
        <f>Data!R8/E$2*100000</f>
        <v>0</v>
      </c>
      <c r="F10" s="201">
        <f>Data!S8/F$2*100000</f>
        <v>0</v>
      </c>
      <c r="G10" s="201">
        <f>Data!T8/G$2*100000</f>
        <v>0</v>
      </c>
      <c r="H10" s="201">
        <f>Data!U8/H$2*100000</f>
        <v>0</v>
      </c>
      <c r="I10" s="201">
        <f>Data!V8/I$2*100000</f>
        <v>0</v>
      </c>
      <c r="J10" s="201">
        <f>Data!W8/J$2*100000</f>
        <v>0</v>
      </c>
      <c r="K10" s="201">
        <f>Data!X8/K$2*100000</f>
        <v>1.0960946148871571</v>
      </c>
      <c r="L10" s="201">
        <f>Data!Y8/L$2*100000</f>
        <v>2.9674471052553488</v>
      </c>
      <c r="M10" s="201">
        <f>Data!Z8/M$2*100000</f>
        <v>8.7849445572387932</v>
      </c>
      <c r="N10" s="201">
        <f>Data!AA8/N$2*100000</f>
        <v>14.49104724987094</v>
      </c>
      <c r="O10" s="201">
        <f>Data!AB8/O$2*100000</f>
        <v>32.810626117258387</v>
      </c>
      <c r="P10" s="201">
        <f>Data!AC8/P$2*100000</f>
        <v>48.265876025649867</v>
      </c>
      <c r="Q10" s="201">
        <f>Data!AD8/Q$2*100000</f>
        <v>50.309309085488557</v>
      </c>
      <c r="R10" s="201">
        <f>Data!AE8/R$2*100000</f>
        <v>33.160379198689192</v>
      </c>
      <c r="S10" s="201">
        <f>Data!AF8/S$2*100000</f>
        <v>35.856063516455372</v>
      </c>
      <c r="T10" s="201">
        <f>Data!AG8/T$2*100000</f>
        <v>27.937420178799488</v>
      </c>
      <c r="U10" s="201">
        <f>Data!AH8/U$2*100000</f>
        <v>44.746066075024238</v>
      </c>
      <c r="V10" s="201">
        <f>Data!D8/V$2*100000</f>
        <v>12.03720082234633</v>
      </c>
      <c r="W10" s="177"/>
    </row>
    <row r="11" spans="1:23" ht="12" customHeight="1">
      <c r="A11" s="177"/>
      <c r="B11" s="182" t="str">
        <f>UPPER(LEFT(TRIM(Data!B9),1)) &amp; MID(TRIM(Data!B9),2,50)</f>
        <v>Skrandžio</v>
      </c>
      <c r="C11" s="183" t="str">
        <f>Data!C9</f>
        <v>C16</v>
      </c>
      <c r="D11" s="200">
        <f>Data!Q9/D$2*100000</f>
        <v>0</v>
      </c>
      <c r="E11" s="200">
        <f>Data!R9/E$2*100000</f>
        <v>0</v>
      </c>
      <c r="F11" s="200">
        <f>Data!S9/F$2*100000</f>
        <v>0</v>
      </c>
      <c r="G11" s="200">
        <f>Data!T9/G$2*100000</f>
        <v>0</v>
      </c>
      <c r="H11" s="200">
        <f>Data!U9/H$2*100000</f>
        <v>0</v>
      </c>
      <c r="I11" s="200">
        <f>Data!V9/I$2*100000</f>
        <v>2.0101512638826073</v>
      </c>
      <c r="J11" s="200">
        <f>Data!W9/J$2*100000</f>
        <v>3.3892560582952043</v>
      </c>
      <c r="K11" s="200">
        <f>Data!X9/K$2*100000</f>
        <v>4.3843784595486284</v>
      </c>
      <c r="L11" s="200">
        <f>Data!Y9/L$2*100000</f>
        <v>12.85893745610651</v>
      </c>
      <c r="M11" s="200">
        <f>Data!Z9/M$2*100000</f>
        <v>20.498203966890518</v>
      </c>
      <c r="N11" s="200">
        <f>Data!AA9/N$2*100000</f>
        <v>37.133308577794281</v>
      </c>
      <c r="O11" s="200">
        <f>Data!AB9/O$2*100000</f>
        <v>48.650238725590022</v>
      </c>
      <c r="P11" s="200">
        <f>Data!AC9/P$2*100000</f>
        <v>93.773701992691173</v>
      </c>
      <c r="Q11" s="200">
        <f>Data!AD9/Q$2*100000</f>
        <v>126.70492658567488</v>
      </c>
      <c r="R11" s="200">
        <f>Data!AE9/R$2*100000</f>
        <v>161.90067491124722</v>
      </c>
      <c r="S11" s="200">
        <f>Data!AF9/S$2*100000</f>
        <v>176.71917018824433</v>
      </c>
      <c r="T11" s="200">
        <f>Data!AG9/T$2*100000</f>
        <v>243.45466155810985</v>
      </c>
      <c r="U11" s="200">
        <f>Data!AH9/U$2*100000</f>
        <v>253.56104109180401</v>
      </c>
      <c r="V11" s="200">
        <f>Data!D9/V$2*100000</f>
        <v>37.432758654857487</v>
      </c>
      <c r="W11" s="177"/>
    </row>
    <row r="12" spans="1:23" ht="12" customHeight="1">
      <c r="A12" s="177"/>
      <c r="B12" s="196" t="str">
        <f>UPPER(LEFT(TRIM(Data!B10),1)) &amp; MID(TRIM(Data!B10),2,50)</f>
        <v>Gaubtinės žarnos</v>
      </c>
      <c r="C12" s="197" t="str">
        <f>Data!C10</f>
        <v>C18</v>
      </c>
      <c r="D12" s="201">
        <f>Data!Q10/D$2*100000</f>
        <v>0</v>
      </c>
      <c r="E12" s="201">
        <f>Data!R10/E$2*100000</f>
        <v>0</v>
      </c>
      <c r="F12" s="201">
        <f>Data!S10/F$2*100000</f>
        <v>0</v>
      </c>
      <c r="G12" s="201">
        <f>Data!T10/G$2*100000</f>
        <v>0</v>
      </c>
      <c r="H12" s="201">
        <f>Data!U10/H$2*100000</f>
        <v>0</v>
      </c>
      <c r="I12" s="201">
        <f>Data!V10/I$2*100000</f>
        <v>1.0050756319413037</v>
      </c>
      <c r="J12" s="201">
        <f>Data!W10/J$2*100000</f>
        <v>3.3892560582952043</v>
      </c>
      <c r="K12" s="201">
        <f>Data!X10/K$2*100000</f>
        <v>2.1921892297743142</v>
      </c>
      <c r="L12" s="201">
        <f>Data!Y10/L$2*100000</f>
        <v>2.9674471052553488</v>
      </c>
      <c r="M12" s="201">
        <f>Data!Z10/M$2*100000</f>
        <v>7.8088396064344838</v>
      </c>
      <c r="N12" s="201">
        <f>Data!AA10/N$2*100000</f>
        <v>21.736570874806407</v>
      </c>
      <c r="O12" s="201">
        <f>Data!AB10/O$2*100000</f>
        <v>41.861833322019322</v>
      </c>
      <c r="P12" s="201">
        <f>Data!AC10/P$2*100000</f>
        <v>63.435151347996971</v>
      </c>
      <c r="Q12" s="201">
        <f>Data!AD10/Q$2*100000</f>
        <v>149.06461951255869</v>
      </c>
      <c r="R12" s="201">
        <f>Data!AE10/R$2*100000</f>
        <v>181.40678032224088</v>
      </c>
      <c r="S12" s="201">
        <f>Data!AF10/S$2*100000</f>
        <v>163.91343321808168</v>
      </c>
      <c r="T12" s="201">
        <f>Data!AG10/T$2*100000</f>
        <v>235.47254150702426</v>
      </c>
      <c r="U12" s="201">
        <f>Data!AH10/U$2*100000</f>
        <v>164.06890894175555</v>
      </c>
      <c r="V12" s="201">
        <f>Data!D10/V$2*100000</f>
        <v>32.44172416754315</v>
      </c>
      <c r="W12" s="177"/>
    </row>
    <row r="13" spans="1:23" ht="12" customHeight="1">
      <c r="A13" s="177"/>
      <c r="B13" s="182" t="str">
        <f>UPPER(LEFT(TRIM(Data!B11),1)) &amp; MID(TRIM(Data!B11),2,50)</f>
        <v>Tiesiosios žarnos, išangės</v>
      </c>
      <c r="C13" s="183" t="str">
        <f>Data!C11</f>
        <v>C19-C21</v>
      </c>
      <c r="D13" s="200">
        <f>Data!Q11/D$2*100000</f>
        <v>0</v>
      </c>
      <c r="E13" s="200">
        <f>Data!R11/E$2*100000</f>
        <v>0</v>
      </c>
      <c r="F13" s="200">
        <f>Data!S11/F$2*100000</f>
        <v>0</v>
      </c>
      <c r="G13" s="200">
        <f>Data!T11/G$2*100000</f>
        <v>0</v>
      </c>
      <c r="H13" s="200">
        <f>Data!U11/H$2*100000</f>
        <v>0</v>
      </c>
      <c r="I13" s="200">
        <f>Data!V11/I$2*100000</f>
        <v>1.0050756319413037</v>
      </c>
      <c r="J13" s="200">
        <f>Data!W11/J$2*100000</f>
        <v>0</v>
      </c>
      <c r="K13" s="200">
        <f>Data!X11/K$2*100000</f>
        <v>3.2882838446614708</v>
      </c>
      <c r="L13" s="200">
        <f>Data!Y11/L$2*100000</f>
        <v>5.9348942105106977</v>
      </c>
      <c r="M13" s="200">
        <f>Data!Z11/M$2*100000</f>
        <v>16.593784163673277</v>
      </c>
      <c r="N13" s="200">
        <f>Data!AA11/N$2*100000</f>
        <v>22.642261327923343</v>
      </c>
      <c r="O13" s="200">
        <f>Data!AB11/O$2*100000</f>
        <v>36.20482881904374</v>
      </c>
      <c r="P13" s="200">
        <f>Data!AC11/P$2*100000</f>
        <v>66.193201406605539</v>
      </c>
      <c r="Q13" s="200">
        <f>Data!AD11/Q$2*100000</f>
        <v>132.29484981739586</v>
      </c>
      <c r="R13" s="200">
        <f>Data!AE11/R$2*100000</f>
        <v>120.93785354816058</v>
      </c>
      <c r="S13" s="200">
        <f>Data!AF11/S$2*100000</f>
        <v>140.86310667178898</v>
      </c>
      <c r="T13" s="200">
        <f>Data!AG11/T$2*100000</f>
        <v>155.65134099616859</v>
      </c>
      <c r="U13" s="200">
        <f>Data!AH11/U$2*100000</f>
        <v>201.35729733760905</v>
      </c>
      <c r="V13" s="200">
        <f>Data!D11/V$2*100000</f>
        <v>28.331460472107825</v>
      </c>
      <c r="W13" s="177"/>
    </row>
    <row r="14" spans="1:23" ht="12" customHeight="1">
      <c r="A14" s="177"/>
      <c r="B14" s="196" t="str">
        <f>UPPER(LEFT(TRIM(Data!B12),1)) &amp; MID(TRIM(Data!B12),2,50)</f>
        <v>Kepenų</v>
      </c>
      <c r="C14" s="197" t="str">
        <f>Data!C12</f>
        <v>C22</v>
      </c>
      <c r="D14" s="201">
        <f>Data!Q12/D$2*100000</f>
        <v>1.2911555842479019</v>
      </c>
      <c r="E14" s="201">
        <f>Data!R12/E$2*100000</f>
        <v>0</v>
      </c>
      <c r="F14" s="201">
        <f>Data!S12/F$2*100000</f>
        <v>1.3193308354002848</v>
      </c>
      <c r="G14" s="201">
        <f>Data!T12/G$2*100000</f>
        <v>0</v>
      </c>
      <c r="H14" s="201">
        <f>Data!U12/H$2*100000</f>
        <v>0</v>
      </c>
      <c r="I14" s="201">
        <f>Data!V12/I$2*100000</f>
        <v>1.0050756319413037</v>
      </c>
      <c r="J14" s="201">
        <f>Data!W12/J$2*100000</f>
        <v>0</v>
      </c>
      <c r="K14" s="201">
        <f>Data!X12/K$2*100000</f>
        <v>0</v>
      </c>
      <c r="L14" s="201">
        <f>Data!Y12/L$2*100000</f>
        <v>2.9674471052553488</v>
      </c>
      <c r="M14" s="201">
        <f>Data!Z12/M$2*100000</f>
        <v>8.7849445572387932</v>
      </c>
      <c r="N14" s="201">
        <f>Data!AA12/N$2*100000</f>
        <v>8.1512140780524032</v>
      </c>
      <c r="O14" s="201">
        <f>Data!AB12/O$2*100000</f>
        <v>21.49661711130722</v>
      </c>
      <c r="P14" s="201">
        <f>Data!AC12/P$2*100000</f>
        <v>17.927325380955665</v>
      </c>
      <c r="Q14" s="201">
        <f>Data!AD12/Q$2*100000</f>
        <v>24.223000670790789</v>
      </c>
      <c r="R14" s="201">
        <f>Data!AE12/R$2*100000</f>
        <v>39.012210821987281</v>
      </c>
      <c r="S14" s="201">
        <f>Data!AF12/S$2*100000</f>
        <v>43.539505698552951</v>
      </c>
      <c r="T14" s="201">
        <f>Data!AG12/T$2*100000</f>
        <v>31.928480204342275</v>
      </c>
      <c r="U14" s="201">
        <f>Data!AH12/U$2*100000</f>
        <v>52.203743754194946</v>
      </c>
      <c r="V14" s="201">
        <f>Data!D12/V$2*100000</f>
        <v>8.8811054847799138</v>
      </c>
      <c r="W14" s="177"/>
    </row>
    <row r="15" spans="1:23" ht="12" customHeight="1">
      <c r="A15" s="177"/>
      <c r="B15" s="182" t="str">
        <f>UPPER(LEFT(TRIM(Data!B13),1)) &amp; MID(TRIM(Data!B13),2,50)</f>
        <v>Tulžies pūslės, ekstrahepatinių takų</v>
      </c>
      <c r="C15" s="183" t="str">
        <f>Data!C13</f>
        <v>C23, C24</v>
      </c>
      <c r="D15" s="200">
        <f>Data!Q13/D$2*100000</f>
        <v>0</v>
      </c>
      <c r="E15" s="200">
        <f>Data!R13/E$2*100000</f>
        <v>0</v>
      </c>
      <c r="F15" s="200">
        <f>Data!S13/F$2*100000</f>
        <v>0</v>
      </c>
      <c r="G15" s="200">
        <f>Data!T13/G$2*100000</f>
        <v>0</v>
      </c>
      <c r="H15" s="200">
        <f>Data!U13/H$2*100000</f>
        <v>0</v>
      </c>
      <c r="I15" s="200">
        <f>Data!V13/I$2*100000</f>
        <v>0</v>
      </c>
      <c r="J15" s="200">
        <f>Data!W13/J$2*100000</f>
        <v>0</v>
      </c>
      <c r="K15" s="200">
        <f>Data!X13/K$2*100000</f>
        <v>1.0960946148871571</v>
      </c>
      <c r="L15" s="200">
        <f>Data!Y13/L$2*100000</f>
        <v>1.9782980701702326</v>
      </c>
      <c r="M15" s="200">
        <f>Data!Z13/M$2*100000</f>
        <v>0.97610495080431048</v>
      </c>
      <c r="N15" s="200">
        <f>Data!AA13/N$2*100000</f>
        <v>1.8113809062338675</v>
      </c>
      <c r="O15" s="200">
        <f>Data!AB13/O$2*100000</f>
        <v>5.6570045029755844</v>
      </c>
      <c r="P15" s="200">
        <f>Data!AC13/P$2*100000</f>
        <v>8.2741501758256923</v>
      </c>
      <c r="Q15" s="200">
        <f>Data!AD13/Q$2*100000</f>
        <v>9.3165387195349183</v>
      </c>
      <c r="R15" s="200">
        <f>Data!AE13/R$2*100000</f>
        <v>11.703663246596184</v>
      </c>
      <c r="S15" s="200">
        <f>Data!AF13/S$2*100000</f>
        <v>23.050326546292741</v>
      </c>
      <c r="T15" s="200">
        <f>Data!AG13/T$2*100000</f>
        <v>31.928480204342275</v>
      </c>
      <c r="U15" s="200">
        <f>Data!AH13/U$2*100000</f>
        <v>22.373033037512119</v>
      </c>
      <c r="V15" s="200">
        <f>Data!D13/V$2*100000</f>
        <v>3.5230831675159986</v>
      </c>
      <c r="W15" s="177"/>
    </row>
    <row r="16" spans="1:23" ht="12" customHeight="1">
      <c r="A16" s="177"/>
      <c r="B16" s="196" t="str">
        <f>UPPER(LEFT(TRIM(Data!B14),1)) &amp; MID(TRIM(Data!B14),2,50)</f>
        <v>Kasos</v>
      </c>
      <c r="C16" s="197" t="str">
        <f>Data!C14</f>
        <v>C25</v>
      </c>
      <c r="D16" s="201">
        <f>Data!Q14/D$2*100000</f>
        <v>0</v>
      </c>
      <c r="E16" s="201">
        <f>Data!R14/E$2*100000</f>
        <v>0</v>
      </c>
      <c r="F16" s="201">
        <f>Data!S14/F$2*100000</f>
        <v>0</v>
      </c>
      <c r="G16" s="201">
        <f>Data!T14/G$2*100000</f>
        <v>0</v>
      </c>
      <c r="H16" s="201">
        <f>Data!U14/H$2*100000</f>
        <v>0</v>
      </c>
      <c r="I16" s="201">
        <f>Data!V14/I$2*100000</f>
        <v>0</v>
      </c>
      <c r="J16" s="201">
        <f>Data!W14/J$2*100000</f>
        <v>3.3892560582952043</v>
      </c>
      <c r="K16" s="201">
        <f>Data!X14/K$2*100000</f>
        <v>0</v>
      </c>
      <c r="L16" s="201">
        <f>Data!Y14/L$2*100000</f>
        <v>6.9240432455958141</v>
      </c>
      <c r="M16" s="201">
        <f>Data!Z14/M$2*100000</f>
        <v>6.8327346556301736</v>
      </c>
      <c r="N16" s="201">
        <f>Data!AA14/N$2*100000</f>
        <v>25.359332687274144</v>
      </c>
      <c r="O16" s="201">
        <f>Data!AB14/O$2*100000</f>
        <v>20.365216210712106</v>
      </c>
      <c r="P16" s="201">
        <f>Data!AC14/P$2*100000</f>
        <v>44.128800937737019</v>
      </c>
      <c r="Q16" s="201">
        <f>Data!AD14/Q$2*100000</f>
        <v>65.215771036744428</v>
      </c>
      <c r="R16" s="201">
        <f>Data!AE14/R$2*100000</f>
        <v>93.629305972769473</v>
      </c>
      <c r="S16" s="201">
        <f>Data!AF14/S$2*100000</f>
        <v>97.323600973236012</v>
      </c>
      <c r="T16" s="201">
        <f>Data!AG14/T$2*100000</f>
        <v>63.85696040868455</v>
      </c>
      <c r="U16" s="201">
        <f>Data!AH14/U$2*100000</f>
        <v>82.034454470877776</v>
      </c>
      <c r="V16" s="201">
        <f>Data!D14/V$2*100000</f>
        <v>17.835608535549746</v>
      </c>
      <c r="W16" s="177"/>
    </row>
    <row r="17" spans="1:23" ht="12" customHeight="1">
      <c r="A17" s="177"/>
      <c r="B17" s="182" t="str">
        <f>UPPER(LEFT(TRIM(Data!B15),1)) &amp; MID(TRIM(Data!B15),2,50)</f>
        <v>Kitų virškinimo sistemos organų</v>
      </c>
      <c r="C17" s="183" t="str">
        <f>Data!C15</f>
        <v>C17, C26, C48</v>
      </c>
      <c r="D17" s="200">
        <f>Data!Q15/D$2*100000</f>
        <v>0</v>
      </c>
      <c r="E17" s="200">
        <f>Data!R15/E$2*100000</f>
        <v>1.4491913512260159</v>
      </c>
      <c r="F17" s="200">
        <f>Data!S15/F$2*100000</f>
        <v>0</v>
      </c>
      <c r="G17" s="200">
        <f>Data!T15/G$2*100000</f>
        <v>0</v>
      </c>
      <c r="H17" s="200">
        <f>Data!U15/H$2*100000</f>
        <v>0</v>
      </c>
      <c r="I17" s="200">
        <f>Data!V15/I$2*100000</f>
        <v>0</v>
      </c>
      <c r="J17" s="200">
        <f>Data!W15/J$2*100000</f>
        <v>0</v>
      </c>
      <c r="K17" s="200">
        <f>Data!X15/K$2*100000</f>
        <v>1.0960946148871571</v>
      </c>
      <c r="L17" s="200">
        <f>Data!Y15/L$2*100000</f>
        <v>0.98914903508511631</v>
      </c>
      <c r="M17" s="200">
        <f>Data!Z15/M$2*100000</f>
        <v>1.952209901608621</v>
      </c>
      <c r="N17" s="200">
        <f>Data!AA15/N$2*100000</f>
        <v>1.8113809062338675</v>
      </c>
      <c r="O17" s="200">
        <f>Data!AB15/O$2*100000</f>
        <v>3.3942027017853507</v>
      </c>
      <c r="P17" s="200">
        <f>Data!AC15/P$2*100000</f>
        <v>2.7580500586085637</v>
      </c>
      <c r="Q17" s="200">
        <f>Data!AD15/Q$2*100000</f>
        <v>5.5899232317209515</v>
      </c>
      <c r="R17" s="200">
        <f>Data!AE15/R$2*100000</f>
        <v>5.851831623298092</v>
      </c>
      <c r="S17" s="200">
        <f>Data!AF15/S$2*100000</f>
        <v>7.68344218209758</v>
      </c>
      <c r="T17" s="200">
        <f>Data!AG15/T$2*100000</f>
        <v>19.955300127713922</v>
      </c>
      <c r="U17" s="200">
        <f>Data!AH15/U$2*100000</f>
        <v>29.830710716682823</v>
      </c>
      <c r="V17" s="200">
        <f>Data!D15/V$2*100000</f>
        <v>2.2019269796974994</v>
      </c>
      <c r="W17" s="177"/>
    </row>
    <row r="18" spans="1:23" ht="12" customHeight="1">
      <c r="A18" s="177"/>
      <c r="B18" s="196" t="str">
        <f>UPPER(LEFT(TRIM(Data!B16),1)) &amp; MID(TRIM(Data!B16),2,50)</f>
        <v>Nosies ertmės, vid.ausies ir ančių</v>
      </c>
      <c r="C18" s="197" t="str">
        <f>Data!C16</f>
        <v>C30, C31</v>
      </c>
      <c r="D18" s="201">
        <f>Data!Q16/D$2*100000</f>
        <v>0</v>
      </c>
      <c r="E18" s="201">
        <f>Data!R16/E$2*100000</f>
        <v>0</v>
      </c>
      <c r="F18" s="201">
        <f>Data!S16/F$2*100000</f>
        <v>0</v>
      </c>
      <c r="G18" s="201">
        <f>Data!T16/G$2*100000</f>
        <v>0</v>
      </c>
      <c r="H18" s="201">
        <f>Data!U16/H$2*100000</f>
        <v>0.90873567605390626</v>
      </c>
      <c r="I18" s="201">
        <f>Data!V16/I$2*100000</f>
        <v>0</v>
      </c>
      <c r="J18" s="201">
        <f>Data!W16/J$2*100000</f>
        <v>0</v>
      </c>
      <c r="K18" s="201">
        <f>Data!X16/K$2*100000</f>
        <v>0</v>
      </c>
      <c r="L18" s="201">
        <f>Data!Y16/L$2*100000</f>
        <v>0</v>
      </c>
      <c r="M18" s="201">
        <f>Data!Z16/M$2*100000</f>
        <v>4.8805247540215522</v>
      </c>
      <c r="N18" s="201">
        <f>Data!AA16/N$2*100000</f>
        <v>1.8113809062338675</v>
      </c>
      <c r="O18" s="201">
        <f>Data!AB16/O$2*100000</f>
        <v>2.2628018011902338</v>
      </c>
      <c r="P18" s="201">
        <f>Data!AC16/P$2*100000</f>
        <v>1.3790250293042818</v>
      </c>
      <c r="Q18" s="201">
        <f>Data!AD16/Q$2*100000</f>
        <v>9.3165387195349183</v>
      </c>
      <c r="R18" s="201">
        <f>Data!AE16/R$2*100000</f>
        <v>1.9506105410993639</v>
      </c>
      <c r="S18" s="201">
        <f>Data!AF16/S$2*100000</f>
        <v>2.5611473940325262</v>
      </c>
      <c r="T18" s="201">
        <f>Data!AG16/T$2*100000</f>
        <v>3.9910600255427844</v>
      </c>
      <c r="U18" s="201">
        <f>Data!AH16/U$2*100000</f>
        <v>0</v>
      </c>
      <c r="V18" s="201">
        <f>Data!D16/V$2*100000</f>
        <v>1.3945537538084161</v>
      </c>
      <c r="W18" s="177"/>
    </row>
    <row r="19" spans="1:23" ht="12" customHeight="1">
      <c r="A19" s="177"/>
      <c r="B19" s="182" t="str">
        <f>UPPER(LEFT(TRIM(Data!B17),1)) &amp; MID(TRIM(Data!B17),2,50)</f>
        <v>Gerklų</v>
      </c>
      <c r="C19" s="183" t="str">
        <f>Data!C17</f>
        <v>C32</v>
      </c>
      <c r="D19" s="200">
        <f>Data!Q17/D$2*100000</f>
        <v>0</v>
      </c>
      <c r="E19" s="200">
        <f>Data!R17/E$2*100000</f>
        <v>0</v>
      </c>
      <c r="F19" s="200">
        <f>Data!S17/F$2*100000</f>
        <v>0</v>
      </c>
      <c r="G19" s="200">
        <f>Data!T17/G$2*100000</f>
        <v>1.0683304132302038</v>
      </c>
      <c r="H19" s="200">
        <f>Data!U17/H$2*100000</f>
        <v>0</v>
      </c>
      <c r="I19" s="200">
        <f>Data!V17/I$2*100000</f>
        <v>0</v>
      </c>
      <c r="J19" s="200">
        <f>Data!W17/J$2*100000</f>
        <v>0</v>
      </c>
      <c r="K19" s="200">
        <f>Data!X17/K$2*100000</f>
        <v>0</v>
      </c>
      <c r="L19" s="200">
        <f>Data!Y17/L$2*100000</f>
        <v>3.9565961403404653</v>
      </c>
      <c r="M19" s="200">
        <f>Data!Z17/M$2*100000</f>
        <v>8.7849445572387932</v>
      </c>
      <c r="N19" s="200">
        <f>Data!AA17/N$2*100000</f>
        <v>9.9625949842862713</v>
      </c>
      <c r="O19" s="200">
        <f>Data!AB17/O$2*100000</f>
        <v>33.942027017853512</v>
      </c>
      <c r="P19" s="200">
        <f>Data!AC17/P$2*100000</f>
        <v>38.612700820519898</v>
      </c>
      <c r="Q19" s="200">
        <f>Data!AD17/Q$2*100000</f>
        <v>37.266154878139673</v>
      </c>
      <c r="R19" s="200">
        <f>Data!AE17/R$2*100000</f>
        <v>40.962821363086647</v>
      </c>
      <c r="S19" s="200">
        <f>Data!AF17/S$2*100000</f>
        <v>40.97835830452042</v>
      </c>
      <c r="T19" s="200">
        <f>Data!AG17/T$2*100000</f>
        <v>23.946360153256705</v>
      </c>
      <c r="U19" s="200">
        <f>Data!AH17/U$2*100000</f>
        <v>37.288388395853531</v>
      </c>
      <c r="V19" s="200">
        <f>Data!D17/V$2*100000</f>
        <v>11.083032464477412</v>
      </c>
      <c r="W19" s="177"/>
    </row>
    <row r="20" spans="1:23" ht="12" customHeight="1">
      <c r="A20" s="177"/>
      <c r="B20" s="196" t="str">
        <f>UPPER(LEFT(TRIM(Data!B18),1)) &amp; MID(TRIM(Data!B18),2,50)</f>
        <v>Plaučių, trachėjos, bronchų</v>
      </c>
      <c r="C20" s="197" t="str">
        <f>Data!C18</f>
        <v>C33, C34</v>
      </c>
      <c r="D20" s="201">
        <f>Data!Q18/D$2*100000</f>
        <v>0</v>
      </c>
      <c r="E20" s="201">
        <f>Data!R18/E$2*100000</f>
        <v>0</v>
      </c>
      <c r="F20" s="201">
        <f>Data!S18/F$2*100000</f>
        <v>0</v>
      </c>
      <c r="G20" s="201">
        <f>Data!T18/G$2*100000</f>
        <v>0</v>
      </c>
      <c r="H20" s="201">
        <f>Data!U18/H$2*100000</f>
        <v>0</v>
      </c>
      <c r="I20" s="201">
        <f>Data!V18/I$2*100000</f>
        <v>1.0050756319413037</v>
      </c>
      <c r="J20" s="201">
        <f>Data!W18/J$2*100000</f>
        <v>0</v>
      </c>
      <c r="K20" s="201">
        <f>Data!X18/K$2*100000</f>
        <v>4.3843784595486284</v>
      </c>
      <c r="L20" s="201">
        <f>Data!Y18/L$2*100000</f>
        <v>8.902341315766046</v>
      </c>
      <c r="M20" s="201">
        <f>Data!Z18/M$2*100000</f>
        <v>31.235358425737935</v>
      </c>
      <c r="N20" s="201">
        <f>Data!AA18/N$2*100000</f>
        <v>67.021093530653104</v>
      </c>
      <c r="O20" s="201">
        <f>Data!AB18/O$2*100000</f>
        <v>164.05313058629193</v>
      </c>
      <c r="P20" s="201">
        <f>Data!AC18/P$2*100000</f>
        <v>270.28890574363925</v>
      </c>
      <c r="Q20" s="201">
        <f>Data!AD18/Q$2*100000</f>
        <v>339.122009391071</v>
      </c>
      <c r="R20" s="201">
        <f>Data!AE18/R$2*100000</f>
        <v>390.12210821987281</v>
      </c>
      <c r="S20" s="201">
        <f>Data!AF18/S$2*100000</f>
        <v>455.88423613778974</v>
      </c>
      <c r="T20" s="201">
        <f>Data!AG18/T$2*100000</f>
        <v>363.18646232439335</v>
      </c>
      <c r="U20" s="201">
        <f>Data!AH18/U$2*100000</f>
        <v>261.01871877097471</v>
      </c>
      <c r="V20" s="201">
        <f>Data!D18/V$2*100000</f>
        <v>84.187008190434383</v>
      </c>
      <c r="W20" s="177"/>
    </row>
    <row r="21" spans="1:23" ht="12" customHeight="1">
      <c r="A21" s="177"/>
      <c r="B21" s="182" t="str">
        <f>UPPER(LEFT(TRIM(Data!B19),1)) &amp; MID(TRIM(Data!B19),2,50)</f>
        <v>Kitų kvėpavimo sistemos organų</v>
      </c>
      <c r="C21" s="183" t="str">
        <f>Data!C19</f>
        <v>C37-C39</v>
      </c>
      <c r="D21" s="200">
        <f>Data!Q19/D$2*100000</f>
        <v>0</v>
      </c>
      <c r="E21" s="200">
        <f>Data!R19/E$2*100000</f>
        <v>0</v>
      </c>
      <c r="F21" s="200">
        <f>Data!S19/F$2*100000</f>
        <v>0</v>
      </c>
      <c r="G21" s="200">
        <f>Data!T19/G$2*100000</f>
        <v>0</v>
      </c>
      <c r="H21" s="200">
        <f>Data!U19/H$2*100000</f>
        <v>0</v>
      </c>
      <c r="I21" s="200">
        <f>Data!V19/I$2*100000</f>
        <v>0</v>
      </c>
      <c r="J21" s="200">
        <f>Data!W19/J$2*100000</f>
        <v>0</v>
      </c>
      <c r="K21" s="200">
        <f>Data!X19/K$2*100000</f>
        <v>0</v>
      </c>
      <c r="L21" s="200">
        <f>Data!Y19/L$2*100000</f>
        <v>0.98914903508511631</v>
      </c>
      <c r="M21" s="200">
        <f>Data!Z19/M$2*100000</f>
        <v>0.97610495080431048</v>
      </c>
      <c r="N21" s="200">
        <f>Data!AA19/N$2*100000</f>
        <v>0</v>
      </c>
      <c r="O21" s="200">
        <f>Data!AB19/O$2*100000</f>
        <v>1.1314009005951169</v>
      </c>
      <c r="P21" s="200">
        <f>Data!AC19/P$2*100000</f>
        <v>0</v>
      </c>
      <c r="Q21" s="200">
        <f>Data!AD19/Q$2*100000</f>
        <v>1.8633077439069838</v>
      </c>
      <c r="R21" s="200">
        <f>Data!AE19/R$2*100000</f>
        <v>3.9012210821987279</v>
      </c>
      <c r="S21" s="200">
        <f>Data!AF19/S$2*100000</f>
        <v>2.5611473940325262</v>
      </c>
      <c r="T21" s="200">
        <f>Data!AG19/T$2*100000</f>
        <v>3.9910600255427844</v>
      </c>
      <c r="U21" s="200">
        <f>Data!AH19/U$2*100000</f>
        <v>0</v>
      </c>
      <c r="V21" s="200">
        <f>Data!D19/V$2*100000</f>
        <v>0.58718052791933317</v>
      </c>
      <c r="W21" s="177"/>
    </row>
    <row r="22" spans="1:23" ht="12" customHeight="1">
      <c r="A22" s="177"/>
      <c r="B22" s="196" t="str">
        <f>UPPER(LEFT(TRIM(Data!B20),1)) &amp; MID(TRIM(Data!B20),2,50)</f>
        <v>Kaulų ir jungiamojo audinio</v>
      </c>
      <c r="C22" s="197" t="str">
        <f>Data!C20</f>
        <v>C40-C41, C45-C47, C49</v>
      </c>
      <c r="D22" s="201">
        <f>Data!Q20/D$2*100000</f>
        <v>1.2911555842479019</v>
      </c>
      <c r="E22" s="201">
        <f>Data!R20/E$2*100000</f>
        <v>0</v>
      </c>
      <c r="F22" s="201">
        <f>Data!S20/F$2*100000</f>
        <v>2.6386616708005697</v>
      </c>
      <c r="G22" s="201">
        <f>Data!T20/G$2*100000</f>
        <v>1.0683304132302038</v>
      </c>
      <c r="H22" s="201">
        <f>Data!U20/H$2*100000</f>
        <v>1.8174713521078125</v>
      </c>
      <c r="I22" s="201">
        <f>Data!V20/I$2*100000</f>
        <v>0</v>
      </c>
      <c r="J22" s="201">
        <f>Data!W20/J$2*100000</f>
        <v>3.3892560582952043</v>
      </c>
      <c r="K22" s="201">
        <f>Data!X20/K$2*100000</f>
        <v>2.1921892297743142</v>
      </c>
      <c r="L22" s="201">
        <f>Data!Y20/L$2*100000</f>
        <v>3.9565961403404653</v>
      </c>
      <c r="M22" s="201">
        <f>Data!Z20/M$2*100000</f>
        <v>3.9044198032172419</v>
      </c>
      <c r="N22" s="201">
        <f>Data!AA20/N$2*100000</f>
        <v>6.3398331718185359</v>
      </c>
      <c r="O22" s="201">
        <f>Data!AB20/O$2*100000</f>
        <v>1.1314009005951169</v>
      </c>
      <c r="P22" s="201">
        <f>Data!AC20/P$2*100000</f>
        <v>9.6531752051299744</v>
      </c>
      <c r="Q22" s="201">
        <f>Data!AD20/Q$2*100000</f>
        <v>18.633077439069837</v>
      </c>
      <c r="R22" s="201">
        <f>Data!AE20/R$2*100000</f>
        <v>13.65427378769555</v>
      </c>
      <c r="S22" s="201">
        <f>Data!AF20/S$2*100000</f>
        <v>23.050326546292741</v>
      </c>
      <c r="T22" s="201">
        <f>Data!AG20/T$2*100000</f>
        <v>3.9910600255427844</v>
      </c>
      <c r="U22" s="201">
        <f>Data!AH20/U$2*100000</f>
        <v>22.373033037512119</v>
      </c>
      <c r="V22" s="201">
        <f>Data!D20/V$2*100000</f>
        <v>4.6974442233546654</v>
      </c>
      <c r="W22" s="177"/>
    </row>
    <row r="23" spans="1:23" ht="12" customHeight="1">
      <c r="A23" s="177"/>
      <c r="B23" s="182" t="str">
        <f>UPPER(LEFT(TRIM(Data!B21),1)) &amp; MID(TRIM(Data!B21),2,50)</f>
        <v>Odos melanoma</v>
      </c>
      <c r="C23" s="183" t="str">
        <f>Data!C21</f>
        <v>C43</v>
      </c>
      <c r="D23" s="200">
        <f>Data!Q21/D$2*100000</f>
        <v>0</v>
      </c>
      <c r="E23" s="200">
        <f>Data!R21/E$2*100000</f>
        <v>0</v>
      </c>
      <c r="F23" s="200">
        <f>Data!S21/F$2*100000</f>
        <v>1.3193308354002848</v>
      </c>
      <c r="G23" s="200">
        <f>Data!T21/G$2*100000</f>
        <v>0</v>
      </c>
      <c r="H23" s="200">
        <f>Data!U21/H$2*100000</f>
        <v>0.90873567605390626</v>
      </c>
      <c r="I23" s="200">
        <f>Data!V21/I$2*100000</f>
        <v>4.0203025277652147</v>
      </c>
      <c r="J23" s="200">
        <f>Data!W21/J$2*100000</f>
        <v>5.6487600971586733</v>
      </c>
      <c r="K23" s="200">
        <f>Data!X21/K$2*100000</f>
        <v>4.3843784595486284</v>
      </c>
      <c r="L23" s="200">
        <f>Data!Y21/L$2*100000</f>
        <v>9.8914903508511625</v>
      </c>
      <c r="M23" s="200">
        <f>Data!Z21/M$2*100000</f>
        <v>7.8088396064344838</v>
      </c>
      <c r="N23" s="200">
        <f>Data!AA21/N$2*100000</f>
        <v>11.773975890520138</v>
      </c>
      <c r="O23" s="200">
        <f>Data!AB21/O$2*100000</f>
        <v>12.445409906546287</v>
      </c>
      <c r="P23" s="200">
        <f>Data!AC21/P$2*100000</f>
        <v>22.064400468868509</v>
      </c>
      <c r="Q23" s="200">
        <f>Data!AD21/Q$2*100000</f>
        <v>16.769769695162854</v>
      </c>
      <c r="R23" s="200">
        <f>Data!AE21/R$2*100000</f>
        <v>29.259158116490458</v>
      </c>
      <c r="S23" s="200">
        <f>Data!AF21/S$2*100000</f>
        <v>28.172621334357792</v>
      </c>
      <c r="T23" s="200">
        <f>Data!AG21/T$2*100000</f>
        <v>47.892720306513411</v>
      </c>
      <c r="U23" s="200">
        <f>Data!AH21/U$2*100000</f>
        <v>29.830710716682823</v>
      </c>
      <c r="V23" s="200">
        <f>Data!D21/V$2*100000</f>
        <v>9.1012981827496642</v>
      </c>
      <c r="W23" s="177"/>
    </row>
    <row r="24" spans="1:23" ht="12" customHeight="1">
      <c r="A24" s="177"/>
      <c r="B24" s="196" t="str">
        <f>UPPER(LEFT(TRIM(Data!B22),1)) &amp; MID(TRIM(Data!B22),2,50)</f>
        <v>Kiti odos piktybiniai navikai</v>
      </c>
      <c r="C24" s="197" t="str">
        <f>Data!C22</f>
        <v>C44</v>
      </c>
      <c r="D24" s="201">
        <f>Data!Q22/D$2*100000</f>
        <v>0</v>
      </c>
      <c r="E24" s="201">
        <f>Data!R22/E$2*100000</f>
        <v>0</v>
      </c>
      <c r="F24" s="201">
        <f>Data!S22/F$2*100000</f>
        <v>0</v>
      </c>
      <c r="G24" s="201">
        <f>Data!T22/G$2*100000</f>
        <v>2.1366608264604077</v>
      </c>
      <c r="H24" s="201">
        <f>Data!U22/H$2*100000</f>
        <v>0</v>
      </c>
      <c r="I24" s="201">
        <f>Data!V22/I$2*100000</f>
        <v>4.0203025277652147</v>
      </c>
      <c r="J24" s="201">
        <f>Data!W22/J$2*100000</f>
        <v>10.167768174885612</v>
      </c>
      <c r="K24" s="201">
        <f>Data!X22/K$2*100000</f>
        <v>9.8648515339844138</v>
      </c>
      <c r="L24" s="201">
        <f>Data!Y22/L$2*100000</f>
        <v>19.782980701702325</v>
      </c>
      <c r="M24" s="201">
        <f>Data!Z22/M$2*100000</f>
        <v>29.283148524129313</v>
      </c>
      <c r="N24" s="201">
        <f>Data!AA22/N$2*100000</f>
        <v>44.378832202729747</v>
      </c>
      <c r="O24" s="201">
        <f>Data!AB22/O$2*100000</f>
        <v>79.198063041658187</v>
      </c>
      <c r="P24" s="201">
        <f>Data!AC22/P$2*100000</f>
        <v>121.35420257877682</v>
      </c>
      <c r="Q24" s="201">
        <f>Data!AD22/Q$2*100000</f>
        <v>225.46023701274501</v>
      </c>
      <c r="R24" s="201">
        <f>Data!AE22/R$2*100000</f>
        <v>284.78913900050713</v>
      </c>
      <c r="S24" s="201">
        <f>Data!AF22/S$2*100000</f>
        <v>394.41669868100911</v>
      </c>
      <c r="T24" s="201">
        <f>Data!AG22/T$2*100000</f>
        <v>458.97190293742017</v>
      </c>
      <c r="U24" s="201">
        <f>Data!AH22/U$2*100000</f>
        <v>484.7490491460959</v>
      </c>
      <c r="V24" s="201">
        <f>Data!D22/V$2*100000</f>
        <v>64.736653203106471</v>
      </c>
      <c r="W24" s="177"/>
    </row>
    <row r="25" spans="1:23" ht="12" customHeight="1">
      <c r="A25" s="177"/>
      <c r="B25" s="182" t="str">
        <f>UPPER(LEFT(TRIM(Data!B23),1)) &amp; MID(TRIM(Data!B23),2,50)</f>
        <v>Krūties</v>
      </c>
      <c r="C25" s="183" t="str">
        <f>Data!C23</f>
        <v>C50</v>
      </c>
      <c r="D25" s="200">
        <f>Data!Q23/D$2*100000</f>
        <v>0</v>
      </c>
      <c r="E25" s="200">
        <f>Data!R23/E$2*100000</f>
        <v>0</v>
      </c>
      <c r="F25" s="200">
        <f>Data!S23/F$2*100000</f>
        <v>0</v>
      </c>
      <c r="G25" s="200">
        <f>Data!T23/G$2*100000</f>
        <v>0</v>
      </c>
      <c r="H25" s="200">
        <f>Data!U23/H$2*100000</f>
        <v>0</v>
      </c>
      <c r="I25" s="200">
        <f>Data!V23/I$2*100000</f>
        <v>0</v>
      </c>
      <c r="J25" s="200">
        <f>Data!W23/J$2*100000</f>
        <v>0</v>
      </c>
      <c r="K25" s="200">
        <f>Data!X23/K$2*100000</f>
        <v>0</v>
      </c>
      <c r="L25" s="200">
        <f>Data!Y23/L$2*100000</f>
        <v>0</v>
      </c>
      <c r="M25" s="200">
        <f>Data!Z23/M$2*100000</f>
        <v>1.952209901608621</v>
      </c>
      <c r="N25" s="200">
        <f>Data!AA23/N$2*100000</f>
        <v>0.90569045311693375</v>
      </c>
      <c r="O25" s="200">
        <f>Data!AB23/O$2*100000</f>
        <v>1.1314009005951169</v>
      </c>
      <c r="P25" s="200">
        <f>Data!AC23/P$2*100000</f>
        <v>0</v>
      </c>
      <c r="Q25" s="200">
        <f>Data!AD23/Q$2*100000</f>
        <v>3.7266154878139677</v>
      </c>
      <c r="R25" s="200">
        <f>Data!AE23/R$2*100000</f>
        <v>0</v>
      </c>
      <c r="S25" s="200">
        <f>Data!AF23/S$2*100000</f>
        <v>5.1222947880650525</v>
      </c>
      <c r="T25" s="200">
        <f>Data!AG23/T$2*100000</f>
        <v>3.9910600255427844</v>
      </c>
      <c r="U25" s="200">
        <f>Data!AH23/U$2*100000</f>
        <v>7.4576776791707058</v>
      </c>
      <c r="V25" s="200">
        <f>Data!D23/V$2*100000</f>
        <v>0.73397565989916647</v>
      </c>
      <c r="W25" s="177"/>
    </row>
    <row r="26" spans="1:23" ht="12" customHeight="1">
      <c r="A26" s="177"/>
      <c r="B26" s="196" t="str">
        <f>UPPER(LEFT(TRIM(Data!B28),1)) &amp; MID(TRIM(Data!B28),2,50)</f>
        <v>Priešinės liaukos</v>
      </c>
      <c r="C26" s="197" t="str">
        <f>Data!C28</f>
        <v>C61</v>
      </c>
      <c r="D26" s="201">
        <f>Data!Q28/D$2*100000</f>
        <v>0</v>
      </c>
      <c r="E26" s="201">
        <f>Data!R28/E$2*100000</f>
        <v>0</v>
      </c>
      <c r="F26" s="201">
        <f>Data!S28/F$2*100000</f>
        <v>0</v>
      </c>
      <c r="G26" s="201">
        <f>Data!T28/G$2*100000</f>
        <v>0</v>
      </c>
      <c r="H26" s="201">
        <f>Data!U28/H$2*100000</f>
        <v>0</v>
      </c>
      <c r="I26" s="201">
        <f>Data!V28/I$2*100000</f>
        <v>1.0050756319413037</v>
      </c>
      <c r="J26" s="201">
        <f>Data!W28/J$2*100000</f>
        <v>0</v>
      </c>
      <c r="K26" s="201">
        <f>Data!X28/K$2*100000</f>
        <v>1.0960946148871571</v>
      </c>
      <c r="L26" s="201">
        <f>Data!Y28/L$2*100000</f>
        <v>8.902341315766046</v>
      </c>
      <c r="M26" s="201">
        <f>Data!Z28/M$2*100000</f>
        <v>31.235358425737935</v>
      </c>
      <c r="N26" s="201">
        <f>Data!AA28/N$2*100000</f>
        <v>268.08437412261242</v>
      </c>
      <c r="O26" s="201">
        <f>Data!AB28/O$2*100000</f>
        <v>475.1883782499491</v>
      </c>
      <c r="P26" s="201">
        <f>Data!AC28/P$2*100000</f>
        <v>838.44721781700332</v>
      </c>
      <c r="Q26" s="201">
        <f>Data!AD28/Q$2*100000</f>
        <v>1173.8838786613996</v>
      </c>
      <c r="R26" s="201">
        <f>Data!AE28/R$2*100000</f>
        <v>1303.0078414543752</v>
      </c>
      <c r="S26" s="201">
        <f>Data!AF28/S$2*100000</f>
        <v>737.61044948136771</v>
      </c>
      <c r="T26" s="201">
        <f>Data!AG28/T$2*100000</f>
        <v>666.50702426564487</v>
      </c>
      <c r="U26" s="201">
        <f>Data!AH28/U$2*100000</f>
        <v>768.1408009545828</v>
      </c>
      <c r="V26" s="201">
        <f>Data!D28/V$2*100000</f>
        <v>236.56035518550135</v>
      </c>
      <c r="W26" s="177"/>
    </row>
    <row r="27" spans="1:23" ht="12" customHeight="1">
      <c r="A27" s="177"/>
      <c r="B27" s="182" t="str">
        <f>UPPER(LEFT(TRIM(Data!B29),1)) &amp; MID(TRIM(Data!B29),2,50)</f>
        <v>Sėklidžių</v>
      </c>
      <c r="C27" s="183" t="str">
        <f>Data!C29</f>
        <v>C62</v>
      </c>
      <c r="D27" s="200">
        <f>Data!Q29/D$2*100000</f>
        <v>0</v>
      </c>
      <c r="E27" s="200">
        <f>Data!R29/E$2*100000</f>
        <v>0</v>
      </c>
      <c r="F27" s="200">
        <f>Data!S29/F$2*100000</f>
        <v>1.3193308354002848</v>
      </c>
      <c r="G27" s="200">
        <f>Data!T29/G$2*100000</f>
        <v>1.0683304132302038</v>
      </c>
      <c r="H27" s="200">
        <f>Data!U29/H$2*100000</f>
        <v>5.4524140563234376</v>
      </c>
      <c r="I27" s="200">
        <f>Data!V29/I$2*100000</f>
        <v>8.0406050555304294</v>
      </c>
      <c r="J27" s="200">
        <f>Data!W29/J$2*100000</f>
        <v>11.297520194317347</v>
      </c>
      <c r="K27" s="200">
        <f>Data!X29/K$2*100000</f>
        <v>6.5765676893229417</v>
      </c>
      <c r="L27" s="200">
        <f>Data!Y29/L$2*100000</f>
        <v>7.9131922806809305</v>
      </c>
      <c r="M27" s="200">
        <f>Data!Z29/M$2*100000</f>
        <v>0</v>
      </c>
      <c r="N27" s="200">
        <f>Data!AA29/N$2*100000</f>
        <v>1.8113809062338675</v>
      </c>
      <c r="O27" s="200">
        <f>Data!AB29/O$2*100000</f>
        <v>2.2628018011902338</v>
      </c>
      <c r="P27" s="200">
        <f>Data!AC29/P$2*100000</f>
        <v>1.3790250293042818</v>
      </c>
      <c r="Q27" s="200">
        <f>Data!AD29/Q$2*100000</f>
        <v>0</v>
      </c>
      <c r="R27" s="200">
        <f>Data!AE29/R$2*100000</f>
        <v>1.9506105410993639</v>
      </c>
      <c r="S27" s="200">
        <f>Data!AF29/S$2*100000</f>
        <v>0</v>
      </c>
      <c r="T27" s="200">
        <f>Data!AG29/T$2*100000</f>
        <v>3.9910600255427844</v>
      </c>
      <c r="U27" s="200">
        <f>Data!AH29/U$2*100000</f>
        <v>0</v>
      </c>
      <c r="V27" s="200">
        <f>Data!D29/V$2*100000</f>
        <v>3.4496856015260819</v>
      </c>
      <c r="W27" s="177"/>
    </row>
    <row r="28" spans="1:23" ht="12" customHeight="1">
      <c r="A28" s="177"/>
      <c r="B28" s="196" t="str">
        <f>UPPER(LEFT(TRIM(Data!B30),1)) &amp; MID(TRIM(Data!B30),2,50)</f>
        <v>Kitų lyties organų</v>
      </c>
      <c r="C28" s="197" t="s">
        <v>416</v>
      </c>
      <c r="D28" s="201">
        <f>Data!Q30/D$2*100000</f>
        <v>0</v>
      </c>
      <c r="E28" s="201">
        <f>Data!R30/E$2*100000</f>
        <v>1.4491913512260159</v>
      </c>
      <c r="F28" s="201">
        <f>Data!S30/F$2*100000</f>
        <v>0</v>
      </c>
      <c r="G28" s="201">
        <f>Data!T30/G$2*100000</f>
        <v>0</v>
      </c>
      <c r="H28" s="201">
        <f>Data!U30/H$2*100000</f>
        <v>0</v>
      </c>
      <c r="I28" s="201">
        <f>Data!V30/I$2*100000</f>
        <v>0</v>
      </c>
      <c r="J28" s="201">
        <f>Data!W30/J$2*100000</f>
        <v>1.1297520194317348</v>
      </c>
      <c r="K28" s="201">
        <f>Data!X30/K$2*100000</f>
        <v>0</v>
      </c>
      <c r="L28" s="201">
        <f>Data!Y30/L$2*100000</f>
        <v>2.9674471052553488</v>
      </c>
      <c r="M28" s="201">
        <f>Data!Z30/M$2*100000</f>
        <v>0</v>
      </c>
      <c r="N28" s="201">
        <f>Data!AA30/N$2*100000</f>
        <v>0.90569045311693375</v>
      </c>
      <c r="O28" s="201">
        <f>Data!AB30/O$2*100000</f>
        <v>9.0512072047609351</v>
      </c>
      <c r="P28" s="201">
        <f>Data!AC30/P$2*100000</f>
        <v>8.2741501758256923</v>
      </c>
      <c r="Q28" s="201">
        <f>Data!AD30/Q$2*100000</f>
        <v>1.8633077439069838</v>
      </c>
      <c r="R28" s="201">
        <f>Data!AE30/R$2*100000</f>
        <v>3.9012210821987279</v>
      </c>
      <c r="S28" s="201">
        <f>Data!AF30/S$2*100000</f>
        <v>7.68344218209758</v>
      </c>
      <c r="T28" s="201">
        <f>Data!AG30/T$2*100000</f>
        <v>3.9910600255427844</v>
      </c>
      <c r="U28" s="201">
        <f>Data!AH30/U$2*100000</f>
        <v>7.4576776791707058</v>
      </c>
      <c r="V28" s="201">
        <f>Data!D30/V$2*100000</f>
        <v>2.0551318477176661</v>
      </c>
      <c r="W28" s="177"/>
    </row>
    <row r="29" spans="1:23" ht="12" customHeight="1">
      <c r="A29" s="177"/>
      <c r="B29" s="182" t="str">
        <f>UPPER(LEFT(TRIM(Data!B31),1)) &amp; MID(TRIM(Data!B31),2,50)</f>
        <v>Inkstų</v>
      </c>
      <c r="C29" s="183" t="str">
        <f>Data!C31</f>
        <v>C64</v>
      </c>
      <c r="D29" s="200">
        <f>Data!Q31/D$2*100000</f>
        <v>1.2911555842479019</v>
      </c>
      <c r="E29" s="200">
        <f>Data!R31/E$2*100000</f>
        <v>0</v>
      </c>
      <c r="F29" s="200">
        <f>Data!S31/F$2*100000</f>
        <v>0</v>
      </c>
      <c r="G29" s="200">
        <f>Data!T31/G$2*100000</f>
        <v>0</v>
      </c>
      <c r="H29" s="200">
        <f>Data!U31/H$2*100000</f>
        <v>0</v>
      </c>
      <c r="I29" s="200">
        <f>Data!V31/I$2*100000</f>
        <v>2.0101512638826073</v>
      </c>
      <c r="J29" s="200">
        <f>Data!W31/J$2*100000</f>
        <v>3.3892560582952043</v>
      </c>
      <c r="K29" s="200">
        <f>Data!X31/K$2*100000</f>
        <v>6.5765676893229417</v>
      </c>
      <c r="L29" s="200">
        <f>Data!Y31/L$2*100000</f>
        <v>12.85893745610651</v>
      </c>
      <c r="M29" s="200">
        <f>Data!Z31/M$2*100000</f>
        <v>27.330938622520694</v>
      </c>
      <c r="N29" s="200">
        <f>Data!AA31/N$2*100000</f>
        <v>35.321927671560417</v>
      </c>
      <c r="O29" s="200">
        <f>Data!AB31/O$2*100000</f>
        <v>48.650238725590022</v>
      </c>
      <c r="P29" s="200">
        <f>Data!AC31/P$2*100000</f>
        <v>56.540026201475555</v>
      </c>
      <c r="Q29" s="200">
        <f>Data!AD31/Q$2*100000</f>
        <v>83.848848475814265</v>
      </c>
      <c r="R29" s="200">
        <f>Data!AE31/R$2*100000</f>
        <v>120.93785354816058</v>
      </c>
      <c r="S29" s="200">
        <f>Data!AF31/S$2*100000</f>
        <v>110.12933794339864</v>
      </c>
      <c r="T29" s="200">
        <f>Data!AG31/T$2*100000</f>
        <v>115.74074074074073</v>
      </c>
      <c r="U29" s="200">
        <f>Data!AH31/U$2*100000</f>
        <v>82.034454470877776</v>
      </c>
      <c r="V29" s="200">
        <f>Data!D31/V$2*100000</f>
        <v>26.86350915230949</v>
      </c>
      <c r="W29" s="177"/>
    </row>
    <row r="30" spans="1:23" ht="12" customHeight="1">
      <c r="A30" s="177"/>
      <c r="B30" s="196" t="str">
        <f>UPPER(LEFT(TRIM(Data!B32),1)) &amp; MID(TRIM(Data!B32),2,50)</f>
        <v>Šlapimo pūslės</v>
      </c>
      <c r="C30" s="197" t="str">
        <f>Data!C32</f>
        <v>C67</v>
      </c>
      <c r="D30" s="201">
        <f>Data!Q32/D$2*100000</f>
        <v>0</v>
      </c>
      <c r="E30" s="201">
        <f>Data!R32/E$2*100000</f>
        <v>0</v>
      </c>
      <c r="F30" s="201">
        <f>Data!S32/F$2*100000</f>
        <v>0</v>
      </c>
      <c r="G30" s="201">
        <f>Data!T32/G$2*100000</f>
        <v>0</v>
      </c>
      <c r="H30" s="201">
        <f>Data!U32/H$2*100000</f>
        <v>0</v>
      </c>
      <c r="I30" s="201">
        <f>Data!V32/I$2*100000</f>
        <v>1.0050756319413037</v>
      </c>
      <c r="J30" s="201">
        <f>Data!W32/J$2*100000</f>
        <v>2.2595040388634695</v>
      </c>
      <c r="K30" s="201">
        <f>Data!X32/K$2*100000</f>
        <v>2.1921892297743142</v>
      </c>
      <c r="L30" s="201">
        <f>Data!Y32/L$2*100000</f>
        <v>6.9240432455958141</v>
      </c>
      <c r="M30" s="201">
        <f>Data!Z32/M$2*100000</f>
        <v>2.9283148524129317</v>
      </c>
      <c r="N30" s="201">
        <f>Data!AA32/N$2*100000</f>
        <v>12.679666343637072</v>
      </c>
      <c r="O30" s="201">
        <f>Data!AB32/O$2*100000</f>
        <v>21.49661711130722</v>
      </c>
      <c r="P30" s="201">
        <f>Data!AC32/P$2*100000</f>
        <v>28.959525615389921</v>
      </c>
      <c r="Q30" s="201">
        <f>Data!AD32/Q$2*100000</f>
        <v>54.03592457330253</v>
      </c>
      <c r="R30" s="201">
        <f>Data!AE32/R$2*100000</f>
        <v>109.2341903015644</v>
      </c>
      <c r="S30" s="201">
        <f>Data!AF32/S$2*100000</f>
        <v>163.91343321808168</v>
      </c>
      <c r="T30" s="201">
        <f>Data!AG32/T$2*100000</f>
        <v>127.7139208173691</v>
      </c>
      <c r="U30" s="201">
        <f>Data!AH32/U$2*100000</f>
        <v>186.44194197926765</v>
      </c>
      <c r="V30" s="201">
        <f>Data!D32/V$2*100000</f>
        <v>20.184330647227075</v>
      </c>
      <c r="W30" s="177"/>
    </row>
    <row r="31" spans="1:23" ht="12" customHeight="1">
      <c r="A31" s="177"/>
      <c r="B31" s="182" t="str">
        <f>UPPER(LEFT(TRIM(Data!B33),1)) &amp; MID(TRIM(Data!B33),2,50)</f>
        <v>Kitų šlapimą išskiriančių organų</v>
      </c>
      <c r="C31" s="183" t="str">
        <f>Data!C33</f>
        <v>C65, C66, C68</v>
      </c>
      <c r="D31" s="200">
        <f>Data!Q33/D$2*100000</f>
        <v>0</v>
      </c>
      <c r="E31" s="200">
        <f>Data!R33/E$2*100000</f>
        <v>0</v>
      </c>
      <c r="F31" s="200">
        <f>Data!S33/F$2*100000</f>
        <v>0</v>
      </c>
      <c r="G31" s="200">
        <f>Data!T33/G$2*100000</f>
        <v>0</v>
      </c>
      <c r="H31" s="200">
        <f>Data!U33/H$2*100000</f>
        <v>0</v>
      </c>
      <c r="I31" s="200">
        <f>Data!V33/I$2*100000</f>
        <v>0</v>
      </c>
      <c r="J31" s="200">
        <f>Data!W33/J$2*100000</f>
        <v>0</v>
      </c>
      <c r="K31" s="200">
        <f>Data!X33/K$2*100000</f>
        <v>0</v>
      </c>
      <c r="L31" s="200">
        <f>Data!Y33/L$2*100000</f>
        <v>0</v>
      </c>
      <c r="M31" s="200">
        <f>Data!Z33/M$2*100000</f>
        <v>0.97610495080431048</v>
      </c>
      <c r="N31" s="200">
        <f>Data!AA33/N$2*100000</f>
        <v>0.90569045311693375</v>
      </c>
      <c r="O31" s="200">
        <f>Data!AB33/O$2*100000</f>
        <v>1.1314009005951169</v>
      </c>
      <c r="P31" s="200">
        <f>Data!AC33/P$2*100000</f>
        <v>1.3790250293042818</v>
      </c>
      <c r="Q31" s="200">
        <f>Data!AD33/Q$2*100000</f>
        <v>9.3165387195349183</v>
      </c>
      <c r="R31" s="200">
        <f>Data!AE33/R$2*100000</f>
        <v>7.8024421643974557</v>
      </c>
      <c r="S31" s="200">
        <f>Data!AF33/S$2*100000</f>
        <v>5.1222947880650525</v>
      </c>
      <c r="T31" s="200">
        <f>Data!AG33/T$2*100000</f>
        <v>19.955300127713922</v>
      </c>
      <c r="U31" s="200">
        <f>Data!AH33/U$2*100000</f>
        <v>0</v>
      </c>
      <c r="V31" s="200">
        <f>Data!D33/V$2*100000</f>
        <v>1.4679513197983329</v>
      </c>
      <c r="W31" s="177"/>
    </row>
    <row r="32" spans="1:23" ht="12" customHeight="1">
      <c r="A32" s="177"/>
      <c r="B32" s="196" t="str">
        <f>UPPER(LEFT(TRIM(Data!B34),1)) &amp; MID(TRIM(Data!B34),2,50)</f>
        <v>Akių</v>
      </c>
      <c r="C32" s="197" t="str">
        <f>Data!C34</f>
        <v>C69</v>
      </c>
      <c r="D32" s="201">
        <f>Data!Q34/D$2*100000</f>
        <v>1.2911555842479019</v>
      </c>
      <c r="E32" s="201">
        <f>Data!R34/E$2*100000</f>
        <v>0</v>
      </c>
      <c r="F32" s="201">
        <f>Data!S34/F$2*100000</f>
        <v>0</v>
      </c>
      <c r="G32" s="201">
        <f>Data!T34/G$2*100000</f>
        <v>0</v>
      </c>
      <c r="H32" s="201">
        <f>Data!U34/H$2*100000</f>
        <v>0.90873567605390626</v>
      </c>
      <c r="I32" s="201">
        <f>Data!V34/I$2*100000</f>
        <v>0</v>
      </c>
      <c r="J32" s="201">
        <f>Data!W34/J$2*100000</f>
        <v>0</v>
      </c>
      <c r="K32" s="201">
        <f>Data!X34/K$2*100000</f>
        <v>0</v>
      </c>
      <c r="L32" s="201">
        <f>Data!Y34/L$2*100000</f>
        <v>0</v>
      </c>
      <c r="M32" s="201">
        <f>Data!Z34/M$2*100000</f>
        <v>0</v>
      </c>
      <c r="N32" s="201">
        <f>Data!AA34/N$2*100000</f>
        <v>0.90569045311693375</v>
      </c>
      <c r="O32" s="201">
        <f>Data!AB34/O$2*100000</f>
        <v>1.1314009005951169</v>
      </c>
      <c r="P32" s="201">
        <f>Data!AC34/P$2*100000</f>
        <v>4.1370750879128462</v>
      </c>
      <c r="Q32" s="201">
        <f>Data!AD34/Q$2*100000</f>
        <v>7.4532309756279354</v>
      </c>
      <c r="R32" s="201">
        <f>Data!AE34/R$2*100000</f>
        <v>0</v>
      </c>
      <c r="S32" s="201">
        <f>Data!AF34/S$2*100000</f>
        <v>7.68344218209758</v>
      </c>
      <c r="T32" s="201">
        <f>Data!AG34/T$2*100000</f>
        <v>7.9821200510855688</v>
      </c>
      <c r="U32" s="201">
        <f>Data!AH34/U$2*100000</f>
        <v>0</v>
      </c>
      <c r="V32" s="201">
        <f>Data!D34/V$2*100000</f>
        <v>1.1743610558386663</v>
      </c>
      <c r="W32" s="177"/>
    </row>
    <row r="33" spans="1:23" ht="12" customHeight="1">
      <c r="A33" s="177"/>
      <c r="B33" s="182" t="str">
        <f>UPPER(LEFT(TRIM(Data!B35),1)) &amp; MID(TRIM(Data!B35),2,50)</f>
        <v>Smegenų</v>
      </c>
      <c r="C33" s="183" t="str">
        <f>Data!C35</f>
        <v>C70-C72</v>
      </c>
      <c r="D33" s="200">
        <f>Data!Q35/D$2*100000</f>
        <v>1.2911555842479019</v>
      </c>
      <c r="E33" s="200">
        <f>Data!R35/E$2*100000</f>
        <v>0</v>
      </c>
      <c r="F33" s="200">
        <f>Data!S35/F$2*100000</f>
        <v>1.3193308354002848</v>
      </c>
      <c r="G33" s="200">
        <f>Data!T35/G$2*100000</f>
        <v>3.2049912396906111</v>
      </c>
      <c r="H33" s="200">
        <f>Data!U35/H$2*100000</f>
        <v>3.634942704215625</v>
      </c>
      <c r="I33" s="200">
        <f>Data!V35/I$2*100000</f>
        <v>7.035529423589125</v>
      </c>
      <c r="J33" s="200">
        <f>Data!W35/J$2*100000</f>
        <v>7.9082641360221428</v>
      </c>
      <c r="K33" s="200">
        <f>Data!X35/K$2*100000</f>
        <v>6.5765676893229417</v>
      </c>
      <c r="L33" s="200">
        <f>Data!Y35/L$2*100000</f>
        <v>3.9565961403404653</v>
      </c>
      <c r="M33" s="200">
        <f>Data!Z35/M$2*100000</f>
        <v>9.7610495080431043</v>
      </c>
      <c r="N33" s="200">
        <f>Data!AA35/N$2*100000</f>
        <v>16.302428156104806</v>
      </c>
      <c r="O33" s="200">
        <f>Data!AB35/O$2*100000</f>
        <v>11.314009005951169</v>
      </c>
      <c r="P33" s="200">
        <f>Data!AC35/P$2*100000</f>
        <v>15.169275322347103</v>
      </c>
      <c r="Q33" s="200">
        <f>Data!AD35/Q$2*100000</f>
        <v>27.949616158604755</v>
      </c>
      <c r="R33" s="200">
        <f>Data!AE35/R$2*100000</f>
        <v>42.913431904186012</v>
      </c>
      <c r="S33" s="200">
        <f>Data!AF35/S$2*100000</f>
        <v>33.29491612242284</v>
      </c>
      <c r="T33" s="200">
        <f>Data!AG35/T$2*100000</f>
        <v>43.901660280970624</v>
      </c>
      <c r="U33" s="200">
        <f>Data!AH35/U$2*100000</f>
        <v>22.373033037512119</v>
      </c>
      <c r="V33" s="200">
        <f>Data!D35/V$2*100000</f>
        <v>10.71604463452783</v>
      </c>
      <c r="W33" s="177"/>
    </row>
    <row r="34" spans="1:23" ht="12" customHeight="1">
      <c r="A34" s="177"/>
      <c r="B34" s="196" t="str">
        <f>UPPER(LEFT(TRIM(Data!B36),1)) &amp; MID(TRIM(Data!B36),2,50)</f>
        <v>Skydliaukės</v>
      </c>
      <c r="C34" s="197" t="str">
        <f>Data!C36</f>
        <v>C73</v>
      </c>
      <c r="D34" s="201">
        <f>Data!Q36/D$2*100000</f>
        <v>0</v>
      </c>
      <c r="E34" s="201">
        <f>Data!R36/E$2*100000</f>
        <v>0</v>
      </c>
      <c r="F34" s="201">
        <f>Data!S36/F$2*100000</f>
        <v>1.3193308354002848</v>
      </c>
      <c r="G34" s="201">
        <f>Data!T36/G$2*100000</f>
        <v>1.0683304132302038</v>
      </c>
      <c r="H34" s="201">
        <f>Data!U36/H$2*100000</f>
        <v>1.8174713521078125</v>
      </c>
      <c r="I34" s="201">
        <f>Data!V36/I$2*100000</f>
        <v>2.0101512638826073</v>
      </c>
      <c r="J34" s="201">
        <f>Data!W36/J$2*100000</f>
        <v>2.2595040388634695</v>
      </c>
      <c r="K34" s="201">
        <f>Data!X36/K$2*100000</f>
        <v>3.2882838446614708</v>
      </c>
      <c r="L34" s="201">
        <f>Data!Y36/L$2*100000</f>
        <v>6.9240432455958141</v>
      </c>
      <c r="M34" s="201">
        <f>Data!Z36/M$2*100000</f>
        <v>5.8566297048258633</v>
      </c>
      <c r="N34" s="201">
        <f>Data!AA36/N$2*100000</f>
        <v>9.9625949842862713</v>
      </c>
      <c r="O34" s="201">
        <f>Data!AB36/O$2*100000</f>
        <v>6.7884054035707013</v>
      </c>
      <c r="P34" s="201">
        <f>Data!AC36/P$2*100000</f>
        <v>6.8951251465214085</v>
      </c>
      <c r="Q34" s="201">
        <f>Data!AD36/Q$2*100000</f>
        <v>7.4532309756279354</v>
      </c>
      <c r="R34" s="201">
        <f>Data!AE36/R$2*100000</f>
        <v>11.703663246596184</v>
      </c>
      <c r="S34" s="201">
        <f>Data!AF36/S$2*100000</f>
        <v>2.5611473940325262</v>
      </c>
      <c r="T34" s="201">
        <f>Data!AG36/T$2*100000</f>
        <v>0</v>
      </c>
      <c r="U34" s="201">
        <f>Data!AH36/U$2*100000</f>
        <v>0</v>
      </c>
      <c r="V34" s="201">
        <f>Data!D36/V$2*100000</f>
        <v>4.1836612614252493</v>
      </c>
      <c r="W34" s="177"/>
    </row>
    <row r="35" spans="1:23" ht="12" customHeight="1">
      <c r="A35" s="177"/>
      <c r="B35" s="182" t="str">
        <f>UPPER(LEFT(TRIM(Data!B37),1)) &amp; MID(TRIM(Data!B37),2,50)</f>
        <v>Kitų endokrininių liaukų</v>
      </c>
      <c r="C35" s="183" t="str">
        <f>Data!C37</f>
        <v>C74-C75</v>
      </c>
      <c r="D35" s="200">
        <f>Data!Q37/D$2*100000</f>
        <v>0</v>
      </c>
      <c r="E35" s="200">
        <f>Data!R37/E$2*100000</f>
        <v>0</v>
      </c>
      <c r="F35" s="200">
        <f>Data!S37/F$2*100000</f>
        <v>0</v>
      </c>
      <c r="G35" s="200">
        <f>Data!T37/G$2*100000</f>
        <v>2.1366608264604077</v>
      </c>
      <c r="H35" s="200">
        <f>Data!U37/H$2*100000</f>
        <v>0</v>
      </c>
      <c r="I35" s="200">
        <f>Data!V37/I$2*100000</f>
        <v>0</v>
      </c>
      <c r="J35" s="200">
        <f>Data!W37/J$2*100000</f>
        <v>0</v>
      </c>
      <c r="K35" s="200">
        <f>Data!X37/K$2*100000</f>
        <v>0</v>
      </c>
      <c r="L35" s="200">
        <f>Data!Y37/L$2*100000</f>
        <v>0</v>
      </c>
      <c r="M35" s="200">
        <f>Data!Z37/M$2*100000</f>
        <v>1.952209901608621</v>
      </c>
      <c r="N35" s="200">
        <f>Data!AA37/N$2*100000</f>
        <v>0.90569045311693375</v>
      </c>
      <c r="O35" s="200">
        <f>Data!AB37/O$2*100000</f>
        <v>1.1314009005951169</v>
      </c>
      <c r="P35" s="200">
        <f>Data!AC37/P$2*100000</f>
        <v>1.3790250293042818</v>
      </c>
      <c r="Q35" s="200">
        <f>Data!AD37/Q$2*100000</f>
        <v>1.8633077439069838</v>
      </c>
      <c r="R35" s="200">
        <f>Data!AE37/R$2*100000</f>
        <v>5.851831623298092</v>
      </c>
      <c r="S35" s="200">
        <f>Data!AF37/S$2*100000</f>
        <v>2.5611473940325262</v>
      </c>
      <c r="T35" s="200">
        <f>Data!AG37/T$2*100000</f>
        <v>0</v>
      </c>
      <c r="U35" s="200">
        <f>Data!AH37/U$2*100000</f>
        <v>0</v>
      </c>
      <c r="V35" s="200">
        <f>Data!D37/V$2*100000</f>
        <v>0.88077079187899965</v>
      </c>
      <c r="W35" s="177"/>
    </row>
    <row r="36" spans="1:23" ht="12" customHeight="1">
      <c r="A36" s="177"/>
      <c r="B36" s="196" t="str">
        <f>UPPER(LEFT(TRIM(Data!B38),1)) &amp; MID(TRIM(Data!B38),2,50)</f>
        <v>Nepatikslintos lokalizacijos</v>
      </c>
      <c r="C36" s="197" t="str">
        <f>Data!C38</f>
        <v>C76-C80</v>
      </c>
      <c r="D36" s="201">
        <f>Data!Q38/D$2*100000</f>
        <v>0</v>
      </c>
      <c r="E36" s="201">
        <f>Data!R38/E$2*100000</f>
        <v>0</v>
      </c>
      <c r="F36" s="201">
        <f>Data!S38/F$2*100000</f>
        <v>0</v>
      </c>
      <c r="G36" s="201">
        <f>Data!T38/G$2*100000</f>
        <v>0</v>
      </c>
      <c r="H36" s="201">
        <f>Data!U38/H$2*100000</f>
        <v>0</v>
      </c>
      <c r="I36" s="201">
        <f>Data!V38/I$2*100000</f>
        <v>1.0050756319413037</v>
      </c>
      <c r="J36" s="201">
        <f>Data!W38/J$2*100000</f>
        <v>1.1297520194317348</v>
      </c>
      <c r="K36" s="201">
        <f>Data!X38/K$2*100000</f>
        <v>2.1921892297743142</v>
      </c>
      <c r="L36" s="201">
        <f>Data!Y38/L$2*100000</f>
        <v>2.9674471052553488</v>
      </c>
      <c r="M36" s="201">
        <f>Data!Z38/M$2*100000</f>
        <v>5.8566297048258633</v>
      </c>
      <c r="N36" s="201">
        <f>Data!AA38/N$2*100000</f>
        <v>14.49104724987094</v>
      </c>
      <c r="O36" s="201">
        <f>Data!AB38/O$2*100000</f>
        <v>26.022220713687688</v>
      </c>
      <c r="P36" s="201">
        <f>Data!AC38/P$2*100000</f>
        <v>51.023926084258427</v>
      </c>
      <c r="Q36" s="201">
        <f>Data!AD38/Q$2*100000</f>
        <v>44.719385853767612</v>
      </c>
      <c r="R36" s="201">
        <f>Data!AE38/R$2*100000</f>
        <v>76.073811102875197</v>
      </c>
      <c r="S36" s="201">
        <f>Data!AF38/S$2*100000</f>
        <v>102.44589576130106</v>
      </c>
      <c r="T36" s="201">
        <f>Data!AG38/T$2*100000</f>
        <v>83.812260536398469</v>
      </c>
      <c r="U36" s="201">
        <f>Data!AH38/U$2*100000</f>
        <v>96.949809829219177</v>
      </c>
      <c r="V36" s="201">
        <f>Data!D38/V$2*100000</f>
        <v>16.587849913721161</v>
      </c>
      <c r="W36" s="177"/>
    </row>
    <row r="37" spans="1:23" ht="12" customHeight="1">
      <c r="A37" s="177"/>
      <c r="B37" s="182" t="str">
        <f>UPPER(LEFT(TRIM(Data!B39),1)) &amp; MID(TRIM(Data!B39),2,50)</f>
        <v>Hodžkino limfomos</v>
      </c>
      <c r="C37" s="183" t="str">
        <f>Data!C39</f>
        <v>C81</v>
      </c>
      <c r="D37" s="200">
        <f>Data!Q39/D$2*100000</f>
        <v>0</v>
      </c>
      <c r="E37" s="200">
        <f>Data!R39/E$2*100000</f>
        <v>0</v>
      </c>
      <c r="F37" s="200">
        <f>Data!S39/F$2*100000</f>
        <v>3.957992506200855</v>
      </c>
      <c r="G37" s="200">
        <f>Data!T39/G$2*100000</f>
        <v>4.2733216529208153</v>
      </c>
      <c r="H37" s="200">
        <f>Data!U39/H$2*100000</f>
        <v>2.7262070281617188</v>
      </c>
      <c r="I37" s="200">
        <f>Data!V39/I$2*100000</f>
        <v>5.0253781597065181</v>
      </c>
      <c r="J37" s="200">
        <f>Data!W39/J$2*100000</f>
        <v>3.3892560582952043</v>
      </c>
      <c r="K37" s="200">
        <f>Data!X39/K$2*100000</f>
        <v>5.4804730744357855</v>
      </c>
      <c r="L37" s="200">
        <f>Data!Y39/L$2*100000</f>
        <v>1.9782980701702326</v>
      </c>
      <c r="M37" s="200">
        <f>Data!Z39/M$2*100000</f>
        <v>0</v>
      </c>
      <c r="N37" s="200">
        <f>Data!AA39/N$2*100000</f>
        <v>0.90569045311693375</v>
      </c>
      <c r="O37" s="200">
        <f>Data!AB39/O$2*100000</f>
        <v>4.5256036023804675</v>
      </c>
      <c r="P37" s="200">
        <f>Data!AC39/P$2*100000</f>
        <v>0</v>
      </c>
      <c r="Q37" s="200">
        <f>Data!AD39/Q$2*100000</f>
        <v>0</v>
      </c>
      <c r="R37" s="200">
        <f>Data!AE39/R$2*100000</f>
        <v>1.9506105410993639</v>
      </c>
      <c r="S37" s="200">
        <f>Data!AF39/S$2*100000</f>
        <v>2.5611473940325262</v>
      </c>
      <c r="T37" s="200">
        <f>Data!AG39/T$2*100000</f>
        <v>3.9910600255427844</v>
      </c>
      <c r="U37" s="200">
        <f>Data!AH39/U$2*100000</f>
        <v>7.4576776791707058</v>
      </c>
      <c r="V37" s="200">
        <f>Data!D39/V$2*100000</f>
        <v>2.495517243657166</v>
      </c>
      <c r="W37" s="177"/>
    </row>
    <row r="38" spans="1:23" ht="12" customHeight="1">
      <c r="A38" s="177"/>
      <c r="B38" s="196" t="str">
        <f>UPPER(LEFT(TRIM(Data!B40),1)) &amp; MID(TRIM(Data!B40),2,50)</f>
        <v>Ne Hodžkino limfomos</v>
      </c>
      <c r="C38" s="197" t="str">
        <f>Data!C40</f>
        <v>C82-C85</v>
      </c>
      <c r="D38" s="201">
        <f>Data!Q40/D$2*100000</f>
        <v>0</v>
      </c>
      <c r="E38" s="201">
        <f>Data!R40/E$2*100000</f>
        <v>2.8983827024520319</v>
      </c>
      <c r="F38" s="201">
        <f>Data!S40/F$2*100000</f>
        <v>1.3193308354002848</v>
      </c>
      <c r="G38" s="201">
        <f>Data!T40/G$2*100000</f>
        <v>4.2733216529208153</v>
      </c>
      <c r="H38" s="201">
        <f>Data!U40/H$2*100000</f>
        <v>0.90873567605390626</v>
      </c>
      <c r="I38" s="201">
        <f>Data!V40/I$2*100000</f>
        <v>0</v>
      </c>
      <c r="J38" s="201">
        <f>Data!W40/J$2*100000</f>
        <v>2.2595040388634695</v>
      </c>
      <c r="K38" s="201">
        <f>Data!X40/K$2*100000</f>
        <v>8.7687569190972567</v>
      </c>
      <c r="L38" s="201">
        <f>Data!Y40/L$2*100000</f>
        <v>4.9457451754255812</v>
      </c>
      <c r="M38" s="201">
        <f>Data!Z40/M$2*100000</f>
        <v>10.737154458847415</v>
      </c>
      <c r="N38" s="201">
        <f>Data!AA40/N$2*100000</f>
        <v>11.773975890520138</v>
      </c>
      <c r="O38" s="201">
        <f>Data!AB40/O$2*100000</f>
        <v>10.182608105356053</v>
      </c>
      <c r="P38" s="201">
        <f>Data!AC40/P$2*100000</f>
        <v>26.201475556781354</v>
      </c>
      <c r="Q38" s="201">
        <f>Data!AD40/Q$2*100000</f>
        <v>35.402847134232694</v>
      </c>
      <c r="R38" s="201">
        <f>Data!AE40/R$2*100000</f>
        <v>40.962821363086647</v>
      </c>
      <c r="S38" s="201">
        <f>Data!AF40/S$2*100000</f>
        <v>43.539505698552951</v>
      </c>
      <c r="T38" s="201">
        <f>Data!AG40/T$2*100000</f>
        <v>39.910600255427845</v>
      </c>
      <c r="U38" s="201">
        <f>Data!AH40/U$2*100000</f>
        <v>82.034454470877776</v>
      </c>
      <c r="V38" s="201">
        <f>Data!D40/V$2*100000</f>
        <v>11.229827596457246</v>
      </c>
      <c r="W38" s="177"/>
    </row>
    <row r="39" spans="1:23" ht="12" customHeight="1">
      <c r="A39" s="177"/>
      <c r="B39" s="182" t="str">
        <f>UPPER(LEFT(TRIM(Data!B41),1)) &amp; MID(TRIM(Data!B41),2,50)</f>
        <v>Mielominės ligos</v>
      </c>
      <c r="C39" s="183" t="str">
        <f>Data!C41</f>
        <v>C90</v>
      </c>
      <c r="D39" s="200">
        <f>Data!Q41/D$2*100000</f>
        <v>0</v>
      </c>
      <c r="E39" s="200">
        <f>Data!R41/E$2*100000</f>
        <v>0</v>
      </c>
      <c r="F39" s="200">
        <f>Data!S41/F$2*100000</f>
        <v>0</v>
      </c>
      <c r="G39" s="200">
        <f>Data!T41/G$2*100000</f>
        <v>0</v>
      </c>
      <c r="H39" s="200">
        <f>Data!U41/H$2*100000</f>
        <v>0</v>
      </c>
      <c r="I39" s="200">
        <f>Data!V41/I$2*100000</f>
        <v>0</v>
      </c>
      <c r="J39" s="200">
        <f>Data!W41/J$2*100000</f>
        <v>0</v>
      </c>
      <c r="K39" s="200">
        <f>Data!X41/K$2*100000</f>
        <v>0</v>
      </c>
      <c r="L39" s="200">
        <f>Data!Y41/L$2*100000</f>
        <v>1.9782980701702326</v>
      </c>
      <c r="M39" s="200">
        <f>Data!Z41/M$2*100000</f>
        <v>4.8805247540215522</v>
      </c>
      <c r="N39" s="200">
        <f>Data!AA41/N$2*100000</f>
        <v>6.3398331718185359</v>
      </c>
      <c r="O39" s="200">
        <f>Data!AB41/O$2*100000</f>
        <v>7.9198063041658182</v>
      </c>
      <c r="P39" s="200">
        <f>Data!AC41/P$2*100000</f>
        <v>16.548300351651385</v>
      </c>
      <c r="Q39" s="200">
        <f>Data!AD41/Q$2*100000</f>
        <v>18.633077439069837</v>
      </c>
      <c r="R39" s="200">
        <f>Data!AE41/R$2*100000</f>
        <v>31.209768657589823</v>
      </c>
      <c r="S39" s="200">
        <f>Data!AF41/S$2*100000</f>
        <v>28.172621334357792</v>
      </c>
      <c r="T39" s="200">
        <f>Data!AG41/T$2*100000</f>
        <v>31.928480204342275</v>
      </c>
      <c r="U39" s="200">
        <f>Data!AH41/U$2*100000</f>
        <v>29.830710716682823</v>
      </c>
      <c r="V39" s="200">
        <f>Data!D41/V$2*100000</f>
        <v>6.018600411173165</v>
      </c>
      <c r="W39" s="177"/>
    </row>
    <row r="40" spans="1:23" ht="12" customHeight="1">
      <c r="A40" s="177"/>
      <c r="B40" s="196" t="str">
        <f>UPPER(LEFT(TRIM(Data!B42),1)) &amp; MID(TRIM(Data!B42),2,50)</f>
        <v>Leukemijos</v>
      </c>
      <c r="C40" s="197" t="str">
        <f>Data!C42</f>
        <v>C91-C95</v>
      </c>
      <c r="D40" s="201">
        <f>Data!Q42/D$2*100000</f>
        <v>7.7469335054874113</v>
      </c>
      <c r="E40" s="201">
        <f>Data!R42/E$2*100000</f>
        <v>4.3475740536780476</v>
      </c>
      <c r="F40" s="201">
        <f>Data!S42/F$2*100000</f>
        <v>2.6386616708005697</v>
      </c>
      <c r="G40" s="201">
        <f>Data!T42/G$2*100000</f>
        <v>3.2049912396906111</v>
      </c>
      <c r="H40" s="201">
        <f>Data!U42/H$2*100000</f>
        <v>1.8174713521078125</v>
      </c>
      <c r="I40" s="201">
        <f>Data!V42/I$2*100000</f>
        <v>4.0203025277652147</v>
      </c>
      <c r="J40" s="201">
        <f>Data!W42/J$2*100000</f>
        <v>3.3892560582952043</v>
      </c>
      <c r="K40" s="201">
        <f>Data!X42/K$2*100000</f>
        <v>3.2882838446614708</v>
      </c>
      <c r="L40" s="201">
        <f>Data!Y42/L$2*100000</f>
        <v>1.9782980701702326</v>
      </c>
      <c r="M40" s="201">
        <f>Data!Z42/M$2*100000</f>
        <v>6.8327346556301736</v>
      </c>
      <c r="N40" s="201">
        <f>Data!AA42/N$2*100000</f>
        <v>12.679666343637072</v>
      </c>
      <c r="O40" s="201">
        <f>Data!AB42/O$2*100000</f>
        <v>13.576810807141403</v>
      </c>
      <c r="P40" s="201">
        <f>Data!AC42/P$2*100000</f>
        <v>23.443425498172793</v>
      </c>
      <c r="Q40" s="201">
        <f>Data!AD42/Q$2*100000</f>
        <v>44.719385853767612</v>
      </c>
      <c r="R40" s="201">
        <f>Data!AE42/R$2*100000</f>
        <v>54.617095150782198</v>
      </c>
      <c r="S40" s="201">
        <f>Data!AF42/S$2*100000</f>
        <v>89.640158791138433</v>
      </c>
      <c r="T40" s="201">
        <f>Data!AG42/T$2*100000</f>
        <v>103.76756066411239</v>
      </c>
      <c r="U40" s="201">
        <f>Data!AH42/U$2*100000</f>
        <v>156.61123126258482</v>
      </c>
      <c r="V40" s="201">
        <f>Data!D42/V$2*100000</f>
        <v>15.560283989862327</v>
      </c>
      <c r="W40" s="177"/>
    </row>
    <row r="41" spans="1:23" ht="12" customHeight="1">
      <c r="A41" s="177"/>
      <c r="B41" s="182" t="str">
        <f>UPPER(LEFT(TRIM(Data!B43),1)) &amp; MID(TRIM(Data!B43),2,50)</f>
        <v>Kiti limfinio, kraujodaros audinių</v>
      </c>
      <c r="C41" s="183" t="str">
        <f>Data!C43</f>
        <v>C88, C96</v>
      </c>
      <c r="D41" s="200">
        <f>Data!Q43/D$2*100000</f>
        <v>0</v>
      </c>
      <c r="E41" s="200">
        <f>Data!R43/E$2*100000</f>
        <v>0</v>
      </c>
      <c r="F41" s="200">
        <f>Data!S43/F$2*100000</f>
        <v>0</v>
      </c>
      <c r="G41" s="200">
        <f>Data!T43/G$2*100000</f>
        <v>0</v>
      </c>
      <c r="H41" s="200">
        <f>Data!U43/H$2*100000</f>
        <v>0</v>
      </c>
      <c r="I41" s="200">
        <f>Data!V43/I$2*100000</f>
        <v>0</v>
      </c>
      <c r="J41" s="200">
        <f>Data!W43/J$2*100000</f>
        <v>0</v>
      </c>
      <c r="K41" s="200">
        <f>Data!X43/K$2*100000</f>
        <v>0</v>
      </c>
      <c r="L41" s="200">
        <f>Data!Y43/L$2*100000</f>
        <v>0.98914903508511631</v>
      </c>
      <c r="M41" s="200">
        <f>Data!Z43/M$2*100000</f>
        <v>0</v>
      </c>
      <c r="N41" s="200">
        <f>Data!AA43/N$2*100000</f>
        <v>0</v>
      </c>
      <c r="O41" s="200">
        <f>Data!AB43/O$2*100000</f>
        <v>0</v>
      </c>
      <c r="P41" s="200">
        <f>Data!AC43/P$2*100000</f>
        <v>0</v>
      </c>
      <c r="Q41" s="200">
        <f>Data!AD43/Q$2*100000</f>
        <v>3.7266154878139677</v>
      </c>
      <c r="R41" s="200">
        <f>Data!AE43/R$2*100000</f>
        <v>0</v>
      </c>
      <c r="S41" s="200">
        <f>Data!AF43/S$2*100000</f>
        <v>5.1222947880650525</v>
      </c>
      <c r="T41" s="200">
        <f>Data!AG43/T$2*100000</f>
        <v>0</v>
      </c>
      <c r="U41" s="200">
        <f>Data!AH43/U$2*100000</f>
        <v>7.4576776791707058</v>
      </c>
      <c r="V41" s="200">
        <f>Data!D43/V$2*100000</f>
        <v>0.44038539593949982</v>
      </c>
      <c r="W41" s="177"/>
    </row>
    <row r="42" spans="1:23" ht="24" customHeight="1">
      <c r="A42" s="177"/>
      <c r="B42" s="198"/>
      <c r="C42" s="199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177"/>
    </row>
    <row r="43" spans="1:23" ht="12" customHeight="1">
      <c r="A43" s="177"/>
      <c r="B43" s="182" t="str">
        <f>UPPER(LEFT(TRIM(Data!B44),1)) &amp; MID(TRIM(Data!B44),2,50)</f>
        <v>Melanoma in situ</v>
      </c>
      <c r="C43" s="183" t="str">
        <f>Data!C44</f>
        <v>D03</v>
      </c>
      <c r="D43" s="200">
        <f>Data!Q44/D$2*100000</f>
        <v>0</v>
      </c>
      <c r="E43" s="200">
        <f>Data!R44/E$2*100000</f>
        <v>0</v>
      </c>
      <c r="F43" s="200">
        <f>Data!S44/F$2*100000</f>
        <v>0</v>
      </c>
      <c r="G43" s="200">
        <f>Data!T44/G$2*100000</f>
        <v>0</v>
      </c>
      <c r="H43" s="200">
        <f>Data!U44/H$2*100000</f>
        <v>0</v>
      </c>
      <c r="I43" s="200">
        <f>Data!V44/I$2*100000</f>
        <v>1.0050756319413037</v>
      </c>
      <c r="J43" s="200">
        <f>Data!W44/J$2*100000</f>
        <v>1.1297520194317348</v>
      </c>
      <c r="K43" s="200">
        <f>Data!X44/K$2*100000</f>
        <v>1.0960946148871571</v>
      </c>
      <c r="L43" s="200">
        <f>Data!Y44/L$2*100000</f>
        <v>1.9782980701702326</v>
      </c>
      <c r="M43" s="200">
        <f>Data!Z44/M$2*100000</f>
        <v>0.97610495080431048</v>
      </c>
      <c r="N43" s="200">
        <f>Data!AA44/N$2*100000</f>
        <v>1.8113809062338675</v>
      </c>
      <c r="O43" s="200">
        <f>Data!AB44/O$2*100000</f>
        <v>2.2628018011902338</v>
      </c>
      <c r="P43" s="200">
        <f>Data!AC44/P$2*100000</f>
        <v>1.3790250293042818</v>
      </c>
      <c r="Q43" s="200">
        <f>Data!AD44/Q$2*100000</f>
        <v>3.7266154878139677</v>
      </c>
      <c r="R43" s="200">
        <f>Data!AE44/R$2*100000</f>
        <v>1.9506105410993639</v>
      </c>
      <c r="S43" s="200">
        <f>Data!AF44/S$2*100000</f>
        <v>2.5611473940325262</v>
      </c>
      <c r="T43" s="200">
        <f>Data!AG44/T$2*100000</f>
        <v>0</v>
      </c>
      <c r="U43" s="200">
        <f>Data!AH44/U$2*100000</f>
        <v>14.915355358341412</v>
      </c>
      <c r="V43" s="200">
        <f>Data!D44/V$2*100000</f>
        <v>1.247758621828583</v>
      </c>
      <c r="W43" s="177"/>
    </row>
    <row r="44" spans="1:23" ht="12" customHeight="1">
      <c r="A44" s="177"/>
      <c r="B44" s="196" t="str">
        <f>UPPER(LEFT(TRIM(Data!B45),1)) &amp; MID(TRIM(Data!B45),2,50)</f>
        <v>Krūties navikai in situ</v>
      </c>
      <c r="C44" s="197" t="str">
        <f>Data!C45</f>
        <v>D05</v>
      </c>
      <c r="D44" s="201">
        <f>Data!Q45/D$2*100000</f>
        <v>0</v>
      </c>
      <c r="E44" s="201">
        <f>Data!R45/E$2*100000</f>
        <v>0</v>
      </c>
      <c r="F44" s="201">
        <f>Data!S45/F$2*100000</f>
        <v>0</v>
      </c>
      <c r="G44" s="201">
        <f>Data!T45/G$2*100000</f>
        <v>0</v>
      </c>
      <c r="H44" s="201">
        <f>Data!U45/H$2*100000</f>
        <v>0</v>
      </c>
      <c r="I44" s="201">
        <f>Data!V45/I$2*100000</f>
        <v>0</v>
      </c>
      <c r="J44" s="201">
        <f>Data!W45/J$2*100000</f>
        <v>0</v>
      </c>
      <c r="K44" s="201">
        <f>Data!X45/K$2*100000</f>
        <v>0</v>
      </c>
      <c r="L44" s="201">
        <f>Data!Y45/L$2*100000</f>
        <v>0</v>
      </c>
      <c r="M44" s="201">
        <f>Data!Z45/M$2*100000</f>
        <v>0</v>
      </c>
      <c r="N44" s="201">
        <f>Data!AA45/N$2*100000</f>
        <v>0</v>
      </c>
      <c r="O44" s="201">
        <f>Data!AB45/O$2*100000</f>
        <v>0</v>
      </c>
      <c r="P44" s="201">
        <f>Data!AC45/P$2*100000</f>
        <v>0</v>
      </c>
      <c r="Q44" s="201">
        <f>Data!AD45/Q$2*100000</f>
        <v>0</v>
      </c>
      <c r="R44" s="201">
        <f>Data!AE45/R$2*100000</f>
        <v>0</v>
      </c>
      <c r="S44" s="201">
        <f>Data!AF45/S$2*100000</f>
        <v>0</v>
      </c>
      <c r="T44" s="201">
        <f>Data!AG45/T$2*100000</f>
        <v>0</v>
      </c>
      <c r="U44" s="201">
        <f>Data!AH45/U$2*100000</f>
        <v>0</v>
      </c>
      <c r="V44" s="201">
        <f>Data!D45/V$2*100000</f>
        <v>0</v>
      </c>
      <c r="W44" s="177"/>
    </row>
    <row r="45" spans="1:23" ht="12" customHeight="1">
      <c r="A45" s="177"/>
      <c r="B45" s="182" t="str">
        <f>UPPER(LEFT(TRIM(Data!B47),1)) &amp; MID(TRIM(Data!B47),2,50)</f>
        <v>Šlapimo pūslės in situ</v>
      </c>
      <c r="C45" s="183" t="str">
        <f>Data!C47</f>
        <v>D09.0</v>
      </c>
      <c r="D45" s="200">
        <f>Data!Q47/D$2*100000</f>
        <v>0</v>
      </c>
      <c r="E45" s="200">
        <f>Data!R47/E$2*100000</f>
        <v>0</v>
      </c>
      <c r="F45" s="200">
        <f>Data!S47/F$2*100000</f>
        <v>0</v>
      </c>
      <c r="G45" s="200">
        <f>Data!T47/G$2*100000</f>
        <v>0</v>
      </c>
      <c r="H45" s="200">
        <f>Data!U47/H$2*100000</f>
        <v>0.90873567605390626</v>
      </c>
      <c r="I45" s="200">
        <f>Data!V47/I$2*100000</f>
        <v>0</v>
      </c>
      <c r="J45" s="200">
        <f>Data!W47/J$2*100000</f>
        <v>0</v>
      </c>
      <c r="K45" s="200">
        <f>Data!X47/K$2*100000</f>
        <v>1.0960946148871571</v>
      </c>
      <c r="L45" s="200">
        <f>Data!Y47/L$2*100000</f>
        <v>0.98914903508511631</v>
      </c>
      <c r="M45" s="200">
        <f>Data!Z47/M$2*100000</f>
        <v>0</v>
      </c>
      <c r="N45" s="200">
        <f>Data!AA47/N$2*100000</f>
        <v>3.622761812467735</v>
      </c>
      <c r="O45" s="200">
        <f>Data!AB47/O$2*100000</f>
        <v>11.314009005951169</v>
      </c>
      <c r="P45" s="200">
        <f>Data!AC47/P$2*100000</f>
        <v>22.064400468868509</v>
      </c>
      <c r="Q45" s="200">
        <f>Data!AD47/Q$2*100000</f>
        <v>24.223000670790789</v>
      </c>
      <c r="R45" s="200">
        <f>Data!AE47/R$2*100000</f>
        <v>42.913431904186012</v>
      </c>
      <c r="S45" s="200">
        <f>Data!AF47/S$2*100000</f>
        <v>30.73376872839032</v>
      </c>
      <c r="T45" s="200">
        <f>Data!AG47/T$2*100000</f>
        <v>51.883780332056197</v>
      </c>
      <c r="U45" s="200">
        <f>Data!AH47/U$2*100000</f>
        <v>37.288388395853531</v>
      </c>
      <c r="V45" s="200">
        <f>Data!D47/V$2*100000</f>
        <v>7.1929614670118305</v>
      </c>
      <c r="W45" s="177"/>
    </row>
    <row r="46" spans="1:23" ht="12" customHeight="1">
      <c r="A46" s="177"/>
      <c r="B46" s="196" t="str">
        <f>UPPER(LEFT(TRIM(Data!B48),1)) &amp; MID(TRIM(Data!B48),2,50)</f>
        <v>Nervų sistemos gerybiniai navikai</v>
      </c>
      <c r="C46" s="197" t="str">
        <f>Data!C48</f>
        <v>D32, D33</v>
      </c>
      <c r="D46" s="201">
        <f>Data!Q48/D$2*100000</f>
        <v>0</v>
      </c>
      <c r="E46" s="201">
        <f>Data!R48/E$2*100000</f>
        <v>0</v>
      </c>
      <c r="F46" s="201">
        <f>Data!S48/F$2*100000</f>
        <v>0</v>
      </c>
      <c r="G46" s="201">
        <f>Data!T48/G$2*100000</f>
        <v>1.0683304132302038</v>
      </c>
      <c r="H46" s="201">
        <f>Data!U48/H$2*100000</f>
        <v>0.90873567605390626</v>
      </c>
      <c r="I46" s="201">
        <f>Data!V48/I$2*100000</f>
        <v>1.0050756319413037</v>
      </c>
      <c r="J46" s="201">
        <f>Data!W48/J$2*100000</f>
        <v>1.1297520194317348</v>
      </c>
      <c r="K46" s="201">
        <f>Data!X48/K$2*100000</f>
        <v>1.0960946148871571</v>
      </c>
      <c r="L46" s="201">
        <f>Data!Y48/L$2*100000</f>
        <v>0.98914903508511631</v>
      </c>
      <c r="M46" s="201">
        <f>Data!Z48/M$2*100000</f>
        <v>0.97610495080431048</v>
      </c>
      <c r="N46" s="201">
        <f>Data!AA48/N$2*100000</f>
        <v>2.7170713593508009</v>
      </c>
      <c r="O46" s="201">
        <f>Data!AB48/O$2*100000</f>
        <v>3.3942027017853507</v>
      </c>
      <c r="P46" s="201">
        <f>Data!AC48/P$2*100000</f>
        <v>11.032200234434255</v>
      </c>
      <c r="Q46" s="201">
        <f>Data!AD48/Q$2*100000</f>
        <v>18.633077439069837</v>
      </c>
      <c r="R46" s="201">
        <f>Data!AE48/R$2*100000</f>
        <v>3.9012210821987279</v>
      </c>
      <c r="S46" s="201">
        <f>Data!AF48/S$2*100000</f>
        <v>10.244589576130105</v>
      </c>
      <c r="T46" s="201">
        <f>Data!AG48/T$2*100000</f>
        <v>11.973180076628353</v>
      </c>
      <c r="U46" s="201">
        <f>Data!AH48/U$2*100000</f>
        <v>14.915355358341412</v>
      </c>
      <c r="V46" s="201">
        <f>Data!D48/V$2*100000</f>
        <v>3.0826977715764992</v>
      </c>
      <c r="W46" s="177"/>
    </row>
    <row r="47" spans="1:23" ht="12" customHeight="1">
      <c r="A47" s="177"/>
      <c r="B47" s="182" t="str">
        <f>UPPER(LEFT(TRIM(Data!B50),1)) &amp; MID(TRIM(Data!B50),2,50)</f>
        <v>Kiti nervų sistemos</v>
      </c>
      <c r="C47" s="183" t="str">
        <f>Data!C50</f>
        <v>D42, D43</v>
      </c>
      <c r="D47" s="200">
        <f>Data!Q50/D$2*100000</f>
        <v>2.5823111684958038</v>
      </c>
      <c r="E47" s="200">
        <f>Data!R50/E$2*100000</f>
        <v>1.4491913512260159</v>
      </c>
      <c r="F47" s="200">
        <f>Data!S50/F$2*100000</f>
        <v>0</v>
      </c>
      <c r="G47" s="200">
        <f>Data!T50/G$2*100000</f>
        <v>1.0683304132302038</v>
      </c>
      <c r="H47" s="200">
        <f>Data!U50/H$2*100000</f>
        <v>0</v>
      </c>
      <c r="I47" s="200">
        <f>Data!V50/I$2*100000</f>
        <v>0</v>
      </c>
      <c r="J47" s="200">
        <f>Data!W50/J$2*100000</f>
        <v>0</v>
      </c>
      <c r="K47" s="200">
        <f>Data!X50/K$2*100000</f>
        <v>2.1921892297743142</v>
      </c>
      <c r="L47" s="200">
        <f>Data!Y50/L$2*100000</f>
        <v>0</v>
      </c>
      <c r="M47" s="200">
        <f>Data!Z50/M$2*100000</f>
        <v>0</v>
      </c>
      <c r="N47" s="200">
        <f>Data!AA50/N$2*100000</f>
        <v>0.90569045311693375</v>
      </c>
      <c r="O47" s="200">
        <f>Data!AB50/O$2*100000</f>
        <v>1.1314009005951169</v>
      </c>
      <c r="P47" s="200">
        <f>Data!AC50/P$2*100000</f>
        <v>2.7580500586085637</v>
      </c>
      <c r="Q47" s="200">
        <f>Data!AD50/Q$2*100000</f>
        <v>3.7266154878139677</v>
      </c>
      <c r="R47" s="200">
        <f>Data!AE50/R$2*100000</f>
        <v>1.9506105410993639</v>
      </c>
      <c r="S47" s="200">
        <f>Data!AF50/S$2*100000</f>
        <v>5.1222947880650525</v>
      </c>
      <c r="T47" s="200">
        <f>Data!AG50/T$2*100000</f>
        <v>11.973180076628353</v>
      </c>
      <c r="U47" s="200">
        <f>Data!AH50/U$2*100000</f>
        <v>0</v>
      </c>
      <c r="V47" s="200">
        <f>Data!D50/V$2*100000</f>
        <v>1.3211561878184994</v>
      </c>
      <c r="W47" s="177"/>
    </row>
    <row r="48" spans="1:23" ht="12" customHeight="1">
      <c r="A48" s="177"/>
      <c r="B48" s="196" t="str">
        <f>UPPER(LEFT(TRIM(Data!B51),1)) &amp; MID(TRIM(Data!B51),2,50)</f>
        <v>Limfinio ir kraujodaros audinių</v>
      </c>
      <c r="C48" s="197" t="str">
        <f>Data!C51</f>
        <v>D45-D47</v>
      </c>
      <c r="D48" s="201">
        <f>Data!Q51/D$2*100000</f>
        <v>0</v>
      </c>
      <c r="E48" s="201">
        <f>Data!R51/E$2*100000</f>
        <v>0</v>
      </c>
      <c r="F48" s="201">
        <f>Data!S51/F$2*100000</f>
        <v>1.3193308354002848</v>
      </c>
      <c r="G48" s="201">
        <f>Data!T51/G$2*100000</f>
        <v>0</v>
      </c>
      <c r="H48" s="201">
        <f>Data!U51/H$2*100000</f>
        <v>0.90873567605390626</v>
      </c>
      <c r="I48" s="201">
        <f>Data!V51/I$2*100000</f>
        <v>4.0203025277652147</v>
      </c>
      <c r="J48" s="201">
        <f>Data!W51/J$2*100000</f>
        <v>1.1297520194317348</v>
      </c>
      <c r="K48" s="201">
        <f>Data!X51/K$2*100000</f>
        <v>1.0960946148871571</v>
      </c>
      <c r="L48" s="201">
        <f>Data!Y51/L$2*100000</f>
        <v>1.9782980701702326</v>
      </c>
      <c r="M48" s="201">
        <f>Data!Z51/M$2*100000</f>
        <v>2.9283148524129317</v>
      </c>
      <c r="N48" s="201">
        <f>Data!AA51/N$2*100000</f>
        <v>14.49104724987094</v>
      </c>
      <c r="O48" s="201">
        <f>Data!AB51/O$2*100000</f>
        <v>20.365216210712106</v>
      </c>
      <c r="P48" s="201">
        <f>Data!AC51/P$2*100000</f>
        <v>22.064400468868509</v>
      </c>
      <c r="Q48" s="201">
        <f>Data!AD51/Q$2*100000</f>
        <v>40.992770365953646</v>
      </c>
      <c r="R48" s="201">
        <f>Data!AE51/R$2*100000</f>
        <v>70.221979479577115</v>
      </c>
      <c r="S48" s="201">
        <f>Data!AF51/S$2*100000</f>
        <v>66.589832244845681</v>
      </c>
      <c r="T48" s="201">
        <f>Data!AG51/T$2*100000</f>
        <v>111.74968071519795</v>
      </c>
      <c r="U48" s="201">
        <f>Data!AH51/U$2*100000</f>
        <v>89.492132150048477</v>
      </c>
      <c r="V48" s="201">
        <f>Data!D51/V$2*100000</f>
        <v>13.725344840114412</v>
      </c>
      <c r="W48" s="177"/>
    </row>
    <row r="49" spans="1:23">
      <c r="A49" s="177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</row>
    <row r="50" spans="1:23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</row>
    <row r="51" spans="1:23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</row>
  </sheetData>
  <mergeCells count="4">
    <mergeCell ref="B5:B6"/>
    <mergeCell ref="C5:C6"/>
    <mergeCell ref="D5:U5"/>
    <mergeCell ref="V5:V6"/>
  </mergeCells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5"/>
  </sheetPr>
  <dimension ref="A1:W55"/>
  <sheetViews>
    <sheetView workbookViewId="0">
      <selection activeCell="B5" sqref="B5:B6"/>
    </sheetView>
  </sheetViews>
  <sheetFormatPr defaultRowHeight="11.25"/>
  <cols>
    <col min="1" max="1" width="1.7109375" style="178" customWidth="1"/>
    <col min="2" max="2" width="28.7109375" style="178" customWidth="1"/>
    <col min="3" max="3" width="23.7109375" style="178" customWidth="1"/>
    <col min="4" max="16" width="6" style="178" customWidth="1"/>
    <col min="17" max="21" width="6.28515625" style="178" customWidth="1"/>
    <col min="22" max="22" width="7.28515625" style="178" customWidth="1"/>
    <col min="23" max="30" width="0.85546875" style="178" customWidth="1"/>
    <col min="31" max="16384" width="9.140625" style="178"/>
  </cols>
  <sheetData>
    <row r="1" spans="1:23" ht="15">
      <c r="A1" s="187"/>
      <c r="B1" s="496" t="s">
        <v>404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187"/>
    </row>
    <row r="2" spans="1:23" ht="12.75">
      <c r="A2" s="187"/>
      <c r="B2" s="498"/>
      <c r="C2" s="499"/>
      <c r="D2" s="500">
        <f>Lent02m!S4</f>
        <v>73612</v>
      </c>
      <c r="E2" s="500">
        <f>Lent02m!T4</f>
        <v>65974</v>
      </c>
      <c r="F2" s="500">
        <f>Lent02m!U4</f>
        <v>71497</v>
      </c>
      <c r="G2" s="500">
        <f>Lent02m!V4</f>
        <v>88846</v>
      </c>
      <c r="H2" s="500">
        <f>Lent02m!W4</f>
        <v>103926</v>
      </c>
      <c r="I2" s="500">
        <f>Lent02m!X4</f>
        <v>95057</v>
      </c>
      <c r="J2" s="500">
        <f>Lent02m!Y4</f>
        <v>87387</v>
      </c>
      <c r="K2" s="500">
        <f>Lent02m!Z4</f>
        <v>95336</v>
      </c>
      <c r="L2" s="500">
        <f>Lent02m!AA4</f>
        <v>108432</v>
      </c>
      <c r="M2" s="500">
        <f>Lent02m!AB4</f>
        <v>112259</v>
      </c>
      <c r="N2" s="500">
        <f>Lent02m!AC4</f>
        <v>126113</v>
      </c>
      <c r="O2" s="500">
        <f>Lent02m!AD4</f>
        <v>107867</v>
      </c>
      <c r="P2" s="500">
        <f>Lent02m!AE4</f>
        <v>98916</v>
      </c>
      <c r="Q2" s="500">
        <f>Lent02m!AF4</f>
        <v>83247</v>
      </c>
      <c r="R2" s="500">
        <f>Lent02m!AG4</f>
        <v>90066</v>
      </c>
      <c r="S2" s="500">
        <f>Lent02m!AH4</f>
        <v>80494</v>
      </c>
      <c r="T2" s="500">
        <f>Lent02m!AI4</f>
        <v>60795</v>
      </c>
      <c r="U2" s="500">
        <f>Lent02m!AJ4</f>
        <v>45422</v>
      </c>
      <c r="V2" s="500">
        <f>SUM(D2:U2)</f>
        <v>1595246</v>
      </c>
      <c r="W2" s="187"/>
    </row>
    <row r="3" spans="1:23" ht="12.75">
      <c r="A3" s="187"/>
      <c r="B3" s="498" t="str">
        <f>"Sergamumo piktybiniais navikais rodiklis pagal amžių  " &amp; GrafikaiSerg!A1 &amp; " metais. Moterys. (100 000 gyventojų)"</f>
        <v>Sergamumo piktybiniais navikais rodiklis pagal amžių  2013 metais. Moterys. (100 000 gyventojų)</v>
      </c>
      <c r="C3" s="498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187"/>
    </row>
    <row r="4" spans="1:23" ht="12.75">
      <c r="A4" s="187"/>
      <c r="B4" s="189" t="s">
        <v>644</v>
      </c>
      <c r="C4" s="188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87"/>
    </row>
    <row r="5" spans="1:23" ht="12" customHeight="1">
      <c r="A5" s="187"/>
      <c r="B5" s="436" t="s">
        <v>242</v>
      </c>
      <c r="C5" s="436" t="s">
        <v>243</v>
      </c>
      <c r="D5" s="438" t="s">
        <v>418</v>
      </c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40"/>
      <c r="V5" s="441" t="s">
        <v>428</v>
      </c>
      <c r="W5" s="187"/>
    </row>
    <row r="6" spans="1:23" ht="12" customHeight="1" thickBot="1">
      <c r="A6" s="187"/>
      <c r="B6" s="437"/>
      <c r="C6" s="437"/>
      <c r="D6" s="194" t="s">
        <v>13</v>
      </c>
      <c r="E6" s="194" t="s">
        <v>11</v>
      </c>
      <c r="F6" s="194" t="s">
        <v>12</v>
      </c>
      <c r="G6" s="194" t="s">
        <v>14</v>
      </c>
      <c r="H6" s="194" t="s">
        <v>15</v>
      </c>
      <c r="I6" s="194" t="s">
        <v>16</v>
      </c>
      <c r="J6" s="194" t="s">
        <v>158</v>
      </c>
      <c r="K6" s="194" t="s">
        <v>17</v>
      </c>
      <c r="L6" s="194" t="s">
        <v>18</v>
      </c>
      <c r="M6" s="194" t="s">
        <v>19</v>
      </c>
      <c r="N6" s="194" t="s">
        <v>20</v>
      </c>
      <c r="O6" s="194" t="s">
        <v>21</v>
      </c>
      <c r="P6" s="194" t="s">
        <v>159</v>
      </c>
      <c r="Q6" s="194" t="s">
        <v>160</v>
      </c>
      <c r="R6" s="194" t="s">
        <v>161</v>
      </c>
      <c r="S6" s="194" t="s">
        <v>162</v>
      </c>
      <c r="T6" s="194" t="s">
        <v>22</v>
      </c>
      <c r="U6" s="194" t="s">
        <v>23</v>
      </c>
      <c r="V6" s="442"/>
      <c r="W6" s="187"/>
    </row>
    <row r="7" spans="1:23" ht="12" customHeight="1" thickTop="1">
      <c r="A7" s="187"/>
      <c r="B7" s="182" t="str">
        <f>UPPER(LEFT(TRIM(Data!B5),1)) &amp; MID(TRIM(Data!B5),2,50)</f>
        <v>Piktybiniai navikai</v>
      </c>
      <c r="C7" s="183" t="str">
        <f>Data!C5</f>
        <v>C00-C96</v>
      </c>
      <c r="D7" s="204">
        <f>Data!CD5/D$2*100000</f>
        <v>21.735586589143075</v>
      </c>
      <c r="E7" s="204">
        <f>Data!CE5/E$2*100000</f>
        <v>10.61024039773244</v>
      </c>
      <c r="F7" s="204">
        <f>Data!CF5/F$2*100000</f>
        <v>13.986600836398731</v>
      </c>
      <c r="G7" s="204">
        <f>Data!CG5/G$2*100000</f>
        <v>9.0043445962676998</v>
      </c>
      <c r="H7" s="204">
        <f>Data!CH5/H$2*100000</f>
        <v>25.017801127725495</v>
      </c>
      <c r="I7" s="204">
        <f>Data!CI5/I$2*100000</f>
        <v>64.172023101928318</v>
      </c>
      <c r="J7" s="204">
        <f>Data!CJ5/J$2*100000</f>
        <v>128.16551661002208</v>
      </c>
      <c r="K7" s="204">
        <f>Data!CK5/K$2*100000</f>
        <v>157.33825627255183</v>
      </c>
      <c r="L7" s="204">
        <f>Data!CL5/L$2*100000</f>
        <v>284.04898922827209</v>
      </c>
      <c r="M7" s="204">
        <f>Data!CM5/M$2*100000</f>
        <v>405.31271434807007</v>
      </c>
      <c r="N7" s="204">
        <f>Data!CN5/N$2*100000</f>
        <v>570.12361929380802</v>
      </c>
      <c r="O7" s="204">
        <f>Data!CO5/O$2*100000</f>
        <v>740.72700640603705</v>
      </c>
      <c r="P7" s="204">
        <f>Data!CP5/P$2*100000</f>
        <v>901.77524364106932</v>
      </c>
      <c r="Q7" s="204">
        <f>Data!CQ5/Q$2*100000</f>
        <v>1144.7859982942327</v>
      </c>
      <c r="R7" s="204">
        <f>Data!CR5/R$2*100000</f>
        <v>1178.025003886039</v>
      </c>
      <c r="S7" s="204">
        <f>Data!CS5/S$2*100000</f>
        <v>1356.6228538773075</v>
      </c>
      <c r="T7" s="204">
        <f>Data!CT5/T$2*100000</f>
        <v>1534.6656797434</v>
      </c>
      <c r="U7" s="204">
        <f>Data!CU5/U$2*100000</f>
        <v>1549.9097353705251</v>
      </c>
      <c r="V7" s="204">
        <f>Data!BQ5/V$2*100000</f>
        <v>520.6720468191113</v>
      </c>
      <c r="W7" s="187"/>
    </row>
    <row r="8" spans="1:23" ht="12" customHeight="1">
      <c r="A8" s="187"/>
      <c r="B8" s="196" t="str">
        <f>UPPER(LEFT(TRIM(Data!B6),1)) &amp; MID(TRIM(Data!B6),2,50)</f>
        <v>Lūpos</v>
      </c>
      <c r="C8" s="197" t="str">
        <f>Data!C6</f>
        <v>C00</v>
      </c>
      <c r="D8" s="202">
        <f>Data!CD6/D$2*100000</f>
        <v>0</v>
      </c>
      <c r="E8" s="202">
        <f>Data!CE6/E$2*100000</f>
        <v>0</v>
      </c>
      <c r="F8" s="202">
        <f>Data!CF6/F$2*100000</f>
        <v>0</v>
      </c>
      <c r="G8" s="202">
        <f>Data!CG6/G$2*100000</f>
        <v>0</v>
      </c>
      <c r="H8" s="202">
        <f>Data!CH6/H$2*100000</f>
        <v>0</v>
      </c>
      <c r="I8" s="202">
        <f>Data!CI6/I$2*100000</f>
        <v>0</v>
      </c>
      <c r="J8" s="202">
        <f>Data!CJ6/J$2*100000</f>
        <v>0</v>
      </c>
      <c r="K8" s="202">
        <f>Data!CK6/K$2*100000</f>
        <v>0</v>
      </c>
      <c r="L8" s="202">
        <f>Data!CL6/L$2*100000</f>
        <v>0</v>
      </c>
      <c r="M8" s="202">
        <f>Data!CM6/M$2*100000</f>
        <v>0</v>
      </c>
      <c r="N8" s="202">
        <f>Data!CN6/N$2*100000</f>
        <v>0</v>
      </c>
      <c r="O8" s="202">
        <f>Data!CO6/O$2*100000</f>
        <v>0</v>
      </c>
      <c r="P8" s="202">
        <f>Data!CP6/P$2*100000</f>
        <v>0</v>
      </c>
      <c r="Q8" s="202">
        <f>Data!CQ6/Q$2*100000</f>
        <v>1.2012444892909053</v>
      </c>
      <c r="R8" s="202">
        <f>Data!CR6/R$2*100000</f>
        <v>1.1102968933892923</v>
      </c>
      <c r="S8" s="202">
        <f>Data!CS6/S$2*100000</f>
        <v>3.7269858623002956</v>
      </c>
      <c r="T8" s="202">
        <f>Data!CT6/T$2*100000</f>
        <v>16.448721111933548</v>
      </c>
      <c r="U8" s="202">
        <f>Data!CU6/U$2*100000</f>
        <v>4.4031526573026287</v>
      </c>
      <c r="V8" s="202">
        <f>Data!BQ6/V$2*100000</f>
        <v>1.0656663611756432</v>
      </c>
      <c r="W8" s="187"/>
    </row>
    <row r="9" spans="1:23" ht="12" customHeight="1">
      <c r="A9" s="187"/>
      <c r="B9" s="182" t="str">
        <f>UPPER(LEFT(TRIM(Data!B7),1)) &amp; MID(TRIM(Data!B7),2,50)</f>
        <v>Burnos ertmės ir ryklės</v>
      </c>
      <c r="C9" s="183" t="str">
        <f>Data!C7</f>
        <v>C01-C14</v>
      </c>
      <c r="D9" s="204">
        <f>Data!CD7/D$2*100000</f>
        <v>0</v>
      </c>
      <c r="E9" s="204">
        <f>Data!CE7/E$2*100000</f>
        <v>0</v>
      </c>
      <c r="F9" s="204">
        <f>Data!CF7/F$2*100000</f>
        <v>0</v>
      </c>
      <c r="G9" s="204">
        <f>Data!CG7/G$2*100000</f>
        <v>0</v>
      </c>
      <c r="H9" s="204">
        <f>Data!CH7/H$2*100000</f>
        <v>0</v>
      </c>
      <c r="I9" s="204">
        <f>Data!CI7/I$2*100000</f>
        <v>0</v>
      </c>
      <c r="J9" s="204">
        <f>Data!CJ7/J$2*100000</f>
        <v>0</v>
      </c>
      <c r="K9" s="204">
        <f>Data!CK7/K$2*100000</f>
        <v>3.1467651254510365</v>
      </c>
      <c r="L9" s="204">
        <f>Data!CL7/L$2*100000</f>
        <v>2.7667109340416114</v>
      </c>
      <c r="M9" s="204">
        <f>Data!CM7/M$2*100000</f>
        <v>4.4539858719568146</v>
      </c>
      <c r="N9" s="204">
        <f>Data!CN7/N$2*100000</f>
        <v>7.9293966522087329</v>
      </c>
      <c r="O9" s="204">
        <f>Data!CO7/O$2*100000</f>
        <v>7.4165407399853525</v>
      </c>
      <c r="P9" s="204">
        <f>Data!CP7/P$2*100000</f>
        <v>4.0438351732783371</v>
      </c>
      <c r="Q9" s="204">
        <f>Data!CQ7/Q$2*100000</f>
        <v>8.4087114250363371</v>
      </c>
      <c r="R9" s="204">
        <f>Data!CR7/R$2*100000</f>
        <v>7.7720782537250459</v>
      </c>
      <c r="S9" s="204">
        <f>Data!CS7/S$2*100000</f>
        <v>6.2116431038338256</v>
      </c>
      <c r="T9" s="204">
        <f>Data!CT7/T$2*100000</f>
        <v>8.2243605559667738</v>
      </c>
      <c r="U9" s="204">
        <f>Data!CU7/U$2*100000</f>
        <v>15.4110343005592</v>
      </c>
      <c r="V9" s="204">
        <f>Data!BQ7/V$2*100000</f>
        <v>4.011920418543597</v>
      </c>
      <c r="W9" s="187"/>
    </row>
    <row r="10" spans="1:23" ht="12" customHeight="1">
      <c r="A10" s="187"/>
      <c r="B10" s="196" t="str">
        <f>UPPER(LEFT(TRIM(Data!B8),1)) &amp; MID(TRIM(Data!B8),2,50)</f>
        <v>Stemplės</v>
      </c>
      <c r="C10" s="197" t="str">
        <f>Data!C8</f>
        <v>C15</v>
      </c>
      <c r="D10" s="202">
        <f>Data!CD8/D$2*100000</f>
        <v>0</v>
      </c>
      <c r="E10" s="202">
        <f>Data!CE8/E$2*100000</f>
        <v>0</v>
      </c>
      <c r="F10" s="202">
        <f>Data!CF8/F$2*100000</f>
        <v>0</v>
      </c>
      <c r="G10" s="202">
        <f>Data!CG8/G$2*100000</f>
        <v>0</v>
      </c>
      <c r="H10" s="202">
        <f>Data!CH8/H$2*100000</f>
        <v>0</v>
      </c>
      <c r="I10" s="202">
        <f>Data!CI8/I$2*100000</f>
        <v>0</v>
      </c>
      <c r="J10" s="202">
        <f>Data!CJ8/J$2*100000</f>
        <v>0</v>
      </c>
      <c r="K10" s="202">
        <f>Data!CK8/K$2*100000</f>
        <v>0</v>
      </c>
      <c r="L10" s="202">
        <f>Data!CL8/L$2*100000</f>
        <v>0</v>
      </c>
      <c r="M10" s="202">
        <f>Data!CM8/M$2*100000</f>
        <v>0</v>
      </c>
      <c r="N10" s="202">
        <f>Data!CN8/N$2*100000</f>
        <v>3.9646983261043665</v>
      </c>
      <c r="O10" s="202">
        <f>Data!CO8/O$2*100000</f>
        <v>3.7082703699926762</v>
      </c>
      <c r="P10" s="202">
        <f>Data!CP8/P$2*100000</f>
        <v>3.0328763799587528</v>
      </c>
      <c r="Q10" s="202">
        <f>Data!CQ8/Q$2*100000</f>
        <v>3.6037334678727162</v>
      </c>
      <c r="R10" s="202">
        <f>Data!CR8/R$2*100000</f>
        <v>1.1102968933892923</v>
      </c>
      <c r="S10" s="202">
        <f>Data!CS8/S$2*100000</f>
        <v>1.2423286207667652</v>
      </c>
      <c r="T10" s="202">
        <f>Data!CT8/T$2*100000</f>
        <v>11.514104778353483</v>
      </c>
      <c r="U10" s="202">
        <f>Data!CU8/U$2*100000</f>
        <v>13.209457971907886</v>
      </c>
      <c r="V10" s="202">
        <f>Data!BQ8/V$2*100000</f>
        <v>1.8805876961923114</v>
      </c>
      <c r="W10" s="187"/>
    </row>
    <row r="11" spans="1:23" ht="12" customHeight="1">
      <c r="A11" s="187"/>
      <c r="B11" s="182" t="str">
        <f>UPPER(LEFT(TRIM(Data!B9),1)) &amp; MID(TRIM(Data!B9),2,50)</f>
        <v>Skrandžio</v>
      </c>
      <c r="C11" s="183" t="str">
        <f>Data!C9</f>
        <v>C16</v>
      </c>
      <c r="D11" s="204">
        <f>Data!CD9/D$2*100000</f>
        <v>0</v>
      </c>
      <c r="E11" s="204">
        <f>Data!CE9/E$2*100000</f>
        <v>0</v>
      </c>
      <c r="F11" s="204">
        <f>Data!CF9/F$2*100000</f>
        <v>0</v>
      </c>
      <c r="G11" s="204">
        <f>Data!CG9/G$2*100000</f>
        <v>0</v>
      </c>
      <c r="H11" s="204">
        <f>Data!CH9/H$2*100000</f>
        <v>0.96222312029713442</v>
      </c>
      <c r="I11" s="204">
        <f>Data!CI9/I$2*100000</f>
        <v>0</v>
      </c>
      <c r="J11" s="204">
        <f>Data!CJ9/J$2*100000</f>
        <v>5.7216748486617002</v>
      </c>
      <c r="K11" s="204">
        <f>Data!CK9/K$2*100000</f>
        <v>2.0978434169673577</v>
      </c>
      <c r="L11" s="204">
        <f>Data!CL9/L$2*100000</f>
        <v>4.6111848900693522</v>
      </c>
      <c r="M11" s="204">
        <f>Data!CM9/M$2*100000</f>
        <v>8.9079717439136292</v>
      </c>
      <c r="N11" s="204">
        <f>Data!CN9/N$2*100000</f>
        <v>15.065853639196593</v>
      </c>
      <c r="O11" s="204">
        <f>Data!CO9/O$2*100000</f>
        <v>20.395487034959718</v>
      </c>
      <c r="P11" s="204">
        <f>Data!CP9/P$2*100000</f>
        <v>23.252052246350438</v>
      </c>
      <c r="Q11" s="204">
        <f>Data!CQ9/Q$2*100000</f>
        <v>50.452268550218029</v>
      </c>
      <c r="R11" s="204">
        <f>Data!CR9/R$2*100000</f>
        <v>41.080985055403815</v>
      </c>
      <c r="S11" s="204">
        <f>Data!CS9/S$2*100000</f>
        <v>75.782045866772677</v>
      </c>
      <c r="T11" s="204">
        <f>Data!CT9/T$2*100000</f>
        <v>103.62694300518135</v>
      </c>
      <c r="U11" s="204">
        <f>Data!CU9/U$2*100000</f>
        <v>96.869358460657821</v>
      </c>
      <c r="V11" s="204">
        <f>Data!BQ9/V$2*100000</f>
        <v>20.9372096842744</v>
      </c>
      <c r="W11" s="187"/>
    </row>
    <row r="12" spans="1:23" ht="12" customHeight="1">
      <c r="A12" s="187"/>
      <c r="B12" s="196" t="str">
        <f>UPPER(LEFT(TRIM(Data!B10),1)) &amp; MID(TRIM(Data!B10),2,50)</f>
        <v>Gaubtinės žarnos</v>
      </c>
      <c r="C12" s="197" t="str">
        <f>Data!C10</f>
        <v>C18</v>
      </c>
      <c r="D12" s="202">
        <f>Data!CD10/D$2*100000</f>
        <v>0</v>
      </c>
      <c r="E12" s="202">
        <f>Data!CE10/E$2*100000</f>
        <v>0</v>
      </c>
      <c r="F12" s="202">
        <f>Data!CF10/F$2*100000</f>
        <v>0</v>
      </c>
      <c r="G12" s="202">
        <f>Data!CG10/G$2*100000</f>
        <v>0</v>
      </c>
      <c r="H12" s="202">
        <f>Data!CH10/H$2*100000</f>
        <v>0.96222312029713442</v>
      </c>
      <c r="I12" s="202">
        <f>Data!CI10/I$2*100000</f>
        <v>0</v>
      </c>
      <c r="J12" s="202">
        <f>Data!CJ10/J$2*100000</f>
        <v>2.2886699394646803</v>
      </c>
      <c r="K12" s="202">
        <f>Data!CK10/K$2*100000</f>
        <v>0</v>
      </c>
      <c r="L12" s="202">
        <f>Data!CL10/L$2*100000</f>
        <v>7.377895824110964</v>
      </c>
      <c r="M12" s="202">
        <f>Data!CM10/M$2*100000</f>
        <v>8.9079717439136292</v>
      </c>
      <c r="N12" s="202">
        <f>Data!CN10/N$2*100000</f>
        <v>26.167008952288821</v>
      </c>
      <c r="O12" s="202">
        <f>Data!CO10/O$2*100000</f>
        <v>30.593230552439579</v>
      </c>
      <c r="P12" s="202">
        <f>Data!CP10/P$2*100000</f>
        <v>41.449310526102956</v>
      </c>
      <c r="Q12" s="202">
        <f>Data!CQ10/Q$2*100000</f>
        <v>66.068446910999796</v>
      </c>
      <c r="R12" s="202">
        <f>Data!CR10/R$2*100000</f>
        <v>67.728110496746822</v>
      </c>
      <c r="S12" s="202">
        <f>Data!CS10/S$2*100000</f>
        <v>103.11327552364152</v>
      </c>
      <c r="T12" s="202">
        <f>Data!CT10/T$2*100000</f>
        <v>131.58976889546838</v>
      </c>
      <c r="U12" s="202">
        <f>Data!CU10/U$2*100000</f>
        <v>138.69930870503282</v>
      </c>
      <c r="V12" s="202">
        <f>Data!BQ10/V$2*100000</f>
        <v>29.462540573679547</v>
      </c>
      <c r="W12" s="187"/>
    </row>
    <row r="13" spans="1:23" ht="12" customHeight="1">
      <c r="A13" s="187"/>
      <c r="B13" s="182" t="str">
        <f>UPPER(LEFT(TRIM(Data!B11),1)) &amp; MID(TRIM(Data!B11),2,50)</f>
        <v>Tiesiosios žarnos, išangės</v>
      </c>
      <c r="C13" s="183" t="str">
        <f>Data!C11</f>
        <v>C19-C21</v>
      </c>
      <c r="D13" s="204">
        <f>Data!CD11/D$2*100000</f>
        <v>0</v>
      </c>
      <c r="E13" s="204">
        <f>Data!CE11/E$2*100000</f>
        <v>0</v>
      </c>
      <c r="F13" s="204">
        <f>Data!CF11/F$2*100000</f>
        <v>0</v>
      </c>
      <c r="G13" s="204">
        <f>Data!CG11/G$2*100000</f>
        <v>0</v>
      </c>
      <c r="H13" s="204">
        <f>Data!CH11/H$2*100000</f>
        <v>0</v>
      </c>
      <c r="I13" s="204">
        <f>Data!CI11/I$2*100000</f>
        <v>1.0520003787201362</v>
      </c>
      <c r="J13" s="204">
        <f>Data!CJ11/J$2*100000</f>
        <v>2.2886699394646803</v>
      </c>
      <c r="K13" s="204">
        <f>Data!CK11/K$2*100000</f>
        <v>2.0978434169673577</v>
      </c>
      <c r="L13" s="204">
        <f>Data!CL11/L$2*100000</f>
        <v>5.5334218680832228</v>
      </c>
      <c r="M13" s="204">
        <f>Data!CM11/M$2*100000</f>
        <v>8.0171745695222647</v>
      </c>
      <c r="N13" s="204">
        <f>Data!CN11/N$2*100000</f>
        <v>22.202310626184453</v>
      </c>
      <c r="O13" s="204">
        <f>Data!CO11/O$2*100000</f>
        <v>28.739095367443237</v>
      </c>
      <c r="P13" s="204">
        <f>Data!CP11/P$2*100000</f>
        <v>35.383557766185447</v>
      </c>
      <c r="Q13" s="204">
        <f>Data!CQ11/Q$2*100000</f>
        <v>38.43982365730897</v>
      </c>
      <c r="R13" s="204">
        <f>Data!CR11/R$2*100000</f>
        <v>41.080985055403815</v>
      </c>
      <c r="S13" s="204">
        <f>Data!CS11/S$2*100000</f>
        <v>70.812731383705625</v>
      </c>
      <c r="T13" s="204">
        <f>Data!CT11/T$2*100000</f>
        <v>80.598733448474377</v>
      </c>
      <c r="U13" s="204">
        <f>Data!CU11/U$2*100000</f>
        <v>77.055171502796</v>
      </c>
      <c r="V13" s="204">
        <f>Data!BQ11/V$2*100000</f>
        <v>20.310347118876965</v>
      </c>
      <c r="W13" s="187"/>
    </row>
    <row r="14" spans="1:23" ht="12" customHeight="1">
      <c r="A14" s="187"/>
      <c r="B14" s="196" t="str">
        <f>UPPER(LEFT(TRIM(Data!B12),1)) &amp; MID(TRIM(Data!B12),2,50)</f>
        <v>Kepenų</v>
      </c>
      <c r="C14" s="197" t="str">
        <f>Data!C12</f>
        <v>C22</v>
      </c>
      <c r="D14" s="202">
        <f>Data!CD12/D$2*100000</f>
        <v>1.3584741618214422</v>
      </c>
      <c r="E14" s="202">
        <f>Data!CE12/E$2*100000</f>
        <v>0</v>
      </c>
      <c r="F14" s="202">
        <f>Data!CF12/F$2*100000</f>
        <v>0</v>
      </c>
      <c r="G14" s="202">
        <f>Data!CG12/G$2*100000</f>
        <v>0</v>
      </c>
      <c r="H14" s="202">
        <f>Data!CH12/H$2*100000</f>
        <v>0</v>
      </c>
      <c r="I14" s="202">
        <f>Data!CI12/I$2*100000</f>
        <v>0</v>
      </c>
      <c r="J14" s="202">
        <f>Data!CJ12/J$2*100000</f>
        <v>0</v>
      </c>
      <c r="K14" s="202">
        <f>Data!CK12/K$2*100000</f>
        <v>0</v>
      </c>
      <c r="L14" s="202">
        <f>Data!CL12/L$2*100000</f>
        <v>0.9222369780138705</v>
      </c>
      <c r="M14" s="202">
        <f>Data!CM12/M$2*100000</f>
        <v>0.89079717439136286</v>
      </c>
      <c r="N14" s="202">
        <f>Data!CN12/N$2*100000</f>
        <v>3.1717586608834933</v>
      </c>
      <c r="O14" s="202">
        <f>Data!CO12/O$2*100000</f>
        <v>3.7082703699926762</v>
      </c>
      <c r="P14" s="202">
        <f>Data!CP12/P$2*100000</f>
        <v>9.0986291398762589</v>
      </c>
      <c r="Q14" s="202">
        <f>Data!CQ12/Q$2*100000</f>
        <v>2.4024889785818107</v>
      </c>
      <c r="R14" s="202">
        <f>Data!CR12/R$2*100000</f>
        <v>9.9926720405036296</v>
      </c>
      <c r="S14" s="202">
        <f>Data!CS12/S$2*100000</f>
        <v>11.180957586900886</v>
      </c>
      <c r="T14" s="202">
        <f>Data!CT12/T$2*100000</f>
        <v>16.448721111933548</v>
      </c>
      <c r="U14" s="202">
        <f>Data!CU12/U$2*100000</f>
        <v>22.015763286513142</v>
      </c>
      <c r="V14" s="202">
        <f>Data!BQ12/V$2*100000</f>
        <v>3.7611753923846227</v>
      </c>
      <c r="W14" s="187"/>
    </row>
    <row r="15" spans="1:23" ht="12" customHeight="1">
      <c r="A15" s="187"/>
      <c r="B15" s="182" t="str">
        <f>UPPER(LEFT(TRIM(Data!B13),1)) &amp; MID(TRIM(Data!B13),2,50)</f>
        <v>Tulžies pūslės, ekstrahepatinių takų</v>
      </c>
      <c r="C15" s="183" t="str">
        <f>Data!C13</f>
        <v>C23, C24</v>
      </c>
      <c r="D15" s="204">
        <f>Data!CD13/D$2*100000</f>
        <v>0</v>
      </c>
      <c r="E15" s="204">
        <f>Data!CE13/E$2*100000</f>
        <v>0</v>
      </c>
      <c r="F15" s="204">
        <f>Data!CF13/F$2*100000</f>
        <v>0</v>
      </c>
      <c r="G15" s="204">
        <f>Data!CG13/G$2*100000</f>
        <v>0</v>
      </c>
      <c r="H15" s="204">
        <f>Data!CH13/H$2*100000</f>
        <v>0</v>
      </c>
      <c r="I15" s="204">
        <f>Data!CI13/I$2*100000</f>
        <v>0</v>
      </c>
      <c r="J15" s="204">
        <f>Data!CJ13/J$2*100000</f>
        <v>0</v>
      </c>
      <c r="K15" s="204">
        <f>Data!CK13/K$2*100000</f>
        <v>0</v>
      </c>
      <c r="L15" s="204">
        <f>Data!CL13/L$2*100000</f>
        <v>0</v>
      </c>
      <c r="M15" s="204">
        <f>Data!CM13/M$2*100000</f>
        <v>0.89079717439136286</v>
      </c>
      <c r="N15" s="204">
        <f>Data!CN13/N$2*100000</f>
        <v>3.1717586608834933</v>
      </c>
      <c r="O15" s="204">
        <f>Data!CO13/O$2*100000</f>
        <v>5.5624055549890139</v>
      </c>
      <c r="P15" s="204">
        <f>Data!CP13/P$2*100000</f>
        <v>7.0767115532370894</v>
      </c>
      <c r="Q15" s="204">
        <f>Data!CQ13/Q$2*100000</f>
        <v>12.012444892909054</v>
      </c>
      <c r="R15" s="204">
        <f>Data!CR13/R$2*100000</f>
        <v>13.323562720671507</v>
      </c>
      <c r="S15" s="204">
        <f>Data!CS13/S$2*100000</f>
        <v>9.9386289661341216</v>
      </c>
      <c r="T15" s="204">
        <f>Data!CT13/T$2*100000</f>
        <v>21.383337445513611</v>
      </c>
      <c r="U15" s="204">
        <f>Data!CU13/U$2*100000</f>
        <v>19.814186957861828</v>
      </c>
      <c r="V15" s="204">
        <f>Data!BQ13/V$2*100000</f>
        <v>4.3880379577820596</v>
      </c>
      <c r="W15" s="187"/>
    </row>
    <row r="16" spans="1:23" ht="12" customHeight="1">
      <c r="A16" s="187"/>
      <c r="B16" s="196" t="str">
        <f>UPPER(LEFT(TRIM(Data!B14),1)) &amp; MID(TRIM(Data!B14),2,50)</f>
        <v>Kasos</v>
      </c>
      <c r="C16" s="197" t="str">
        <f>Data!C14</f>
        <v>C25</v>
      </c>
      <c r="D16" s="202">
        <f>Data!CD14/D$2*100000</f>
        <v>0</v>
      </c>
      <c r="E16" s="202">
        <f>Data!CE14/E$2*100000</f>
        <v>0</v>
      </c>
      <c r="F16" s="202">
        <f>Data!CF14/F$2*100000</f>
        <v>0</v>
      </c>
      <c r="G16" s="202">
        <f>Data!CG14/G$2*100000</f>
        <v>0</v>
      </c>
      <c r="H16" s="202">
        <f>Data!CH14/H$2*100000</f>
        <v>0</v>
      </c>
      <c r="I16" s="202">
        <f>Data!CI14/I$2*100000</f>
        <v>0</v>
      </c>
      <c r="J16" s="202">
        <f>Data!CJ14/J$2*100000</f>
        <v>0</v>
      </c>
      <c r="K16" s="202">
        <f>Data!CK14/K$2*100000</f>
        <v>0</v>
      </c>
      <c r="L16" s="202">
        <f>Data!CL14/L$2*100000</f>
        <v>2.7667109340416114</v>
      </c>
      <c r="M16" s="202">
        <f>Data!CM14/M$2*100000</f>
        <v>8.9079717439136292</v>
      </c>
      <c r="N16" s="202">
        <f>Data!CN14/N$2*100000</f>
        <v>10.308215647871354</v>
      </c>
      <c r="O16" s="202">
        <f>Data!CO14/O$2*100000</f>
        <v>15.760149072468874</v>
      </c>
      <c r="P16" s="202">
        <f>Data!CP14/P$2*100000</f>
        <v>19.208217073072099</v>
      </c>
      <c r="Q16" s="202">
        <f>Data!CQ14/Q$2*100000</f>
        <v>34.836090189436256</v>
      </c>
      <c r="R16" s="202">
        <f>Data!CR14/R$2*100000</f>
        <v>53.294250882686029</v>
      </c>
      <c r="S16" s="202">
        <f>Data!CS14/S$2*100000</f>
        <v>45.966158968370308</v>
      </c>
      <c r="T16" s="202">
        <f>Data!CT14/T$2*100000</f>
        <v>74.019245003700959</v>
      </c>
      <c r="U16" s="202">
        <f>Data!CU14/U$2*100000</f>
        <v>77.055171502796</v>
      </c>
      <c r="V16" s="202">
        <f>Data!BQ14/V$2*100000</f>
        <v>16.047681674174388</v>
      </c>
      <c r="W16" s="187"/>
    </row>
    <row r="17" spans="1:23" ht="12" customHeight="1">
      <c r="A17" s="187"/>
      <c r="B17" s="182" t="str">
        <f>UPPER(LEFT(TRIM(Data!B15),1)) &amp; MID(TRIM(Data!B15),2,50)</f>
        <v>Kitų virškinimo sistemos organų</v>
      </c>
      <c r="C17" s="183" t="str">
        <f>Data!C15</f>
        <v>C17, C26, C48</v>
      </c>
      <c r="D17" s="204">
        <f>Data!CD15/D$2*100000</f>
        <v>4.0754224854643262</v>
      </c>
      <c r="E17" s="204">
        <f>Data!CE15/E$2*100000</f>
        <v>0</v>
      </c>
      <c r="F17" s="204">
        <f>Data!CF15/F$2*100000</f>
        <v>0</v>
      </c>
      <c r="G17" s="204">
        <f>Data!CG15/G$2*100000</f>
        <v>0</v>
      </c>
      <c r="H17" s="204">
        <f>Data!CH15/H$2*100000</f>
        <v>0</v>
      </c>
      <c r="I17" s="204">
        <f>Data!CI15/I$2*100000</f>
        <v>0</v>
      </c>
      <c r="J17" s="204">
        <f>Data!CJ15/J$2*100000</f>
        <v>0</v>
      </c>
      <c r="K17" s="204">
        <f>Data!CK15/K$2*100000</f>
        <v>0</v>
      </c>
      <c r="L17" s="204">
        <f>Data!CL15/L$2*100000</f>
        <v>3.688947912055482</v>
      </c>
      <c r="M17" s="204">
        <f>Data!CM15/M$2*100000</f>
        <v>0</v>
      </c>
      <c r="N17" s="204">
        <f>Data!CN15/N$2*100000</f>
        <v>1.5858793304417467</v>
      </c>
      <c r="O17" s="204">
        <f>Data!CO15/O$2*100000</f>
        <v>1.8541351849963381</v>
      </c>
      <c r="P17" s="204">
        <f>Data!CP15/P$2*100000</f>
        <v>4.0438351732783371</v>
      </c>
      <c r="Q17" s="204">
        <f>Data!CQ15/Q$2*100000</f>
        <v>6.0062224464545269</v>
      </c>
      <c r="R17" s="204">
        <f>Data!CR15/R$2*100000</f>
        <v>5.5514844669464614</v>
      </c>
      <c r="S17" s="204">
        <f>Data!CS15/S$2*100000</f>
        <v>12.423286207667651</v>
      </c>
      <c r="T17" s="204">
        <f>Data!CT15/T$2*100000</f>
        <v>8.2243605559667738</v>
      </c>
      <c r="U17" s="204">
        <f>Data!CU15/U$2*100000</f>
        <v>11.007881643256571</v>
      </c>
      <c r="V17" s="204">
        <f>Data!BQ15/V$2*100000</f>
        <v>2.8208815442884672</v>
      </c>
      <c r="W17" s="187"/>
    </row>
    <row r="18" spans="1:23" ht="12" customHeight="1">
      <c r="A18" s="187"/>
      <c r="B18" s="196" t="str">
        <f>UPPER(LEFT(TRIM(Data!B16),1)) &amp; MID(TRIM(Data!B16),2,50)</f>
        <v>Nosies ertmės, vid.ausies ir ančių</v>
      </c>
      <c r="C18" s="197" t="str">
        <f>Data!C16</f>
        <v>C30, C31</v>
      </c>
      <c r="D18" s="202">
        <f>Data!CD16/D$2*100000</f>
        <v>0</v>
      </c>
      <c r="E18" s="202">
        <f>Data!CE16/E$2*100000</f>
        <v>0</v>
      </c>
      <c r="F18" s="202">
        <f>Data!CF16/F$2*100000</f>
        <v>0</v>
      </c>
      <c r="G18" s="202">
        <f>Data!CG16/G$2*100000</f>
        <v>0</v>
      </c>
      <c r="H18" s="202">
        <f>Data!CH16/H$2*100000</f>
        <v>0</v>
      </c>
      <c r="I18" s="202">
        <f>Data!CI16/I$2*100000</f>
        <v>0</v>
      </c>
      <c r="J18" s="202">
        <f>Data!CJ16/J$2*100000</f>
        <v>0</v>
      </c>
      <c r="K18" s="202">
        <f>Data!CK16/K$2*100000</f>
        <v>0</v>
      </c>
      <c r="L18" s="202">
        <f>Data!CL16/L$2*100000</f>
        <v>0.9222369780138705</v>
      </c>
      <c r="M18" s="202">
        <f>Data!CM16/M$2*100000</f>
        <v>0</v>
      </c>
      <c r="N18" s="202">
        <f>Data!CN16/N$2*100000</f>
        <v>1.5858793304417467</v>
      </c>
      <c r="O18" s="202">
        <f>Data!CO16/O$2*100000</f>
        <v>1.8541351849963381</v>
      </c>
      <c r="P18" s="202">
        <f>Data!CP16/P$2*100000</f>
        <v>5.0547939665979209</v>
      </c>
      <c r="Q18" s="202">
        <f>Data!CQ16/Q$2*100000</f>
        <v>3.6037334678727162</v>
      </c>
      <c r="R18" s="202">
        <f>Data!CR16/R$2*100000</f>
        <v>2.2205937867785845</v>
      </c>
      <c r="S18" s="202">
        <f>Data!CS16/S$2*100000</f>
        <v>0</v>
      </c>
      <c r="T18" s="202">
        <f>Data!CT16/T$2*100000</f>
        <v>6.5794884447734194</v>
      </c>
      <c r="U18" s="202">
        <f>Data!CU16/U$2*100000</f>
        <v>4.4031526573026287</v>
      </c>
      <c r="V18" s="202">
        <f>Data!BQ16/V$2*100000</f>
        <v>1.3164113873346179</v>
      </c>
      <c r="W18" s="187"/>
    </row>
    <row r="19" spans="1:23" ht="12" customHeight="1">
      <c r="A19" s="187"/>
      <c r="B19" s="182" t="str">
        <f>UPPER(LEFT(TRIM(Data!B17),1)) &amp; MID(TRIM(Data!B17),2,50)</f>
        <v>Gerklų</v>
      </c>
      <c r="C19" s="183" t="str">
        <f>Data!C17</f>
        <v>C32</v>
      </c>
      <c r="D19" s="204">
        <f>Data!CD17/D$2*100000</f>
        <v>0</v>
      </c>
      <c r="E19" s="204">
        <f>Data!CE17/E$2*100000</f>
        <v>0</v>
      </c>
      <c r="F19" s="204">
        <f>Data!CF17/F$2*100000</f>
        <v>0</v>
      </c>
      <c r="G19" s="204">
        <f>Data!CG17/G$2*100000</f>
        <v>0</v>
      </c>
      <c r="H19" s="204">
        <f>Data!CH17/H$2*100000</f>
        <v>0</v>
      </c>
      <c r="I19" s="204">
        <f>Data!CI17/I$2*100000</f>
        <v>0</v>
      </c>
      <c r="J19" s="204">
        <f>Data!CJ17/J$2*100000</f>
        <v>1.1443349697323402</v>
      </c>
      <c r="K19" s="204">
        <f>Data!CK17/K$2*100000</f>
        <v>1.0489217084836788</v>
      </c>
      <c r="L19" s="204">
        <f>Data!CL17/L$2*100000</f>
        <v>0</v>
      </c>
      <c r="M19" s="204">
        <f>Data!CM17/M$2*100000</f>
        <v>0</v>
      </c>
      <c r="N19" s="204">
        <f>Data!CN17/N$2*100000</f>
        <v>1.5858793304417467</v>
      </c>
      <c r="O19" s="204">
        <f>Data!CO17/O$2*100000</f>
        <v>1.8541351849963381</v>
      </c>
      <c r="P19" s="204">
        <f>Data!CP17/P$2*100000</f>
        <v>1.0109587933195843</v>
      </c>
      <c r="Q19" s="204">
        <f>Data!CQ17/Q$2*100000</f>
        <v>2.4024889785818107</v>
      </c>
      <c r="R19" s="204">
        <f>Data!CR17/R$2*100000</f>
        <v>0</v>
      </c>
      <c r="S19" s="204">
        <f>Data!CS17/S$2*100000</f>
        <v>2.4846572415335304</v>
      </c>
      <c r="T19" s="204">
        <f>Data!CT17/T$2*100000</f>
        <v>0</v>
      </c>
      <c r="U19" s="204">
        <f>Data!CU17/U$2*100000</f>
        <v>0</v>
      </c>
      <c r="V19" s="204">
        <f>Data!BQ17/V$2*100000</f>
        <v>0.68954882193718081</v>
      </c>
      <c r="W19" s="187"/>
    </row>
    <row r="20" spans="1:23" ht="12" customHeight="1">
      <c r="A20" s="187"/>
      <c r="B20" s="196" t="str">
        <f>UPPER(LEFT(TRIM(Data!B18),1)) &amp; MID(TRIM(Data!B18),2,50)</f>
        <v>Plaučių, trachėjos, bronchų</v>
      </c>
      <c r="C20" s="197" t="str">
        <f>Data!C18</f>
        <v>C33, C34</v>
      </c>
      <c r="D20" s="202">
        <f>Data!CD18/D$2*100000</f>
        <v>0</v>
      </c>
      <c r="E20" s="202">
        <f>Data!CE18/E$2*100000</f>
        <v>0</v>
      </c>
      <c r="F20" s="202">
        <f>Data!CF18/F$2*100000</f>
        <v>0</v>
      </c>
      <c r="G20" s="202">
        <f>Data!CG18/G$2*100000</f>
        <v>0</v>
      </c>
      <c r="H20" s="202">
        <f>Data!CH18/H$2*100000</f>
        <v>0</v>
      </c>
      <c r="I20" s="202">
        <f>Data!CI18/I$2*100000</f>
        <v>1.0520003787201362</v>
      </c>
      <c r="J20" s="202">
        <f>Data!CJ18/J$2*100000</f>
        <v>0</v>
      </c>
      <c r="K20" s="202">
        <f>Data!CK18/K$2*100000</f>
        <v>1.0489217084836788</v>
      </c>
      <c r="L20" s="202">
        <f>Data!CL18/L$2*100000</f>
        <v>3.688947912055482</v>
      </c>
      <c r="M20" s="202">
        <f>Data!CM18/M$2*100000</f>
        <v>5.3447830463481765</v>
      </c>
      <c r="N20" s="202">
        <f>Data!CN18/N$2*100000</f>
        <v>13.479974308754848</v>
      </c>
      <c r="O20" s="202">
        <f>Data!CO18/O$2*100000</f>
        <v>28.739095367443237</v>
      </c>
      <c r="P20" s="202">
        <f>Data!CP18/P$2*100000</f>
        <v>39.427392939463786</v>
      </c>
      <c r="Q20" s="202">
        <f>Data!CQ18/Q$2*100000</f>
        <v>38.43982365730897</v>
      </c>
      <c r="R20" s="202">
        <f>Data!CR18/R$2*100000</f>
        <v>44.411875735571691</v>
      </c>
      <c r="S20" s="202">
        <f>Data!CS18/S$2*100000</f>
        <v>67.085745521405329</v>
      </c>
      <c r="T20" s="202">
        <f>Data!CT18/T$2*100000</f>
        <v>52.635907558187355</v>
      </c>
      <c r="U20" s="202">
        <f>Data!CU18/U$2*100000</f>
        <v>72.652018845493373</v>
      </c>
      <c r="V20" s="202">
        <f>Data!BQ18/V$2*100000</f>
        <v>18.179014396525677</v>
      </c>
      <c r="W20" s="187"/>
    </row>
    <row r="21" spans="1:23" ht="12" customHeight="1">
      <c r="A21" s="187"/>
      <c r="B21" s="182" t="str">
        <f>UPPER(LEFT(TRIM(Data!B19),1)) &amp; MID(TRIM(Data!B19),2,50)</f>
        <v>Kitų kvėpavimo sistemos organų</v>
      </c>
      <c r="C21" s="183" t="str">
        <f>Data!C19</f>
        <v>C37-C39</v>
      </c>
      <c r="D21" s="204">
        <f>Data!CD19/D$2*100000</f>
        <v>1.3584741618214422</v>
      </c>
      <c r="E21" s="204">
        <f>Data!CE19/E$2*100000</f>
        <v>0</v>
      </c>
      <c r="F21" s="204">
        <f>Data!CF19/F$2*100000</f>
        <v>0</v>
      </c>
      <c r="G21" s="204">
        <f>Data!CG19/G$2*100000</f>
        <v>0</v>
      </c>
      <c r="H21" s="204">
        <f>Data!CH19/H$2*100000</f>
        <v>0</v>
      </c>
      <c r="I21" s="204">
        <f>Data!CI19/I$2*100000</f>
        <v>0</v>
      </c>
      <c r="J21" s="204">
        <f>Data!CJ19/J$2*100000</f>
        <v>0</v>
      </c>
      <c r="K21" s="204">
        <f>Data!CK19/K$2*100000</f>
        <v>0</v>
      </c>
      <c r="L21" s="204">
        <f>Data!CL19/L$2*100000</f>
        <v>0</v>
      </c>
      <c r="M21" s="204">
        <f>Data!CM19/M$2*100000</f>
        <v>0</v>
      </c>
      <c r="N21" s="204">
        <f>Data!CN19/N$2*100000</f>
        <v>0</v>
      </c>
      <c r="O21" s="204">
        <f>Data!CO19/O$2*100000</f>
        <v>0.92706759249816906</v>
      </c>
      <c r="P21" s="204">
        <f>Data!CP19/P$2*100000</f>
        <v>0</v>
      </c>
      <c r="Q21" s="204">
        <f>Data!CQ19/Q$2*100000</f>
        <v>2.4024889785818107</v>
      </c>
      <c r="R21" s="204">
        <f>Data!CR19/R$2*100000</f>
        <v>0</v>
      </c>
      <c r="S21" s="204">
        <f>Data!CS19/S$2*100000</f>
        <v>1.2423286207667652</v>
      </c>
      <c r="T21" s="204">
        <f>Data!CT19/T$2*100000</f>
        <v>0</v>
      </c>
      <c r="U21" s="204">
        <f>Data!CU19/U$2*100000</f>
        <v>2.2015763286513144</v>
      </c>
      <c r="V21" s="204">
        <f>Data!BQ19/V$2*100000</f>
        <v>0.37611753923846225</v>
      </c>
      <c r="W21" s="187"/>
    </row>
    <row r="22" spans="1:23" ht="12" customHeight="1">
      <c r="A22" s="187"/>
      <c r="B22" s="196" t="str">
        <f>UPPER(LEFT(TRIM(Data!B20),1)) &amp; MID(TRIM(Data!B20),2,50)</f>
        <v>Kaulų ir jungiamojo audinio</v>
      </c>
      <c r="C22" s="197" t="str">
        <f>Data!C20</f>
        <v>C40-C41, C45-C47, C49</v>
      </c>
      <c r="D22" s="202">
        <f>Data!CD20/D$2*100000</f>
        <v>0</v>
      </c>
      <c r="E22" s="202">
        <f>Data!CE20/E$2*100000</f>
        <v>1.5157486282474915</v>
      </c>
      <c r="F22" s="202">
        <f>Data!CF20/F$2*100000</f>
        <v>4.1959802509196189</v>
      </c>
      <c r="G22" s="202">
        <f>Data!CG20/G$2*100000</f>
        <v>1.1255430745334625</v>
      </c>
      <c r="H22" s="202">
        <f>Data!CH20/H$2*100000</f>
        <v>0.96222312029713442</v>
      </c>
      <c r="I22" s="202">
        <f>Data!CI20/I$2*100000</f>
        <v>3.156001136160409</v>
      </c>
      <c r="J22" s="202">
        <f>Data!CJ20/J$2*100000</f>
        <v>1.1443349697323402</v>
      </c>
      <c r="K22" s="202">
        <f>Data!CK20/K$2*100000</f>
        <v>1.0489217084836788</v>
      </c>
      <c r="L22" s="202">
        <f>Data!CL20/L$2*100000</f>
        <v>0.9222369780138705</v>
      </c>
      <c r="M22" s="202">
        <f>Data!CM20/M$2*100000</f>
        <v>4.4539858719568146</v>
      </c>
      <c r="N22" s="202">
        <f>Data!CN20/N$2*100000</f>
        <v>7.1364569869878594</v>
      </c>
      <c r="O22" s="202">
        <f>Data!CO20/O$2*100000</f>
        <v>3.7082703699926762</v>
      </c>
      <c r="P22" s="202">
        <f>Data!CP20/P$2*100000</f>
        <v>8.0876703465566742</v>
      </c>
      <c r="Q22" s="202">
        <f>Data!CQ20/Q$2*100000</f>
        <v>6.0062224464545269</v>
      </c>
      <c r="R22" s="202">
        <f>Data!CR20/R$2*100000</f>
        <v>5.5514844669464614</v>
      </c>
      <c r="S22" s="202">
        <f>Data!CS20/S$2*100000</f>
        <v>9.9386289661341216</v>
      </c>
      <c r="T22" s="202">
        <f>Data!CT20/T$2*100000</f>
        <v>6.5794884447734194</v>
      </c>
      <c r="U22" s="202">
        <f>Data!CU20/U$2*100000</f>
        <v>19.814186957861828</v>
      </c>
      <c r="V22" s="202">
        <f>Data!BQ20/V$2*100000</f>
        <v>4.3253517012423162</v>
      </c>
      <c r="W22" s="187"/>
    </row>
    <row r="23" spans="1:23" ht="12" customHeight="1">
      <c r="A23" s="187"/>
      <c r="B23" s="182" t="str">
        <f>UPPER(LEFT(TRIM(Data!B21),1)) &amp; MID(TRIM(Data!B21),2,50)</f>
        <v>Odos melanoma</v>
      </c>
      <c r="C23" s="183" t="str">
        <f>Data!C21</f>
        <v>C43</v>
      </c>
      <c r="D23" s="204">
        <f>Data!CD21/D$2*100000</f>
        <v>0</v>
      </c>
      <c r="E23" s="204">
        <f>Data!CE21/E$2*100000</f>
        <v>0</v>
      </c>
      <c r="F23" s="204">
        <f>Data!CF21/F$2*100000</f>
        <v>0</v>
      </c>
      <c r="G23" s="204">
        <f>Data!CG21/G$2*100000</f>
        <v>1.1255430745334625</v>
      </c>
      <c r="H23" s="204">
        <f>Data!CH21/H$2*100000</f>
        <v>0.96222312029713442</v>
      </c>
      <c r="I23" s="204">
        <f>Data!CI21/I$2*100000</f>
        <v>1.0520003787201362</v>
      </c>
      <c r="J23" s="204">
        <f>Data!CJ21/J$2*100000</f>
        <v>1.1443349697323402</v>
      </c>
      <c r="K23" s="204">
        <f>Data!CK21/K$2*100000</f>
        <v>7.3424519593857518</v>
      </c>
      <c r="L23" s="204">
        <f>Data!CL21/L$2*100000</f>
        <v>10.144606758152575</v>
      </c>
      <c r="M23" s="204">
        <f>Data!CM21/M$2*100000</f>
        <v>8.9079717439136292</v>
      </c>
      <c r="N23" s="204">
        <f>Data!CN21/N$2*100000</f>
        <v>16.651732969638338</v>
      </c>
      <c r="O23" s="204">
        <f>Data!CO21/O$2*100000</f>
        <v>14.833081479970705</v>
      </c>
      <c r="P23" s="204">
        <f>Data!CP21/P$2*100000</f>
        <v>13.142464313154596</v>
      </c>
      <c r="Q23" s="204">
        <f>Data!CQ21/Q$2*100000</f>
        <v>21.622400807236296</v>
      </c>
      <c r="R23" s="204">
        <f>Data!CR21/R$2*100000</f>
        <v>19.985344081007259</v>
      </c>
      <c r="S23" s="204">
        <f>Data!CS21/S$2*100000</f>
        <v>26.088901036102069</v>
      </c>
      <c r="T23" s="204">
        <f>Data!CT21/T$2*100000</f>
        <v>23.028209556706965</v>
      </c>
      <c r="U23" s="204">
        <f>Data!CU21/U$2*100000</f>
        <v>30.822068601118399</v>
      </c>
      <c r="V23" s="204">
        <f>Data!BQ21/V$2*100000</f>
        <v>10.4686048421372</v>
      </c>
      <c r="W23" s="187"/>
    </row>
    <row r="24" spans="1:23" ht="12" customHeight="1">
      <c r="A24" s="187"/>
      <c r="B24" s="196" t="str">
        <f>UPPER(LEFT(TRIM(Data!B22),1)) &amp; MID(TRIM(Data!B22),2,50)</f>
        <v>Kiti odos piktybiniai navikai</v>
      </c>
      <c r="C24" s="197" t="str">
        <f>Data!C22</f>
        <v>C44</v>
      </c>
      <c r="D24" s="202">
        <f>Data!CD22/D$2*100000</f>
        <v>0</v>
      </c>
      <c r="E24" s="202">
        <f>Data!CE22/E$2*100000</f>
        <v>1.5157486282474915</v>
      </c>
      <c r="F24" s="202">
        <f>Data!CF22/F$2*100000</f>
        <v>1.398660083639873</v>
      </c>
      <c r="G24" s="202">
        <f>Data!CG22/G$2*100000</f>
        <v>0</v>
      </c>
      <c r="H24" s="202">
        <f>Data!CH22/H$2*100000</f>
        <v>3.8488924811885377</v>
      </c>
      <c r="I24" s="202">
        <f>Data!CI22/I$2*100000</f>
        <v>6.312002272320818</v>
      </c>
      <c r="J24" s="202">
        <f>Data!CJ22/J$2*100000</f>
        <v>13.732019636788079</v>
      </c>
      <c r="K24" s="202">
        <f>Data!CK22/K$2*100000</f>
        <v>11.538138793320467</v>
      </c>
      <c r="L24" s="202">
        <f>Data!CL22/L$2*100000</f>
        <v>29.511583296443856</v>
      </c>
      <c r="M24" s="202">
        <f>Data!CM22/M$2*100000</f>
        <v>52.557033289090406</v>
      </c>
      <c r="N24" s="202">
        <f>Data!CN22/N$2*100000</f>
        <v>68.985750874215981</v>
      </c>
      <c r="O24" s="202">
        <f>Data!CO22/O$2*100000</f>
        <v>95.487962027311411</v>
      </c>
      <c r="P24" s="202">
        <f>Data!CP22/P$2*100000</f>
        <v>136.47943709814388</v>
      </c>
      <c r="Q24" s="202">
        <f>Data!CQ22/Q$2*100000</f>
        <v>213.82151909378118</v>
      </c>
      <c r="R24" s="202">
        <f>Data!CR22/R$2*100000</f>
        <v>268.69184820020877</v>
      </c>
      <c r="S24" s="202">
        <f>Data!CS22/S$2*100000</f>
        <v>305.61284070862422</v>
      </c>
      <c r="T24" s="202">
        <f>Data!CT22/T$2*100000</f>
        <v>304.30134057077066</v>
      </c>
      <c r="U24" s="202">
        <f>Data!CU22/U$2*100000</f>
        <v>321.43014398309185</v>
      </c>
      <c r="V24" s="202">
        <f>Data!BQ22/V$2*100000</f>
        <v>90.769699469548897</v>
      </c>
      <c r="W24" s="187"/>
    </row>
    <row r="25" spans="1:23" ht="12" customHeight="1">
      <c r="A25" s="187"/>
      <c r="B25" s="182" t="str">
        <f>UPPER(LEFT(TRIM(Data!B23),1)) &amp; MID(TRIM(Data!B23),2,50)</f>
        <v>Krūties</v>
      </c>
      <c r="C25" s="183" t="str">
        <f>Data!C23</f>
        <v>C50</v>
      </c>
      <c r="D25" s="204">
        <f>Data!CD23/D$2*100000</f>
        <v>0</v>
      </c>
      <c r="E25" s="204">
        <f>Data!CE23/E$2*100000</f>
        <v>0</v>
      </c>
      <c r="F25" s="204">
        <f>Data!CF23/F$2*100000</f>
        <v>0</v>
      </c>
      <c r="G25" s="204">
        <f>Data!CG23/G$2*100000</f>
        <v>0</v>
      </c>
      <c r="H25" s="204">
        <f>Data!CH23/H$2*100000</f>
        <v>0.96222312029713442</v>
      </c>
      <c r="I25" s="204">
        <f>Data!CI23/I$2*100000</f>
        <v>12.624004544641636</v>
      </c>
      <c r="J25" s="204">
        <f>Data!CJ23/J$2*100000</f>
        <v>22.886699394646801</v>
      </c>
      <c r="K25" s="204">
        <f>Data!CK23/K$2*100000</f>
        <v>50.348242007216584</v>
      </c>
      <c r="L25" s="204">
        <f>Data!CL23/L$2*100000</f>
        <v>94.990408735428659</v>
      </c>
      <c r="M25" s="204">
        <f>Data!CM23/M$2*100000</f>
        <v>112.24044397331171</v>
      </c>
      <c r="N25" s="204">
        <f>Data!CN23/N$2*100000</f>
        <v>145.1079587354198</v>
      </c>
      <c r="O25" s="204">
        <f>Data!CO23/O$2*100000</f>
        <v>186.34058609213199</v>
      </c>
      <c r="P25" s="204">
        <f>Data!CP23/P$2*100000</f>
        <v>204.21367625055603</v>
      </c>
      <c r="Q25" s="204">
        <f>Data!CQ23/Q$2*100000</f>
        <v>222.23023051881748</v>
      </c>
      <c r="R25" s="204">
        <f>Data!CR23/R$2*100000</f>
        <v>170.98572158195103</v>
      </c>
      <c r="S25" s="204">
        <f>Data!CS23/S$2*100000</f>
        <v>172.68367828658037</v>
      </c>
      <c r="T25" s="204">
        <f>Data!CT23/T$2*100000</f>
        <v>159.55259478575542</v>
      </c>
      <c r="U25" s="204">
        <f>Data!CU23/U$2*100000</f>
        <v>138.69930870503282</v>
      </c>
      <c r="V25" s="204">
        <f>Data!BQ23/V$2*100000</f>
        <v>96.160717531966853</v>
      </c>
      <c r="W25" s="187"/>
    </row>
    <row r="26" spans="1:23" ht="12" customHeight="1">
      <c r="A26" s="187"/>
      <c r="B26" s="196" t="str">
        <f>UPPER(LEFT(TRIM(Data!B24),1)) &amp; MID(TRIM(Data!B24),2,50)</f>
        <v>Vulvos</v>
      </c>
      <c r="C26" s="197" t="str">
        <f>Data!C24</f>
        <v>C51</v>
      </c>
      <c r="D26" s="202">
        <f>Data!CD24/D$2*100000</f>
        <v>0</v>
      </c>
      <c r="E26" s="202">
        <f>Data!CE24/E$2*100000</f>
        <v>0</v>
      </c>
      <c r="F26" s="202">
        <f>Data!CF24/F$2*100000</f>
        <v>0</v>
      </c>
      <c r="G26" s="202">
        <f>Data!CG24/G$2*100000</f>
        <v>0</v>
      </c>
      <c r="H26" s="202">
        <f>Data!CH24/H$2*100000</f>
        <v>0</v>
      </c>
      <c r="I26" s="202">
        <f>Data!CI24/I$2*100000</f>
        <v>0</v>
      </c>
      <c r="J26" s="202">
        <f>Data!CJ24/J$2*100000</f>
        <v>0</v>
      </c>
      <c r="K26" s="202">
        <f>Data!CK24/K$2*100000</f>
        <v>1.0489217084836788</v>
      </c>
      <c r="L26" s="202">
        <f>Data!CL24/L$2*100000</f>
        <v>1.844473956027741</v>
      </c>
      <c r="M26" s="202">
        <f>Data!CM24/M$2*100000</f>
        <v>0.89079717439136286</v>
      </c>
      <c r="N26" s="202">
        <f>Data!CN24/N$2*100000</f>
        <v>0.79293966522087334</v>
      </c>
      <c r="O26" s="202">
        <f>Data!CO24/O$2*100000</f>
        <v>4.635337962490846</v>
      </c>
      <c r="P26" s="202">
        <f>Data!CP24/P$2*100000</f>
        <v>3.0328763799587528</v>
      </c>
      <c r="Q26" s="202">
        <f>Data!CQ24/Q$2*100000</f>
        <v>6.0062224464545269</v>
      </c>
      <c r="R26" s="202">
        <f>Data!CR24/R$2*100000</f>
        <v>12.213265827282216</v>
      </c>
      <c r="S26" s="202">
        <f>Data!CS24/S$2*100000</f>
        <v>11.180957586900886</v>
      </c>
      <c r="T26" s="202">
        <f>Data!CT24/T$2*100000</f>
        <v>14.803849000740191</v>
      </c>
      <c r="U26" s="202">
        <f>Data!CU24/U$2*100000</f>
        <v>17.612610629210515</v>
      </c>
      <c r="V26" s="202">
        <f>Data!BQ24/V$2*100000</f>
        <v>3.4477441096859041</v>
      </c>
      <c r="W26" s="187"/>
    </row>
    <row r="27" spans="1:23" ht="12" customHeight="1">
      <c r="A27" s="187"/>
      <c r="B27" s="182" t="str">
        <f>UPPER(LEFT(TRIM(Data!B25),1)) &amp; MID(TRIM(Data!B25),2,50)</f>
        <v>Gimdos kaklelio</v>
      </c>
      <c r="C27" s="183" t="str">
        <f>Data!C25</f>
        <v>C53</v>
      </c>
      <c r="D27" s="204">
        <f>Data!CD25/D$2*100000</f>
        <v>0</v>
      </c>
      <c r="E27" s="204">
        <f>Data!CE25/E$2*100000</f>
        <v>0</v>
      </c>
      <c r="F27" s="204">
        <f>Data!CF25/F$2*100000</f>
        <v>0</v>
      </c>
      <c r="G27" s="204">
        <f>Data!CG25/G$2*100000</f>
        <v>0</v>
      </c>
      <c r="H27" s="204">
        <f>Data!CH25/H$2*100000</f>
        <v>0</v>
      </c>
      <c r="I27" s="204">
        <f>Data!CI25/I$2*100000</f>
        <v>10.520003787201365</v>
      </c>
      <c r="J27" s="204">
        <f>Data!CJ25/J$2*100000</f>
        <v>30.897044182773183</v>
      </c>
      <c r="K27" s="204">
        <f>Data!CK25/K$2*100000</f>
        <v>28.320886129059328</v>
      </c>
      <c r="L27" s="204">
        <f>Data!CL25/L$2*100000</f>
        <v>41.50066401062417</v>
      </c>
      <c r="M27" s="204">
        <f>Data!CM25/M$2*100000</f>
        <v>48.993844591524962</v>
      </c>
      <c r="N27" s="204">
        <f>Data!CN25/N$2*100000</f>
        <v>41.232862591485414</v>
      </c>
      <c r="O27" s="204">
        <f>Data!CO25/O$2*100000</f>
        <v>37.082703699926768</v>
      </c>
      <c r="P27" s="204">
        <f>Data!CP25/P$2*100000</f>
        <v>37.405475352824617</v>
      </c>
      <c r="Q27" s="204">
        <f>Data!CQ25/Q$2*100000</f>
        <v>36.037334678727163</v>
      </c>
      <c r="R27" s="204">
        <f>Data!CR25/R$2*100000</f>
        <v>23.316234761175139</v>
      </c>
      <c r="S27" s="204">
        <f>Data!CS25/S$2*100000</f>
        <v>31.058215519169131</v>
      </c>
      <c r="T27" s="204">
        <f>Data!CT25/T$2*100000</f>
        <v>32.897442223867095</v>
      </c>
      <c r="U27" s="204">
        <f>Data!CU25/U$2*100000</f>
        <v>17.612610629210515</v>
      </c>
      <c r="V27" s="204">
        <f>Data!BQ25/V$2*100000</f>
        <v>24.886443846278254</v>
      </c>
      <c r="W27" s="187"/>
    </row>
    <row r="28" spans="1:23" ht="12" customHeight="1">
      <c r="A28" s="187"/>
      <c r="B28" s="196" t="str">
        <f>UPPER(LEFT(TRIM(Data!B26),1)) &amp; MID(TRIM(Data!B26),2,50)</f>
        <v>Gimdos kūno</v>
      </c>
      <c r="C28" s="197" t="str">
        <f>Data!C26</f>
        <v>C54, C55</v>
      </c>
      <c r="D28" s="202">
        <f>Data!CD26/D$2*100000</f>
        <v>0</v>
      </c>
      <c r="E28" s="202">
        <f>Data!CE26/E$2*100000</f>
        <v>0</v>
      </c>
      <c r="F28" s="202">
        <f>Data!CF26/F$2*100000</f>
        <v>0</v>
      </c>
      <c r="G28" s="202">
        <f>Data!CG26/G$2*100000</f>
        <v>0</v>
      </c>
      <c r="H28" s="202">
        <f>Data!CH26/H$2*100000</f>
        <v>0</v>
      </c>
      <c r="I28" s="202">
        <f>Data!CI26/I$2*100000</f>
        <v>0</v>
      </c>
      <c r="J28" s="202">
        <f>Data!CJ26/J$2*100000</f>
        <v>2.2886699394646803</v>
      </c>
      <c r="K28" s="202">
        <f>Data!CK26/K$2*100000</f>
        <v>7.3424519593857518</v>
      </c>
      <c r="L28" s="202">
        <f>Data!CL26/L$2*100000</f>
        <v>11.989080714180316</v>
      </c>
      <c r="M28" s="202">
        <f>Data!CM26/M$2*100000</f>
        <v>36.522684150045876</v>
      </c>
      <c r="N28" s="202">
        <f>Data!CN26/N$2*100000</f>
        <v>58.677535226344624</v>
      </c>
      <c r="O28" s="202">
        <f>Data!CO26/O$2*100000</f>
        <v>82.509015732337048</v>
      </c>
      <c r="P28" s="202">
        <f>Data!CP26/P$2*100000</f>
        <v>104.12875571191719</v>
      </c>
      <c r="Q28" s="202">
        <f>Data!CQ26/Q$2*100000</f>
        <v>100.90453710043606</v>
      </c>
      <c r="R28" s="202">
        <f>Data!CR26/R$2*100000</f>
        <v>97.706126618257727</v>
      </c>
      <c r="S28" s="202">
        <f>Data!CS26/S$2*100000</f>
        <v>88.205332074440335</v>
      </c>
      <c r="T28" s="202">
        <f>Data!CT26/T$2*100000</f>
        <v>77.308989226087675</v>
      </c>
      <c r="U28" s="202">
        <f>Data!CU26/U$2*100000</f>
        <v>48.434679230328911</v>
      </c>
      <c r="V28" s="202">
        <f>Data!BQ26/V$2*100000</f>
        <v>40.181890441975717</v>
      </c>
      <c r="W28" s="187"/>
    </row>
    <row r="29" spans="1:23" ht="12" customHeight="1">
      <c r="A29" s="187"/>
      <c r="B29" s="182" t="str">
        <f>UPPER(LEFT(TRIM(Data!B27),1)) &amp; MID(TRIM(Data!B27),2,50)</f>
        <v>Kiaušidžių</v>
      </c>
      <c r="C29" s="183" t="str">
        <f>Data!C27</f>
        <v>C56</v>
      </c>
      <c r="D29" s="204">
        <f>Data!CD27/D$2*100000</f>
        <v>0</v>
      </c>
      <c r="E29" s="204">
        <f>Data!CE27/E$2*100000</f>
        <v>0</v>
      </c>
      <c r="F29" s="204">
        <f>Data!CF27/F$2*100000</f>
        <v>0</v>
      </c>
      <c r="G29" s="204">
        <f>Data!CG27/G$2*100000</f>
        <v>0</v>
      </c>
      <c r="H29" s="204">
        <f>Data!CH27/H$2*100000</f>
        <v>1.9244462405942688</v>
      </c>
      <c r="I29" s="204">
        <f>Data!CI27/I$2*100000</f>
        <v>4.2080015148805447</v>
      </c>
      <c r="J29" s="204">
        <f>Data!CJ27/J$2*100000</f>
        <v>4.5773398789293607</v>
      </c>
      <c r="K29" s="204">
        <f>Data!CK27/K$2*100000</f>
        <v>3.1467651254510365</v>
      </c>
      <c r="L29" s="204">
        <f>Data!CL27/L$2*100000</f>
        <v>12.911317692194187</v>
      </c>
      <c r="M29" s="204">
        <f>Data!CM27/M$2*100000</f>
        <v>25.833118057349523</v>
      </c>
      <c r="N29" s="204">
        <f>Data!CN27/N$2*100000</f>
        <v>41.232862591485414</v>
      </c>
      <c r="O29" s="204">
        <f>Data!CO27/O$2*100000</f>
        <v>41.718041662417612</v>
      </c>
      <c r="P29" s="204">
        <f>Data!CP27/P$2*100000</f>
        <v>38.416434146144198</v>
      </c>
      <c r="Q29" s="204">
        <f>Data!CQ27/Q$2*100000</f>
        <v>44.4460461037635</v>
      </c>
      <c r="R29" s="204">
        <f>Data!CR27/R$2*100000</f>
        <v>34.419203695068063</v>
      </c>
      <c r="S29" s="204">
        <f>Data!CS27/S$2*100000</f>
        <v>48.450816209903842</v>
      </c>
      <c r="T29" s="204">
        <f>Data!CT27/T$2*100000</f>
        <v>70.729500781314258</v>
      </c>
      <c r="U29" s="204">
        <f>Data!CU27/U$2*100000</f>
        <v>48.434679230328911</v>
      </c>
      <c r="V29" s="204">
        <f>Data!BQ27/V$2*100000</f>
        <v>22.755111123926969</v>
      </c>
      <c r="W29" s="187"/>
    </row>
    <row r="30" spans="1:23" ht="12" customHeight="1">
      <c r="A30" s="187"/>
      <c r="B30" s="196" t="str">
        <f>UPPER(LEFT(TRIM(Data!B30),1)) &amp; MID(TRIM(Data!B30),2,50)</f>
        <v>Kitų lyties organų</v>
      </c>
      <c r="C30" s="197" t="s">
        <v>417</v>
      </c>
      <c r="D30" s="202">
        <f>Data!CD30/D$2*100000</f>
        <v>0</v>
      </c>
      <c r="E30" s="202">
        <f>Data!CE30/E$2*100000</f>
        <v>0</v>
      </c>
      <c r="F30" s="202">
        <f>Data!CF30/F$2*100000</f>
        <v>0</v>
      </c>
      <c r="G30" s="202">
        <f>Data!CG30/G$2*100000</f>
        <v>0</v>
      </c>
      <c r="H30" s="202">
        <f>Data!CH30/H$2*100000</f>
        <v>0</v>
      </c>
      <c r="I30" s="202">
        <f>Data!CI30/I$2*100000</f>
        <v>0</v>
      </c>
      <c r="J30" s="202">
        <f>Data!CJ30/J$2*100000</f>
        <v>0</v>
      </c>
      <c r="K30" s="202">
        <f>Data!CK30/K$2*100000</f>
        <v>2.0978434169673577</v>
      </c>
      <c r="L30" s="202">
        <f>Data!CL30/L$2*100000</f>
        <v>0.9222369780138705</v>
      </c>
      <c r="M30" s="202">
        <f>Data!CM30/M$2*100000</f>
        <v>1.7815943487827257</v>
      </c>
      <c r="N30" s="202">
        <f>Data!CN30/N$2*100000</f>
        <v>3.9646983261043665</v>
      </c>
      <c r="O30" s="202">
        <f>Data!CO30/O$2*100000</f>
        <v>2.781202777494507</v>
      </c>
      <c r="P30" s="202">
        <f>Data!CP30/P$2*100000</f>
        <v>3.0328763799587528</v>
      </c>
      <c r="Q30" s="202">
        <f>Data!CQ30/Q$2*100000</f>
        <v>1.2012444892909053</v>
      </c>
      <c r="R30" s="202">
        <f>Data!CR30/R$2*100000</f>
        <v>7.7720782537250459</v>
      </c>
      <c r="S30" s="202">
        <f>Data!CS30/S$2*100000</f>
        <v>3.7269858623002956</v>
      </c>
      <c r="T30" s="202">
        <f>Data!CT30/T$2*100000</f>
        <v>3.2897442223867097</v>
      </c>
      <c r="U30" s="202">
        <f>Data!CU30/U$2*100000</f>
        <v>4.4031526573026287</v>
      </c>
      <c r="V30" s="202">
        <f>Data!BQ30/V$2*100000</f>
        <v>1.9432739527320553</v>
      </c>
      <c r="W30" s="187"/>
    </row>
    <row r="31" spans="1:23" ht="12" customHeight="1">
      <c r="A31" s="187"/>
      <c r="B31" s="182" t="str">
        <f>UPPER(LEFT(TRIM(Data!B31),1)) &amp; MID(TRIM(Data!B31),2,50)</f>
        <v>Inkstų</v>
      </c>
      <c r="C31" s="183" t="str">
        <f>Data!C31</f>
        <v>C64</v>
      </c>
      <c r="D31" s="204">
        <f>Data!CD31/D$2*100000</f>
        <v>2.7169483236428844</v>
      </c>
      <c r="E31" s="204">
        <f>Data!CE31/E$2*100000</f>
        <v>1.5157486282474915</v>
      </c>
      <c r="F31" s="204">
        <f>Data!CF31/F$2*100000</f>
        <v>0</v>
      </c>
      <c r="G31" s="204">
        <f>Data!CG31/G$2*100000</f>
        <v>0</v>
      </c>
      <c r="H31" s="204">
        <f>Data!CH31/H$2*100000</f>
        <v>0.96222312029713442</v>
      </c>
      <c r="I31" s="204">
        <f>Data!CI31/I$2*100000</f>
        <v>1.0520003787201362</v>
      </c>
      <c r="J31" s="204">
        <f>Data!CJ31/J$2*100000</f>
        <v>1.1443349697323402</v>
      </c>
      <c r="K31" s="204">
        <f>Data!CK31/K$2*100000</f>
        <v>1.0489217084836788</v>
      </c>
      <c r="L31" s="204">
        <f>Data!CL31/L$2*100000</f>
        <v>5.5334218680832228</v>
      </c>
      <c r="M31" s="204">
        <f>Data!CM31/M$2*100000</f>
        <v>7.1263773951309028</v>
      </c>
      <c r="N31" s="204">
        <f>Data!CN31/N$2*100000</f>
        <v>15.858793304417466</v>
      </c>
      <c r="O31" s="204">
        <f>Data!CO31/O$2*100000</f>
        <v>22.249622219956056</v>
      </c>
      <c r="P31" s="204">
        <f>Data!CP31/P$2*100000</f>
        <v>36.394516559505036</v>
      </c>
      <c r="Q31" s="204">
        <f>Data!CQ31/Q$2*100000</f>
        <v>46.848535082345315</v>
      </c>
      <c r="R31" s="204">
        <f>Data!CR31/R$2*100000</f>
        <v>49.963360202518153</v>
      </c>
      <c r="S31" s="204">
        <f>Data!CS31/S$2*100000</f>
        <v>48.450816209903842</v>
      </c>
      <c r="T31" s="204">
        <f>Data!CT31/T$2*100000</f>
        <v>44.411547002220573</v>
      </c>
      <c r="U31" s="204">
        <f>Data!CU31/U$2*100000</f>
        <v>37.426797587072343</v>
      </c>
      <c r="V31" s="204">
        <f>Data!BQ31/V$2*100000</f>
        <v>16.799916752651313</v>
      </c>
      <c r="W31" s="187"/>
    </row>
    <row r="32" spans="1:23" ht="12" customHeight="1">
      <c r="A32" s="187"/>
      <c r="B32" s="196" t="str">
        <f>UPPER(LEFT(TRIM(Data!B32),1)) &amp; MID(TRIM(Data!B32),2,50)</f>
        <v>Šlapimo pūslės</v>
      </c>
      <c r="C32" s="197" t="str">
        <f>Data!C32</f>
        <v>C67</v>
      </c>
      <c r="D32" s="202">
        <f>Data!CD32/D$2*100000</f>
        <v>1.3584741618214422</v>
      </c>
      <c r="E32" s="202">
        <f>Data!CE32/E$2*100000</f>
        <v>0</v>
      </c>
      <c r="F32" s="202">
        <f>Data!CF32/F$2*100000</f>
        <v>0</v>
      </c>
      <c r="G32" s="202">
        <f>Data!CG32/G$2*100000</f>
        <v>0</v>
      </c>
      <c r="H32" s="202">
        <f>Data!CH32/H$2*100000</f>
        <v>0</v>
      </c>
      <c r="I32" s="202">
        <f>Data!CI32/I$2*100000</f>
        <v>0</v>
      </c>
      <c r="J32" s="202">
        <f>Data!CJ32/J$2*100000</f>
        <v>0</v>
      </c>
      <c r="K32" s="202">
        <f>Data!CK32/K$2*100000</f>
        <v>0</v>
      </c>
      <c r="L32" s="202">
        <f>Data!CL32/L$2*100000</f>
        <v>0</v>
      </c>
      <c r="M32" s="202">
        <f>Data!CM32/M$2*100000</f>
        <v>0.89079717439136286</v>
      </c>
      <c r="N32" s="202">
        <f>Data!CN32/N$2*100000</f>
        <v>1.5858793304417467</v>
      </c>
      <c r="O32" s="202">
        <f>Data!CO32/O$2*100000</f>
        <v>5.5624055549890139</v>
      </c>
      <c r="P32" s="202">
        <f>Data!CP32/P$2*100000</f>
        <v>10.109587933195842</v>
      </c>
      <c r="Q32" s="202">
        <f>Data!CQ32/Q$2*100000</f>
        <v>9.6099559143272426</v>
      </c>
      <c r="R32" s="202">
        <f>Data!CR32/R$2*100000</f>
        <v>9.9926720405036296</v>
      </c>
      <c r="S32" s="202">
        <f>Data!CS32/S$2*100000</f>
        <v>17.39260069073471</v>
      </c>
      <c r="T32" s="202">
        <f>Data!CT32/T$2*100000</f>
        <v>27.962825890287032</v>
      </c>
      <c r="U32" s="202">
        <f>Data!CU32/U$2*100000</f>
        <v>28.620492272467082</v>
      </c>
      <c r="V32" s="202">
        <f>Data!BQ32/V$2*100000</f>
        <v>5.0775867797192413</v>
      </c>
      <c r="W32" s="187"/>
    </row>
    <row r="33" spans="1:23" ht="12" customHeight="1">
      <c r="A33" s="187"/>
      <c r="B33" s="182" t="str">
        <f>UPPER(LEFT(TRIM(Data!B33),1)) &amp; MID(TRIM(Data!B33),2,50)</f>
        <v>Kitų šlapimą išskiriančių organų</v>
      </c>
      <c r="C33" s="183" t="str">
        <f>Data!C33</f>
        <v>C65, C66, C68</v>
      </c>
      <c r="D33" s="204">
        <f>Data!CD33/D$2*100000</f>
        <v>0</v>
      </c>
      <c r="E33" s="204">
        <f>Data!CE33/E$2*100000</f>
        <v>0</v>
      </c>
      <c r="F33" s="204">
        <f>Data!CF33/F$2*100000</f>
        <v>0</v>
      </c>
      <c r="G33" s="204">
        <f>Data!CG33/G$2*100000</f>
        <v>0</v>
      </c>
      <c r="H33" s="204">
        <f>Data!CH33/H$2*100000</f>
        <v>0</v>
      </c>
      <c r="I33" s="204">
        <f>Data!CI33/I$2*100000</f>
        <v>0</v>
      </c>
      <c r="J33" s="204">
        <f>Data!CJ33/J$2*100000</f>
        <v>0</v>
      </c>
      <c r="K33" s="204">
        <f>Data!CK33/K$2*100000</f>
        <v>0</v>
      </c>
      <c r="L33" s="204">
        <f>Data!CL33/L$2*100000</f>
        <v>0</v>
      </c>
      <c r="M33" s="204">
        <f>Data!CM33/M$2*100000</f>
        <v>0</v>
      </c>
      <c r="N33" s="204">
        <f>Data!CN33/N$2*100000</f>
        <v>0</v>
      </c>
      <c r="O33" s="204">
        <f>Data!CO33/O$2*100000</f>
        <v>0</v>
      </c>
      <c r="P33" s="204">
        <f>Data!CP33/P$2*100000</f>
        <v>0</v>
      </c>
      <c r="Q33" s="204">
        <f>Data!CQ33/Q$2*100000</f>
        <v>2.4024889785818107</v>
      </c>
      <c r="R33" s="204">
        <f>Data!CR33/R$2*100000</f>
        <v>1.1102968933892923</v>
      </c>
      <c r="S33" s="204">
        <f>Data!CS33/S$2*100000</f>
        <v>1.2423286207667652</v>
      </c>
      <c r="T33" s="204">
        <f>Data!CT33/T$2*100000</f>
        <v>1.6448721111933549</v>
      </c>
      <c r="U33" s="204">
        <f>Data!CU33/U$2*100000</f>
        <v>2.2015763286513144</v>
      </c>
      <c r="V33" s="204">
        <f>Data!BQ33/V$2*100000</f>
        <v>0.37611753923846225</v>
      </c>
      <c r="W33" s="187"/>
    </row>
    <row r="34" spans="1:23" ht="12" customHeight="1">
      <c r="A34" s="187"/>
      <c r="B34" s="196" t="str">
        <f>UPPER(LEFT(TRIM(Data!B34),1)) &amp; MID(TRIM(Data!B34),2,50)</f>
        <v>Akių</v>
      </c>
      <c r="C34" s="197" t="str">
        <f>Data!C34</f>
        <v>C69</v>
      </c>
      <c r="D34" s="202">
        <f>Data!CD34/D$2*100000</f>
        <v>0</v>
      </c>
      <c r="E34" s="202">
        <f>Data!CE34/E$2*100000</f>
        <v>0</v>
      </c>
      <c r="F34" s="202">
        <f>Data!CF34/F$2*100000</f>
        <v>0</v>
      </c>
      <c r="G34" s="202">
        <f>Data!CG34/G$2*100000</f>
        <v>0</v>
      </c>
      <c r="H34" s="202">
        <f>Data!CH34/H$2*100000</f>
        <v>0</v>
      </c>
      <c r="I34" s="202">
        <f>Data!CI34/I$2*100000</f>
        <v>0</v>
      </c>
      <c r="J34" s="202">
        <f>Data!CJ34/J$2*100000</f>
        <v>0</v>
      </c>
      <c r="K34" s="202">
        <f>Data!CK34/K$2*100000</f>
        <v>0</v>
      </c>
      <c r="L34" s="202">
        <f>Data!CL34/L$2*100000</f>
        <v>0.9222369780138705</v>
      </c>
      <c r="M34" s="202">
        <f>Data!CM34/M$2*100000</f>
        <v>0</v>
      </c>
      <c r="N34" s="202">
        <f>Data!CN34/N$2*100000</f>
        <v>0.79293966522087334</v>
      </c>
      <c r="O34" s="202">
        <f>Data!CO34/O$2*100000</f>
        <v>2.781202777494507</v>
      </c>
      <c r="P34" s="202">
        <f>Data!CP34/P$2*100000</f>
        <v>3.0328763799587528</v>
      </c>
      <c r="Q34" s="202">
        <f>Data!CQ34/Q$2*100000</f>
        <v>2.4024889785818107</v>
      </c>
      <c r="R34" s="202">
        <f>Data!CR34/R$2*100000</f>
        <v>3.3308906801678768</v>
      </c>
      <c r="S34" s="202">
        <f>Data!CS34/S$2*100000</f>
        <v>0</v>
      </c>
      <c r="T34" s="202">
        <f>Data!CT34/T$2*100000</f>
        <v>1.6448721111933549</v>
      </c>
      <c r="U34" s="202">
        <f>Data!CU34/U$2*100000</f>
        <v>4.4031526573026287</v>
      </c>
      <c r="V34" s="202">
        <f>Data!BQ34/V$2*100000</f>
        <v>1.0029801046358993</v>
      </c>
      <c r="W34" s="187"/>
    </row>
    <row r="35" spans="1:23" ht="12" customHeight="1">
      <c r="A35" s="187"/>
      <c r="B35" s="182" t="str">
        <f>UPPER(LEFT(TRIM(Data!B35),1)) &amp; MID(TRIM(Data!B35),2,50)</f>
        <v>Smegenų</v>
      </c>
      <c r="C35" s="183" t="str">
        <f>Data!C35</f>
        <v>C70-C72</v>
      </c>
      <c r="D35" s="204">
        <f>Data!CD35/D$2*100000</f>
        <v>4.0754224854643262</v>
      </c>
      <c r="E35" s="204">
        <f>Data!CE35/E$2*100000</f>
        <v>3.0314972564949829</v>
      </c>
      <c r="F35" s="204">
        <f>Data!CF35/F$2*100000</f>
        <v>1.398660083639873</v>
      </c>
      <c r="G35" s="204">
        <f>Data!CG35/G$2*100000</f>
        <v>1.1255430745334625</v>
      </c>
      <c r="H35" s="204">
        <f>Data!CH35/H$2*100000</f>
        <v>1.9244462405942688</v>
      </c>
      <c r="I35" s="204">
        <f>Data!CI35/I$2*100000</f>
        <v>5.2600018936006823</v>
      </c>
      <c r="J35" s="204">
        <f>Data!CJ35/J$2*100000</f>
        <v>4.5773398789293607</v>
      </c>
      <c r="K35" s="204">
        <f>Data!CK35/K$2*100000</f>
        <v>2.0978434169673577</v>
      </c>
      <c r="L35" s="204">
        <f>Data!CL35/L$2*100000</f>
        <v>2.7667109340416114</v>
      </c>
      <c r="M35" s="204">
        <f>Data!CM35/M$2*100000</f>
        <v>5.3447830463481765</v>
      </c>
      <c r="N35" s="204">
        <f>Data!CN35/N$2*100000</f>
        <v>11.101155313092226</v>
      </c>
      <c r="O35" s="204">
        <f>Data!CO35/O$2*100000</f>
        <v>13.906013887472534</v>
      </c>
      <c r="P35" s="204">
        <f>Data!CP35/P$2*100000</f>
        <v>13.142464313154596</v>
      </c>
      <c r="Q35" s="204">
        <f>Data!CQ35/Q$2*100000</f>
        <v>12.012444892909054</v>
      </c>
      <c r="R35" s="204">
        <f>Data!CR35/R$2*100000</f>
        <v>31.088313014900184</v>
      </c>
      <c r="S35" s="204">
        <f>Data!CS35/S$2*100000</f>
        <v>22.361915173801773</v>
      </c>
      <c r="T35" s="204">
        <f>Data!CT35/T$2*100000</f>
        <v>26.317953779093678</v>
      </c>
      <c r="U35" s="204">
        <f>Data!CU35/U$2*100000</f>
        <v>30.822068601118399</v>
      </c>
      <c r="V35" s="204">
        <f>Data!BQ35/V$2*100000</f>
        <v>9.8417422767397635</v>
      </c>
      <c r="W35" s="187"/>
    </row>
    <row r="36" spans="1:23" ht="12" customHeight="1">
      <c r="A36" s="187"/>
      <c r="B36" s="196" t="str">
        <f>UPPER(LEFT(TRIM(Data!B36),1)) &amp; MID(TRIM(Data!B36),2,50)</f>
        <v>Skydliaukės</v>
      </c>
      <c r="C36" s="197" t="str">
        <f>Data!C36</f>
        <v>C73</v>
      </c>
      <c r="D36" s="202">
        <f>Data!CD36/D$2*100000</f>
        <v>0</v>
      </c>
      <c r="E36" s="202">
        <f>Data!CE36/E$2*100000</f>
        <v>0</v>
      </c>
      <c r="F36" s="202">
        <f>Data!CF36/F$2*100000</f>
        <v>0</v>
      </c>
      <c r="G36" s="202">
        <f>Data!CG36/G$2*100000</f>
        <v>1.1255430745334625</v>
      </c>
      <c r="H36" s="202">
        <f>Data!CH36/H$2*100000</f>
        <v>5.7733387217828067</v>
      </c>
      <c r="I36" s="202">
        <f>Data!CI36/I$2*100000</f>
        <v>7.3640026510409546</v>
      </c>
      <c r="J36" s="202">
        <f>Data!CJ36/J$2*100000</f>
        <v>26.319704303843821</v>
      </c>
      <c r="K36" s="202">
        <f>Data!CK36/K$2*100000</f>
        <v>18.880590752706219</v>
      </c>
      <c r="L36" s="202">
        <f>Data!CL36/L$2*100000</f>
        <v>19.366976538291279</v>
      </c>
      <c r="M36" s="202">
        <f>Data!CM36/M$2*100000</f>
        <v>29.396306754914971</v>
      </c>
      <c r="N36" s="202">
        <f>Data!CN36/N$2*100000</f>
        <v>21.409370960963582</v>
      </c>
      <c r="O36" s="202">
        <f>Data!CO36/O$2*100000</f>
        <v>33.374433329934085</v>
      </c>
      <c r="P36" s="202">
        <f>Data!CP36/P$2*100000</f>
        <v>37.405475352824617</v>
      </c>
      <c r="Q36" s="202">
        <f>Data!CQ36/Q$2*100000</f>
        <v>44.4460461037635</v>
      </c>
      <c r="R36" s="202">
        <f>Data!CR36/R$2*100000</f>
        <v>33.308906801678766</v>
      </c>
      <c r="S36" s="202">
        <f>Data!CS36/S$2*100000</f>
        <v>9.9386289661341216</v>
      </c>
      <c r="T36" s="202">
        <f>Data!CT36/T$2*100000</f>
        <v>8.2243605559667738</v>
      </c>
      <c r="U36" s="202">
        <f>Data!CU36/U$2*100000</f>
        <v>13.209457971907886</v>
      </c>
      <c r="V36" s="202">
        <f>Data!BQ36/V$2*100000</f>
        <v>18.492445679224396</v>
      </c>
      <c r="W36" s="187"/>
    </row>
    <row r="37" spans="1:23" ht="12" customHeight="1">
      <c r="A37" s="187"/>
      <c r="B37" s="182" t="str">
        <f>UPPER(LEFT(TRIM(Data!B37),1)) &amp; MID(TRIM(Data!B37),2,50)</f>
        <v>Kitų endokrininių liaukų</v>
      </c>
      <c r="C37" s="183" t="str">
        <f>Data!C37</f>
        <v>C74-C75</v>
      </c>
      <c r="D37" s="204">
        <f>Data!CD37/D$2*100000</f>
        <v>1.3584741618214422</v>
      </c>
      <c r="E37" s="204">
        <f>Data!CE37/E$2*100000</f>
        <v>0</v>
      </c>
      <c r="F37" s="204">
        <f>Data!CF37/F$2*100000</f>
        <v>0</v>
      </c>
      <c r="G37" s="204">
        <f>Data!CG37/G$2*100000</f>
        <v>0</v>
      </c>
      <c r="H37" s="204">
        <f>Data!CH37/H$2*100000</f>
        <v>0</v>
      </c>
      <c r="I37" s="204">
        <f>Data!CI37/I$2*100000</f>
        <v>0</v>
      </c>
      <c r="J37" s="204">
        <f>Data!CJ37/J$2*100000</f>
        <v>0</v>
      </c>
      <c r="K37" s="204">
        <f>Data!CK37/K$2*100000</f>
        <v>0</v>
      </c>
      <c r="L37" s="204">
        <f>Data!CL37/L$2*100000</f>
        <v>0</v>
      </c>
      <c r="M37" s="204">
        <f>Data!CM37/M$2*100000</f>
        <v>0</v>
      </c>
      <c r="N37" s="204">
        <f>Data!CN37/N$2*100000</f>
        <v>0.79293966522087334</v>
      </c>
      <c r="O37" s="204">
        <f>Data!CO37/O$2*100000</f>
        <v>0</v>
      </c>
      <c r="P37" s="204">
        <f>Data!CP37/P$2*100000</f>
        <v>0</v>
      </c>
      <c r="Q37" s="204">
        <f>Data!CQ37/Q$2*100000</f>
        <v>3.6037334678727162</v>
      </c>
      <c r="R37" s="204">
        <f>Data!CR37/R$2*100000</f>
        <v>5.5514844669464614</v>
      </c>
      <c r="S37" s="204">
        <f>Data!CS37/S$2*100000</f>
        <v>2.4846572415335304</v>
      </c>
      <c r="T37" s="204">
        <f>Data!CT37/T$2*100000</f>
        <v>0</v>
      </c>
      <c r="U37" s="204">
        <f>Data!CU37/U$2*100000</f>
        <v>2.2015763286513144</v>
      </c>
      <c r="V37" s="204">
        <f>Data!BQ37/V$2*100000</f>
        <v>0.8149213350166683</v>
      </c>
      <c r="W37" s="187"/>
    </row>
    <row r="38" spans="1:23" ht="12" customHeight="1">
      <c r="A38" s="187"/>
      <c r="B38" s="196" t="str">
        <f>UPPER(LEFT(TRIM(Data!B38),1)) &amp; MID(TRIM(Data!B38),2,50)</f>
        <v>Nepatikslintos lokalizacijos</v>
      </c>
      <c r="C38" s="197" t="str">
        <f>Data!C38</f>
        <v>C76-C80</v>
      </c>
      <c r="D38" s="202">
        <f>Data!CD38/D$2*100000</f>
        <v>0</v>
      </c>
      <c r="E38" s="202">
        <f>Data!CE38/E$2*100000</f>
        <v>0</v>
      </c>
      <c r="F38" s="202">
        <f>Data!CF38/F$2*100000</f>
        <v>0</v>
      </c>
      <c r="G38" s="202">
        <f>Data!CG38/G$2*100000</f>
        <v>0</v>
      </c>
      <c r="H38" s="202">
        <f>Data!CH38/H$2*100000</f>
        <v>0</v>
      </c>
      <c r="I38" s="202">
        <f>Data!CI38/I$2*100000</f>
        <v>1.0520003787201362</v>
      </c>
      <c r="J38" s="202">
        <f>Data!CJ38/J$2*100000</f>
        <v>0</v>
      </c>
      <c r="K38" s="202">
        <f>Data!CK38/K$2*100000</f>
        <v>1.0489217084836788</v>
      </c>
      <c r="L38" s="202">
        <f>Data!CL38/L$2*100000</f>
        <v>4.6111848900693522</v>
      </c>
      <c r="M38" s="202">
        <f>Data!CM38/M$2*100000</f>
        <v>4.4539858719568146</v>
      </c>
      <c r="N38" s="202">
        <f>Data!CN38/N$2*100000</f>
        <v>9.5152759826504809</v>
      </c>
      <c r="O38" s="202">
        <f>Data!CO38/O$2*100000</f>
        <v>12.051878702476197</v>
      </c>
      <c r="P38" s="202">
        <f>Data!CP38/P$2*100000</f>
        <v>15.164381899793764</v>
      </c>
      <c r="Q38" s="202">
        <f>Data!CQ38/Q$2*100000</f>
        <v>30.031112232272633</v>
      </c>
      <c r="R38" s="202">
        <f>Data!CR38/R$2*100000</f>
        <v>35.529500588457353</v>
      </c>
      <c r="S38" s="202">
        <f>Data!CS38/S$2*100000</f>
        <v>45.966158968370308</v>
      </c>
      <c r="T38" s="202">
        <f>Data!CT38/T$2*100000</f>
        <v>72.374372892507608</v>
      </c>
      <c r="U38" s="202">
        <f>Data!CU38/U$2*100000</f>
        <v>110.07881643256572</v>
      </c>
      <c r="V38" s="202">
        <f>Data!BQ38/V$2*100000</f>
        <v>15.044701569538491</v>
      </c>
      <c r="W38" s="187"/>
    </row>
    <row r="39" spans="1:23" ht="12" customHeight="1">
      <c r="A39" s="187"/>
      <c r="B39" s="182" t="str">
        <f>UPPER(LEFT(TRIM(Data!B39),1)) &amp; MID(TRIM(Data!B39),2,50)</f>
        <v>Hodžkino limfomos</v>
      </c>
      <c r="C39" s="183" t="str">
        <f>Data!C39</f>
        <v>C81</v>
      </c>
      <c r="D39" s="204">
        <f>Data!CD39/D$2*100000</f>
        <v>0</v>
      </c>
      <c r="E39" s="204">
        <f>Data!CE39/E$2*100000</f>
        <v>0</v>
      </c>
      <c r="F39" s="204">
        <f>Data!CF39/F$2*100000</f>
        <v>2.7973201672797461</v>
      </c>
      <c r="G39" s="204">
        <f>Data!CG39/G$2*100000</f>
        <v>0</v>
      </c>
      <c r="H39" s="204">
        <f>Data!CH39/H$2*100000</f>
        <v>4.8111156014856729</v>
      </c>
      <c r="I39" s="204">
        <f>Data!CI39/I$2*100000</f>
        <v>3.156001136160409</v>
      </c>
      <c r="J39" s="204">
        <f>Data!CJ39/J$2*100000</f>
        <v>3.4330049091970198</v>
      </c>
      <c r="K39" s="204">
        <f>Data!CK39/K$2*100000</f>
        <v>4.1956868339347153</v>
      </c>
      <c r="L39" s="204">
        <f>Data!CL39/L$2*100000</f>
        <v>0</v>
      </c>
      <c r="M39" s="204">
        <f>Data!CM39/M$2*100000</f>
        <v>0.89079717439136286</v>
      </c>
      <c r="N39" s="204">
        <f>Data!CN39/N$2*100000</f>
        <v>0.79293966522087334</v>
      </c>
      <c r="O39" s="204">
        <f>Data!CO39/O$2*100000</f>
        <v>0.92706759249816906</v>
      </c>
      <c r="P39" s="204">
        <f>Data!CP39/P$2*100000</f>
        <v>0</v>
      </c>
      <c r="Q39" s="204">
        <f>Data!CQ39/Q$2*100000</f>
        <v>1.2012444892909053</v>
      </c>
      <c r="R39" s="204">
        <f>Data!CR39/R$2*100000</f>
        <v>4.4411875735571691</v>
      </c>
      <c r="S39" s="204">
        <f>Data!CS39/S$2*100000</f>
        <v>0</v>
      </c>
      <c r="T39" s="204">
        <f>Data!CT39/T$2*100000</f>
        <v>3.2897442223867097</v>
      </c>
      <c r="U39" s="204">
        <f>Data!CU39/U$2*100000</f>
        <v>2.2015763286513144</v>
      </c>
      <c r="V39" s="204">
        <f>Data!BQ39/V$2*100000</f>
        <v>1.755215183112824</v>
      </c>
      <c r="W39" s="187"/>
    </row>
    <row r="40" spans="1:23" ht="12" customHeight="1">
      <c r="A40" s="187"/>
      <c r="B40" s="196" t="str">
        <f>UPPER(LEFT(TRIM(Data!B40),1)) &amp; MID(TRIM(Data!B40),2,50)</f>
        <v>Ne Hodžkino limfomos</v>
      </c>
      <c r="C40" s="197" t="str">
        <f>Data!C40</f>
        <v>C82-C85</v>
      </c>
      <c r="D40" s="202">
        <f>Data!CD40/D$2*100000</f>
        <v>0</v>
      </c>
      <c r="E40" s="202">
        <f>Data!CE40/E$2*100000</f>
        <v>0</v>
      </c>
      <c r="F40" s="202">
        <f>Data!CF40/F$2*100000</f>
        <v>0</v>
      </c>
      <c r="G40" s="202">
        <f>Data!CG40/G$2*100000</f>
        <v>2.2510861490669249</v>
      </c>
      <c r="H40" s="202">
        <f>Data!CH40/H$2*100000</f>
        <v>0</v>
      </c>
      <c r="I40" s="202">
        <f>Data!CI40/I$2*100000</f>
        <v>5.2600018936006823</v>
      </c>
      <c r="J40" s="202">
        <f>Data!CJ40/J$2*100000</f>
        <v>3.4330049091970198</v>
      </c>
      <c r="K40" s="202">
        <f>Data!CK40/K$2*100000</f>
        <v>6.293530250902073</v>
      </c>
      <c r="L40" s="202">
        <f>Data!CL40/L$2*100000</f>
        <v>9.2223697801387043</v>
      </c>
      <c r="M40" s="202">
        <f>Data!CM40/M$2*100000</f>
        <v>8.0171745695222647</v>
      </c>
      <c r="N40" s="202">
        <f>Data!CN40/N$2*100000</f>
        <v>4.7576379913252405</v>
      </c>
      <c r="O40" s="202">
        <f>Data!CO40/O$2*100000</f>
        <v>12.051878702476197</v>
      </c>
      <c r="P40" s="202">
        <f>Data!CP40/P$2*100000</f>
        <v>17.186299486432933</v>
      </c>
      <c r="Q40" s="202">
        <f>Data!CQ40/Q$2*100000</f>
        <v>27.628623253690822</v>
      </c>
      <c r="R40" s="202">
        <f>Data!CR40/R$2*100000</f>
        <v>26.647125441343015</v>
      </c>
      <c r="S40" s="202">
        <f>Data!CS40/S$2*100000</f>
        <v>34.78520138146942</v>
      </c>
      <c r="T40" s="202">
        <f>Data!CT40/T$2*100000</f>
        <v>34.542314335060446</v>
      </c>
      <c r="U40" s="202">
        <f>Data!CU40/U$2*100000</f>
        <v>50.636255558980224</v>
      </c>
      <c r="V40" s="202">
        <f>Data!BQ40/V$2*100000</f>
        <v>11.910388742551305</v>
      </c>
      <c r="W40" s="187"/>
    </row>
    <row r="41" spans="1:23" ht="12" customHeight="1">
      <c r="A41" s="187"/>
      <c r="B41" s="182" t="str">
        <f>UPPER(LEFT(TRIM(Data!B41),1)) &amp; MID(TRIM(Data!B41),2,50)</f>
        <v>Mielominės ligos</v>
      </c>
      <c r="C41" s="183" t="str">
        <f>Data!C41</f>
        <v>C90</v>
      </c>
      <c r="D41" s="204">
        <f>Data!CD41/D$2*100000</f>
        <v>0</v>
      </c>
      <c r="E41" s="204">
        <f>Data!CE41/E$2*100000</f>
        <v>0</v>
      </c>
      <c r="F41" s="204">
        <f>Data!CF41/F$2*100000</f>
        <v>0</v>
      </c>
      <c r="G41" s="204">
        <f>Data!CG41/G$2*100000</f>
        <v>0</v>
      </c>
      <c r="H41" s="204">
        <f>Data!CH41/H$2*100000</f>
        <v>0</v>
      </c>
      <c r="I41" s="204">
        <f>Data!CI41/I$2*100000</f>
        <v>0</v>
      </c>
      <c r="J41" s="204">
        <f>Data!CJ41/J$2*100000</f>
        <v>0</v>
      </c>
      <c r="K41" s="204">
        <f>Data!CK41/K$2*100000</f>
        <v>1.0489217084836788</v>
      </c>
      <c r="L41" s="204">
        <f>Data!CL41/L$2*100000</f>
        <v>0.9222369780138705</v>
      </c>
      <c r="M41" s="204">
        <f>Data!CM41/M$2*100000</f>
        <v>0</v>
      </c>
      <c r="N41" s="204">
        <f>Data!CN41/N$2*100000</f>
        <v>3.9646983261043665</v>
      </c>
      <c r="O41" s="204">
        <f>Data!CO41/O$2*100000</f>
        <v>4.635337962490846</v>
      </c>
      <c r="P41" s="204">
        <f>Data!CP41/P$2*100000</f>
        <v>6.0657527599175056</v>
      </c>
      <c r="Q41" s="204">
        <f>Data!CQ41/Q$2*100000</f>
        <v>15.61617836078177</v>
      </c>
      <c r="R41" s="204">
        <f>Data!CR41/R$2*100000</f>
        <v>13.323562720671507</v>
      </c>
      <c r="S41" s="204">
        <f>Data!CS41/S$2*100000</f>
        <v>18.634929311501477</v>
      </c>
      <c r="T41" s="204">
        <f>Data!CT41/T$2*100000</f>
        <v>32.897442223867095</v>
      </c>
      <c r="U41" s="204">
        <f>Data!CU41/U$2*100000</f>
        <v>13.209457971907886</v>
      </c>
      <c r="V41" s="204">
        <f>Data!BQ41/V$2*100000</f>
        <v>5.2656455493384717</v>
      </c>
      <c r="W41" s="187"/>
    </row>
    <row r="42" spans="1:23" ht="12" customHeight="1">
      <c r="A42" s="187"/>
      <c r="B42" s="196" t="str">
        <f>UPPER(LEFT(TRIM(Data!B42),1)) &amp; MID(TRIM(Data!B42),2,50)</f>
        <v>Leukemijos</v>
      </c>
      <c r="C42" s="197" t="str">
        <f>Data!C42</f>
        <v>C91-C95</v>
      </c>
      <c r="D42" s="202">
        <f>Data!CD42/D$2*100000</f>
        <v>5.4338966472857688</v>
      </c>
      <c r="E42" s="202">
        <f>Data!CE42/E$2*100000</f>
        <v>3.0314972564949829</v>
      </c>
      <c r="F42" s="202">
        <f>Data!CF42/F$2*100000</f>
        <v>4.1959802509196189</v>
      </c>
      <c r="G42" s="202">
        <f>Data!CG42/G$2*100000</f>
        <v>2.2510861490669249</v>
      </c>
      <c r="H42" s="202">
        <f>Data!CH42/H$2*100000</f>
        <v>0</v>
      </c>
      <c r="I42" s="202">
        <f>Data!CI42/I$2*100000</f>
        <v>1.0520003787201362</v>
      </c>
      <c r="J42" s="202">
        <f>Data!CJ42/J$2*100000</f>
        <v>1.1443349697323402</v>
      </c>
      <c r="K42" s="202">
        <f>Data!CK42/K$2*100000</f>
        <v>1.0489217084836788</v>
      </c>
      <c r="L42" s="202">
        <f>Data!CL42/L$2*100000</f>
        <v>3.688947912055482</v>
      </c>
      <c r="M42" s="202">
        <f>Data!CM42/M$2*100000</f>
        <v>9.798768918304992</v>
      </c>
      <c r="N42" s="202">
        <f>Data!CN42/N$2*100000</f>
        <v>5.5505776565461131</v>
      </c>
      <c r="O42" s="202">
        <f>Data!CO42/O$2*100000</f>
        <v>12.978946294974367</v>
      </c>
      <c r="P42" s="202">
        <f>Data!CP42/P$2*100000</f>
        <v>23.252052246350438</v>
      </c>
      <c r="Q42" s="202">
        <f>Data!CQ42/Q$2*100000</f>
        <v>25.226134275109015</v>
      </c>
      <c r="R42" s="202">
        <f>Data!CR42/R$2*100000</f>
        <v>34.419203695068063</v>
      </c>
      <c r="S42" s="202">
        <f>Data!CS42/S$2*100000</f>
        <v>44.723830347603545</v>
      </c>
      <c r="T42" s="202">
        <f>Data!CT42/T$2*100000</f>
        <v>57.570523891767422</v>
      </c>
      <c r="U42" s="202">
        <f>Data!CU42/U$2*100000</f>
        <v>52.837831887631545</v>
      </c>
      <c r="V42" s="202">
        <f>Data!BQ42/V$2*100000</f>
        <v>13.790976438743616</v>
      </c>
      <c r="W42" s="187"/>
    </row>
    <row r="43" spans="1:23" ht="12" customHeight="1">
      <c r="A43" s="187"/>
      <c r="B43" s="182" t="str">
        <f>UPPER(LEFT(TRIM(Data!B43),1)) &amp; MID(TRIM(Data!B43),2,50)</f>
        <v>Kiti limfinio, kraujodaros audinių</v>
      </c>
      <c r="C43" s="183" t="str">
        <f>Data!C43</f>
        <v>C88, C96</v>
      </c>
      <c r="D43" s="204">
        <f>Data!CD43/D$2*100000</f>
        <v>0</v>
      </c>
      <c r="E43" s="204">
        <f>Data!CE43/E$2*100000</f>
        <v>0</v>
      </c>
      <c r="F43" s="204">
        <f>Data!CF43/F$2*100000</f>
        <v>0</v>
      </c>
      <c r="G43" s="204">
        <f>Data!CG43/G$2*100000</f>
        <v>0</v>
      </c>
      <c r="H43" s="204">
        <f>Data!CH43/H$2*100000</f>
        <v>0.96222312029713442</v>
      </c>
      <c r="I43" s="204">
        <f>Data!CI43/I$2*100000</f>
        <v>0</v>
      </c>
      <c r="J43" s="204">
        <f>Data!CJ43/J$2*100000</f>
        <v>0</v>
      </c>
      <c r="K43" s="204">
        <f>Data!CK43/K$2*100000</f>
        <v>0</v>
      </c>
      <c r="L43" s="204">
        <f>Data!CL43/L$2*100000</f>
        <v>0</v>
      </c>
      <c r="M43" s="204">
        <f>Data!CM43/M$2*100000</f>
        <v>0.89079717439136286</v>
      </c>
      <c r="N43" s="204">
        <f>Data!CN43/N$2*100000</f>
        <v>0</v>
      </c>
      <c r="O43" s="204">
        <f>Data!CO43/O$2*100000</f>
        <v>0</v>
      </c>
      <c r="P43" s="204">
        <f>Data!CP43/P$2*100000</f>
        <v>0</v>
      </c>
      <c r="Q43" s="204">
        <f>Data!CQ43/Q$2*100000</f>
        <v>1.2012444892909053</v>
      </c>
      <c r="R43" s="204">
        <f>Data!CR43/R$2*100000</f>
        <v>0</v>
      </c>
      <c r="S43" s="204">
        <f>Data!CS43/S$2*100000</f>
        <v>2.4846572415335304</v>
      </c>
      <c r="T43" s="204">
        <f>Data!CT43/T$2*100000</f>
        <v>0</v>
      </c>
      <c r="U43" s="204">
        <f>Data!CU43/U$2*100000</f>
        <v>0</v>
      </c>
      <c r="V43" s="204">
        <f>Data!BQ43/V$2*100000</f>
        <v>0.31343128269871856</v>
      </c>
      <c r="W43" s="187"/>
    </row>
    <row r="44" spans="1:23" ht="24" customHeight="1">
      <c r="A44" s="187"/>
      <c r="B44" s="198"/>
      <c r="C44" s="199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187"/>
    </row>
    <row r="45" spans="1:23" ht="12" customHeight="1">
      <c r="A45" s="187"/>
      <c r="B45" s="182" t="str">
        <f>UPPER(LEFT(TRIM(Data!B44),1)) &amp; MID(TRIM(Data!B44),2,50)</f>
        <v>Melanoma in situ</v>
      </c>
      <c r="C45" s="183" t="str">
        <f>Data!C44</f>
        <v>D03</v>
      </c>
      <c r="D45" s="204">
        <f>Data!CD44/D$2*100000</f>
        <v>0</v>
      </c>
      <c r="E45" s="204">
        <f>Data!CE44/E$2*100000</f>
        <v>0</v>
      </c>
      <c r="F45" s="204">
        <f>Data!CF44/F$2*100000</f>
        <v>0</v>
      </c>
      <c r="G45" s="204">
        <f>Data!CG44/G$2*100000</f>
        <v>0</v>
      </c>
      <c r="H45" s="204">
        <f>Data!CH44/H$2*100000</f>
        <v>0</v>
      </c>
      <c r="I45" s="204">
        <f>Data!CI44/I$2*100000</f>
        <v>1.0520003787201362</v>
      </c>
      <c r="J45" s="204">
        <f>Data!CJ44/J$2*100000</f>
        <v>0</v>
      </c>
      <c r="K45" s="204">
        <f>Data!CK44/K$2*100000</f>
        <v>1.0489217084836788</v>
      </c>
      <c r="L45" s="204">
        <f>Data!CL44/L$2*100000</f>
        <v>0.9222369780138705</v>
      </c>
      <c r="M45" s="204">
        <f>Data!CM44/M$2*100000</f>
        <v>1.7815943487827257</v>
      </c>
      <c r="N45" s="204">
        <f>Data!CN44/N$2*100000</f>
        <v>0.79293966522087334</v>
      </c>
      <c r="O45" s="204">
        <f>Data!CO44/O$2*100000</f>
        <v>3.7082703699926762</v>
      </c>
      <c r="P45" s="204">
        <f>Data!CP44/P$2*100000</f>
        <v>4.0438351732783371</v>
      </c>
      <c r="Q45" s="204">
        <f>Data!CQ44/Q$2*100000</f>
        <v>4.8049779571636213</v>
      </c>
      <c r="R45" s="204">
        <f>Data!CR44/R$2*100000</f>
        <v>4.4411875735571691</v>
      </c>
      <c r="S45" s="204">
        <f>Data!CS44/S$2*100000</f>
        <v>3.7269858623002956</v>
      </c>
      <c r="T45" s="204">
        <f>Data!CT44/T$2*100000</f>
        <v>3.2897442223867097</v>
      </c>
      <c r="U45" s="204">
        <f>Data!CU44/U$2*100000</f>
        <v>2.2015763286513144</v>
      </c>
      <c r="V45" s="204">
        <f>Data!BQ44/V$2*100000</f>
        <v>1.755215183112824</v>
      </c>
      <c r="W45" s="187"/>
    </row>
    <row r="46" spans="1:23" ht="12" customHeight="1">
      <c r="A46" s="187"/>
      <c r="B46" s="196" t="str">
        <f>UPPER(LEFT(TRIM(Data!B45),1)) &amp; MID(TRIM(Data!B45),2,50)</f>
        <v>Krūties navikai in situ</v>
      </c>
      <c r="C46" s="197" t="str">
        <f>Data!C45</f>
        <v>D05</v>
      </c>
      <c r="D46" s="202">
        <f>Data!CD45/D$2*100000</f>
        <v>0</v>
      </c>
      <c r="E46" s="202">
        <f>Data!CE45/E$2*100000</f>
        <v>0</v>
      </c>
      <c r="F46" s="202">
        <f>Data!CF45/F$2*100000</f>
        <v>0</v>
      </c>
      <c r="G46" s="202">
        <f>Data!CG45/G$2*100000</f>
        <v>0</v>
      </c>
      <c r="H46" s="202">
        <f>Data!CH45/H$2*100000</f>
        <v>0</v>
      </c>
      <c r="I46" s="202">
        <f>Data!CI45/I$2*100000</f>
        <v>0</v>
      </c>
      <c r="J46" s="202">
        <f>Data!CJ45/J$2*100000</f>
        <v>0</v>
      </c>
      <c r="K46" s="202">
        <f>Data!CK45/K$2*100000</f>
        <v>5.2446085424183941</v>
      </c>
      <c r="L46" s="202">
        <f>Data!CL45/L$2*100000</f>
        <v>3.688947912055482</v>
      </c>
      <c r="M46" s="202">
        <f>Data!CM45/M$2*100000</f>
        <v>13.361957615870443</v>
      </c>
      <c r="N46" s="202">
        <f>Data!CN45/N$2*100000</f>
        <v>19.823491630521836</v>
      </c>
      <c r="O46" s="202">
        <f>Data!CO45/O$2*100000</f>
        <v>5.5624055549890139</v>
      </c>
      <c r="P46" s="202">
        <f>Data!CP45/P$2*100000</f>
        <v>13.142464313154596</v>
      </c>
      <c r="Q46" s="202">
        <f>Data!CQ45/Q$2*100000</f>
        <v>12.012444892909054</v>
      </c>
      <c r="R46" s="202">
        <f>Data!CR45/R$2*100000</f>
        <v>11.102968933892923</v>
      </c>
      <c r="S46" s="202">
        <f>Data!CS45/S$2*100000</f>
        <v>4.9693144830670608</v>
      </c>
      <c r="T46" s="202">
        <f>Data!CT45/T$2*100000</f>
        <v>3.2897442223867097</v>
      </c>
      <c r="U46" s="202">
        <f>Data!CU45/U$2*100000</f>
        <v>6.6047289859539431</v>
      </c>
      <c r="V46" s="202">
        <f>Data!BQ45/V$2*100000</f>
        <v>6.0805668843551404</v>
      </c>
      <c r="W46" s="187"/>
    </row>
    <row r="47" spans="1:23" ht="12" customHeight="1">
      <c r="A47" s="187"/>
      <c r="B47" s="182" t="str">
        <f>UPPER(LEFT(TRIM(Data!B46),1)) &amp; MID(TRIM(Data!B46),2,50)</f>
        <v>Gimdos kaklelio in situ</v>
      </c>
      <c r="C47" s="183" t="str">
        <f>Data!C46</f>
        <v>D06</v>
      </c>
      <c r="D47" s="204">
        <f>Data!CD46/D$2*100000</f>
        <v>0</v>
      </c>
      <c r="E47" s="204">
        <f>Data!CE46/E$2*100000</f>
        <v>0</v>
      </c>
      <c r="F47" s="204">
        <f>Data!CF46/F$2*100000</f>
        <v>0</v>
      </c>
      <c r="G47" s="204">
        <f>Data!CG46/G$2*100000</f>
        <v>0</v>
      </c>
      <c r="H47" s="204">
        <f>Data!CH46/H$2*100000</f>
        <v>7.6977849623770753</v>
      </c>
      <c r="I47" s="204">
        <f>Data!CI46/I$2*100000</f>
        <v>180.94406513986345</v>
      </c>
      <c r="J47" s="204">
        <f>Data!CJ46/J$2*100000</f>
        <v>213.99063933994756</v>
      </c>
      <c r="K47" s="204">
        <f>Data!CK46/K$2*100000</f>
        <v>126.91952672652512</v>
      </c>
      <c r="L47" s="204">
        <f>Data!CL46/L$2*100000</f>
        <v>94.068171757414788</v>
      </c>
      <c r="M47" s="204">
        <f>Data!CM46/M$2*100000</f>
        <v>52.557033289090406</v>
      </c>
      <c r="N47" s="204">
        <f>Data!CN46/N$2*100000</f>
        <v>32.510526274055806</v>
      </c>
      <c r="O47" s="204">
        <f>Data!CO46/O$2*100000</f>
        <v>18.541351849963384</v>
      </c>
      <c r="P47" s="204">
        <f>Data!CP46/P$2*100000</f>
        <v>4.0438351732783371</v>
      </c>
      <c r="Q47" s="204">
        <f>Data!CQ46/Q$2*100000</f>
        <v>6.0062224464545269</v>
      </c>
      <c r="R47" s="204">
        <f>Data!CR46/R$2*100000</f>
        <v>1.1102968933892923</v>
      </c>
      <c r="S47" s="204">
        <f>Data!CS46/S$2*100000</f>
        <v>2.4846572415335304</v>
      </c>
      <c r="T47" s="204">
        <f>Data!CT46/T$2*100000</f>
        <v>0</v>
      </c>
      <c r="U47" s="204">
        <f>Data!CU46/U$2*100000</f>
        <v>0</v>
      </c>
      <c r="V47" s="204">
        <f>Data!BQ46/V$2*100000</f>
        <v>45.259477221694965</v>
      </c>
      <c r="W47" s="187"/>
    </row>
    <row r="48" spans="1:23" ht="12" customHeight="1">
      <c r="A48" s="187"/>
      <c r="B48" s="196" t="str">
        <f>UPPER(LEFT(TRIM(Data!B47),1)) &amp; MID(TRIM(Data!B47),2,50)</f>
        <v>Šlapimo pūslės in situ</v>
      </c>
      <c r="C48" s="197" t="str">
        <f>Data!C47</f>
        <v>D09.0</v>
      </c>
      <c r="D48" s="202">
        <f>Data!CD47/D$2*100000</f>
        <v>0</v>
      </c>
      <c r="E48" s="202">
        <f>Data!CE47/E$2*100000</f>
        <v>0</v>
      </c>
      <c r="F48" s="202">
        <f>Data!CF47/F$2*100000</f>
        <v>0</v>
      </c>
      <c r="G48" s="202">
        <f>Data!CG47/G$2*100000</f>
        <v>1.1255430745334625</v>
      </c>
      <c r="H48" s="202">
        <f>Data!CH47/H$2*100000</f>
        <v>0</v>
      </c>
      <c r="I48" s="202">
        <f>Data!CI47/I$2*100000</f>
        <v>0</v>
      </c>
      <c r="J48" s="202">
        <f>Data!CJ47/J$2*100000</f>
        <v>0</v>
      </c>
      <c r="K48" s="202">
        <f>Data!CK47/K$2*100000</f>
        <v>0</v>
      </c>
      <c r="L48" s="202">
        <f>Data!CL47/L$2*100000</f>
        <v>0.9222369780138705</v>
      </c>
      <c r="M48" s="202">
        <f>Data!CM47/M$2*100000</f>
        <v>0.89079717439136286</v>
      </c>
      <c r="N48" s="202">
        <f>Data!CN47/N$2*100000</f>
        <v>0.79293966522087334</v>
      </c>
      <c r="O48" s="202">
        <f>Data!CO47/O$2*100000</f>
        <v>3.7082703699926762</v>
      </c>
      <c r="P48" s="202">
        <f>Data!CP47/P$2*100000</f>
        <v>6.0657527599175056</v>
      </c>
      <c r="Q48" s="202">
        <f>Data!CQ47/Q$2*100000</f>
        <v>7.2074669357454324</v>
      </c>
      <c r="R48" s="202">
        <f>Data!CR47/R$2*100000</f>
        <v>5.5514844669464614</v>
      </c>
      <c r="S48" s="202">
        <f>Data!CS47/S$2*100000</f>
        <v>4.9693144830670608</v>
      </c>
      <c r="T48" s="202">
        <f>Data!CT47/T$2*100000</f>
        <v>8.2243605559667738</v>
      </c>
      <c r="U48" s="202">
        <f>Data!CU47/U$2*100000</f>
        <v>6.6047289859539431</v>
      </c>
      <c r="V48" s="202">
        <f>Data!BQ47/V$2*100000</f>
        <v>2.3193914919705176</v>
      </c>
      <c r="W48" s="187"/>
    </row>
    <row r="49" spans="1:23" ht="12" customHeight="1">
      <c r="A49" s="187"/>
      <c r="B49" s="182" t="str">
        <f>UPPER(LEFT(TRIM(Data!B48),1)) &amp; MID(TRIM(Data!B48),2,50)</f>
        <v>Nervų sistemos gerybiniai navikai</v>
      </c>
      <c r="C49" s="183" t="str">
        <f>Data!C48</f>
        <v>D32, D33</v>
      </c>
      <c r="D49" s="204">
        <f>Data!CD48/D$2*100000</f>
        <v>0</v>
      </c>
      <c r="E49" s="204">
        <f>Data!CE48/E$2*100000</f>
        <v>0</v>
      </c>
      <c r="F49" s="204">
        <f>Data!CF48/F$2*100000</f>
        <v>1.398660083639873</v>
      </c>
      <c r="G49" s="204">
        <f>Data!CG48/G$2*100000</f>
        <v>1.1255430745334625</v>
      </c>
      <c r="H49" s="204">
        <f>Data!CH48/H$2*100000</f>
        <v>0.96222312029713442</v>
      </c>
      <c r="I49" s="204">
        <f>Data!CI48/I$2*100000</f>
        <v>0</v>
      </c>
      <c r="J49" s="204">
        <f>Data!CJ48/J$2*100000</f>
        <v>2.2886699394646803</v>
      </c>
      <c r="K49" s="204">
        <f>Data!CK48/K$2*100000</f>
        <v>3.1467651254510365</v>
      </c>
      <c r="L49" s="204">
        <f>Data!CL48/L$2*100000</f>
        <v>5.5334218680832228</v>
      </c>
      <c r="M49" s="204">
        <f>Data!CM48/M$2*100000</f>
        <v>4.4539858719568146</v>
      </c>
      <c r="N49" s="204">
        <f>Data!CN48/N$2*100000</f>
        <v>7.9293966522087329</v>
      </c>
      <c r="O49" s="204">
        <f>Data!CO48/O$2*100000</f>
        <v>7.4165407399853525</v>
      </c>
      <c r="P49" s="204">
        <f>Data!CP48/P$2*100000</f>
        <v>12.131505519835011</v>
      </c>
      <c r="Q49" s="204">
        <f>Data!CQ48/Q$2*100000</f>
        <v>19.219911828654485</v>
      </c>
      <c r="R49" s="204">
        <f>Data!CR48/R$2*100000</f>
        <v>15.544156507450092</v>
      </c>
      <c r="S49" s="204">
        <f>Data!CS48/S$2*100000</f>
        <v>19.877257932268243</v>
      </c>
      <c r="T49" s="204">
        <f>Data!CT48/T$2*100000</f>
        <v>16.448721111933548</v>
      </c>
      <c r="U49" s="204">
        <f>Data!CU48/U$2*100000</f>
        <v>19.814186957861828</v>
      </c>
      <c r="V49" s="204">
        <f>Data!BQ48/V$2*100000</f>
        <v>7.1462332455307829</v>
      </c>
      <c r="W49" s="187"/>
    </row>
    <row r="50" spans="1:23" ht="12" customHeight="1">
      <c r="A50" s="187"/>
      <c r="B50" s="196" t="str">
        <f>UPPER(LEFT(TRIM(Data!B49),1)) &amp; MID(TRIM(Data!B49),2,50)</f>
        <v>Kiaušidžių</v>
      </c>
      <c r="C50" s="197" t="str">
        <f>Data!C49</f>
        <v>D39.1</v>
      </c>
      <c r="D50" s="202">
        <f>Data!CD49/D$2*100000</f>
        <v>0</v>
      </c>
      <c r="E50" s="202">
        <f>Data!CE49/E$2*100000</f>
        <v>0</v>
      </c>
      <c r="F50" s="202">
        <f>Data!CF49/F$2*100000</f>
        <v>0</v>
      </c>
      <c r="G50" s="202">
        <f>Data!CG49/G$2*100000</f>
        <v>0</v>
      </c>
      <c r="H50" s="202">
        <f>Data!CH49/H$2*100000</f>
        <v>0</v>
      </c>
      <c r="I50" s="202">
        <f>Data!CI49/I$2*100000</f>
        <v>2.1040007574402724</v>
      </c>
      <c r="J50" s="202">
        <f>Data!CJ49/J$2*100000</f>
        <v>5.7216748486617002</v>
      </c>
      <c r="K50" s="202">
        <f>Data!CK49/K$2*100000</f>
        <v>5.2446085424183941</v>
      </c>
      <c r="L50" s="202">
        <f>Data!CL49/L$2*100000</f>
        <v>0.9222369780138705</v>
      </c>
      <c r="M50" s="202">
        <f>Data!CM49/M$2*100000</f>
        <v>2.6723915231740882</v>
      </c>
      <c r="N50" s="202">
        <f>Data!CN49/N$2*100000</f>
        <v>3.1717586608834933</v>
      </c>
      <c r="O50" s="202">
        <f>Data!CO49/O$2*100000</f>
        <v>9.2706759249816919</v>
      </c>
      <c r="P50" s="202">
        <f>Data!CP49/P$2*100000</f>
        <v>2.0219175866391685</v>
      </c>
      <c r="Q50" s="202">
        <f>Data!CQ49/Q$2*100000</f>
        <v>4.8049779571636213</v>
      </c>
      <c r="R50" s="202">
        <f>Data!CR49/R$2*100000</f>
        <v>2.2205937867785845</v>
      </c>
      <c r="S50" s="202">
        <f>Data!CS49/S$2*100000</f>
        <v>1.2423286207667652</v>
      </c>
      <c r="T50" s="202">
        <f>Data!CT49/T$2*100000</f>
        <v>3.2897442223867097</v>
      </c>
      <c r="U50" s="202">
        <f>Data!CU49/U$2*100000</f>
        <v>2.2015763286513144</v>
      </c>
      <c r="V50" s="202">
        <f>Data!BQ49/V$2*100000</f>
        <v>2.6328227746692359</v>
      </c>
      <c r="W50" s="187"/>
    </row>
    <row r="51" spans="1:23" ht="12" customHeight="1">
      <c r="A51" s="187"/>
      <c r="B51" s="182" t="str">
        <f>UPPER(LEFT(TRIM(Data!B50),1)) &amp; MID(TRIM(Data!B50),2,50)</f>
        <v>Kiti nervų sistemos</v>
      </c>
      <c r="C51" s="183" t="str">
        <f>Data!C50</f>
        <v>D42, D43</v>
      </c>
      <c r="D51" s="204">
        <f>Data!CD50/D$2*100000</f>
        <v>1.3584741618214422</v>
      </c>
      <c r="E51" s="204">
        <f>Data!CE50/E$2*100000</f>
        <v>0</v>
      </c>
      <c r="F51" s="204">
        <f>Data!CF50/F$2*100000</f>
        <v>1.398660083639873</v>
      </c>
      <c r="G51" s="204">
        <f>Data!CG50/G$2*100000</f>
        <v>1.1255430745334625</v>
      </c>
      <c r="H51" s="204">
        <f>Data!CH50/H$2*100000</f>
        <v>0</v>
      </c>
      <c r="I51" s="204">
        <f>Data!CI50/I$2*100000</f>
        <v>2.1040007574402724</v>
      </c>
      <c r="J51" s="204">
        <f>Data!CJ50/J$2*100000</f>
        <v>1.1443349697323402</v>
      </c>
      <c r="K51" s="204">
        <f>Data!CK50/K$2*100000</f>
        <v>1.0489217084836788</v>
      </c>
      <c r="L51" s="204">
        <f>Data!CL50/L$2*100000</f>
        <v>1.844473956027741</v>
      </c>
      <c r="M51" s="204">
        <f>Data!CM50/M$2*100000</f>
        <v>0</v>
      </c>
      <c r="N51" s="204">
        <f>Data!CN50/N$2*100000</f>
        <v>1.5858793304417467</v>
      </c>
      <c r="O51" s="204">
        <f>Data!CO50/O$2*100000</f>
        <v>0</v>
      </c>
      <c r="P51" s="204">
        <f>Data!CP50/P$2*100000</f>
        <v>2.0219175866391685</v>
      </c>
      <c r="Q51" s="204">
        <f>Data!CQ50/Q$2*100000</f>
        <v>0</v>
      </c>
      <c r="R51" s="204">
        <f>Data!CR50/R$2*100000</f>
        <v>4.4411875735571691</v>
      </c>
      <c r="S51" s="204">
        <f>Data!CS50/S$2*100000</f>
        <v>4.9693144830670608</v>
      </c>
      <c r="T51" s="204">
        <f>Data!CT50/T$2*100000</f>
        <v>8.2243605559667738</v>
      </c>
      <c r="U51" s="204">
        <f>Data!CU50/U$2*100000</f>
        <v>11.007881643256571</v>
      </c>
      <c r="V51" s="204">
        <f>Data!BQ50/V$2*100000</f>
        <v>1.9432739527320553</v>
      </c>
      <c r="W51" s="187"/>
    </row>
    <row r="52" spans="1:23" ht="12" customHeight="1">
      <c r="A52" s="187"/>
      <c r="B52" s="196" t="str">
        <f>UPPER(LEFT(TRIM(Data!B51),1)) &amp; MID(TRIM(Data!B51),2,50)</f>
        <v>Limfinio ir kraujodaros audinių</v>
      </c>
      <c r="C52" s="197" t="str">
        <f>Data!C51</f>
        <v>D45-D47</v>
      </c>
      <c r="D52" s="202">
        <f>Data!CD51/D$2*100000</f>
        <v>0</v>
      </c>
      <c r="E52" s="202">
        <f>Data!CE51/E$2*100000</f>
        <v>0</v>
      </c>
      <c r="F52" s="202">
        <f>Data!CF51/F$2*100000</f>
        <v>0</v>
      </c>
      <c r="G52" s="202">
        <f>Data!CG51/G$2*100000</f>
        <v>0</v>
      </c>
      <c r="H52" s="202">
        <f>Data!CH51/H$2*100000</f>
        <v>1.9244462405942688</v>
      </c>
      <c r="I52" s="202">
        <f>Data!CI51/I$2*100000</f>
        <v>1.0520003787201362</v>
      </c>
      <c r="J52" s="202">
        <f>Data!CJ51/J$2*100000</f>
        <v>2.2886699394646803</v>
      </c>
      <c r="K52" s="202">
        <f>Data!CK51/K$2*100000</f>
        <v>4.1956868339347153</v>
      </c>
      <c r="L52" s="202">
        <f>Data!CL51/L$2*100000</f>
        <v>3.688947912055482</v>
      </c>
      <c r="M52" s="202">
        <f>Data!CM51/M$2*100000</f>
        <v>9.798768918304992</v>
      </c>
      <c r="N52" s="202">
        <f>Data!CN51/N$2*100000</f>
        <v>10.308215647871354</v>
      </c>
      <c r="O52" s="202">
        <f>Data!CO51/O$2*100000</f>
        <v>12.051878702476197</v>
      </c>
      <c r="P52" s="202">
        <f>Data!CP51/P$2*100000</f>
        <v>14.153423106474179</v>
      </c>
      <c r="Q52" s="202">
        <f>Data!CQ51/Q$2*100000</f>
        <v>22.823645296527204</v>
      </c>
      <c r="R52" s="202">
        <f>Data!CR51/R$2*100000</f>
        <v>34.419203695068063</v>
      </c>
      <c r="S52" s="202">
        <f>Data!CS51/S$2*100000</f>
        <v>42.23917310607002</v>
      </c>
      <c r="T52" s="202">
        <f>Data!CT51/T$2*100000</f>
        <v>65.794884447734191</v>
      </c>
      <c r="U52" s="202">
        <f>Data!CU51/U$2*100000</f>
        <v>46.233102901677604</v>
      </c>
      <c r="V52" s="202">
        <f>Data!BQ51/V$2*100000</f>
        <v>13.101427616806438</v>
      </c>
      <c r="W52" s="187"/>
    </row>
    <row r="53" spans="1:23">
      <c r="A53" s="187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</row>
    <row r="54" spans="1:23">
      <c r="A54" s="187"/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</row>
    <row r="55" spans="1:23">
      <c r="A55" s="187"/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</row>
  </sheetData>
  <mergeCells count="4">
    <mergeCell ref="B5:B6"/>
    <mergeCell ref="C5:C6"/>
    <mergeCell ref="D5:U5"/>
    <mergeCell ref="V5:V6"/>
  </mergeCells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C000"/>
  </sheetPr>
  <dimension ref="A1:AC81"/>
  <sheetViews>
    <sheetView zoomScaleNormal="100" workbookViewId="0">
      <selection activeCell="D1" sqref="D1"/>
    </sheetView>
  </sheetViews>
  <sheetFormatPr defaultRowHeight="12.75"/>
  <cols>
    <col min="1" max="1" width="6.7109375" style="78" customWidth="1"/>
    <col min="2" max="2" width="0.140625" style="78" customWidth="1"/>
    <col min="3" max="6" width="7.7109375" style="78" customWidth="1"/>
    <col min="7" max="7" width="4.7109375" style="78" customWidth="1"/>
    <col min="8" max="8" width="10.7109375" style="78" customWidth="1"/>
    <col min="9" max="9" width="7.7109375" style="78" customWidth="1"/>
    <col min="10" max="10" width="0.85546875" style="78" customWidth="1"/>
    <col min="11" max="11" width="2.7109375" style="78" customWidth="1"/>
    <col min="12" max="12" width="0.85546875" style="78" customWidth="1"/>
    <col min="13" max="16" width="7.7109375" style="78" customWidth="1"/>
    <col min="17" max="17" width="4.7109375" style="78" customWidth="1"/>
    <col min="18" max="18" width="10.7109375" style="78" customWidth="1"/>
    <col min="19" max="19" width="7.7109375" style="78" customWidth="1"/>
    <col min="20" max="20" width="0.140625" style="78" customWidth="1"/>
    <col min="21" max="21" width="7.7109375" style="78" customWidth="1"/>
    <col min="22" max="22" width="9.140625" style="78"/>
    <col min="23" max="23" width="27.85546875" style="78" bestFit="1" customWidth="1"/>
    <col min="24" max="24" width="5" style="78" bestFit="1" customWidth="1"/>
    <col min="25" max="25" width="5.7109375" style="78" bestFit="1" customWidth="1"/>
    <col min="26" max="26" width="8.5703125" style="78" bestFit="1" customWidth="1"/>
    <col min="27" max="27" width="24" style="78" bestFit="1" customWidth="1"/>
    <col min="28" max="28" width="5" style="78" bestFit="1" customWidth="1"/>
    <col min="29" max="29" width="5.7109375" style="78" bestFit="1" customWidth="1"/>
    <col min="30" max="16384" width="9.140625" style="78"/>
  </cols>
  <sheetData>
    <row r="1" spans="1:29" ht="20.100000000000001" customHeight="1">
      <c r="A1" s="503">
        <v>2013</v>
      </c>
      <c r="B1" s="503"/>
      <c r="C1" s="503" t="s">
        <v>405</v>
      </c>
      <c r="D1" s="77" t="s">
        <v>645</v>
      </c>
      <c r="E1" s="501" t="s">
        <v>421</v>
      </c>
      <c r="F1" s="332"/>
      <c r="G1" s="332"/>
      <c r="H1" s="502" t="s">
        <v>406</v>
      </c>
      <c r="I1" s="332"/>
      <c r="J1" s="332"/>
      <c r="K1" s="332"/>
      <c r="L1" s="332"/>
      <c r="M1" s="332"/>
      <c r="N1" s="332"/>
      <c r="O1" s="332"/>
      <c r="P1" s="332"/>
      <c r="Q1" s="332"/>
      <c r="R1" s="332"/>
      <c r="V1" s="332"/>
      <c r="W1" s="444" t="s">
        <v>483</v>
      </c>
      <c r="X1" s="444"/>
      <c r="Y1" s="444"/>
      <c r="Z1" s="332"/>
      <c r="AA1" s="444" t="s">
        <v>486</v>
      </c>
      <c r="AB1" s="444"/>
      <c r="AC1" s="444"/>
    </row>
    <row r="2" spans="1:29" ht="20.100000000000001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332"/>
      <c r="W2" s="332" t="s">
        <v>26</v>
      </c>
      <c r="X2" s="332">
        <v>2546</v>
      </c>
      <c r="Y2" s="333">
        <v>0.32346588743488758</v>
      </c>
      <c r="Z2" s="332"/>
      <c r="AA2" s="332" t="s">
        <v>26</v>
      </c>
      <c r="AB2" s="332">
        <v>272</v>
      </c>
      <c r="AC2" s="333">
        <v>0.29988974641675853</v>
      </c>
    </row>
    <row r="3" spans="1:29" ht="24.95" customHeight="1">
      <c r="A3" s="80"/>
      <c r="B3" s="80"/>
      <c r="C3" s="445" t="str">
        <f>W1</f>
        <v>Vyrai ir moterys, visos amžiaus grupės (7871 atv.)</v>
      </c>
      <c r="D3" s="445"/>
      <c r="E3" s="445"/>
      <c r="F3" s="445"/>
      <c r="G3" s="445"/>
      <c r="H3" s="445"/>
      <c r="I3" s="445"/>
      <c r="J3" s="207"/>
      <c r="K3" s="80"/>
      <c r="L3" s="80"/>
      <c r="M3" s="445" t="str">
        <f>AA1</f>
        <v>Vyrai ir moterys, 30-54 metų (907 atv.)</v>
      </c>
      <c r="N3" s="445"/>
      <c r="O3" s="445"/>
      <c r="P3" s="445"/>
      <c r="Q3" s="445"/>
      <c r="R3" s="445"/>
      <c r="S3" s="445"/>
      <c r="T3" s="80"/>
      <c r="U3" s="80"/>
      <c r="V3" s="332"/>
      <c r="W3" s="332" t="s">
        <v>225</v>
      </c>
      <c r="X3" s="332">
        <v>260</v>
      </c>
      <c r="Y3" s="333">
        <v>3.3032651505526617E-2</v>
      </c>
      <c r="Z3" s="332"/>
      <c r="AA3" s="332" t="s">
        <v>212</v>
      </c>
      <c r="AB3" s="332">
        <v>33</v>
      </c>
      <c r="AC3" s="333">
        <v>3.6383682469680267E-2</v>
      </c>
    </row>
    <row r="4" spans="1:29" ht="20.100000000000001" customHeight="1">
      <c r="A4" s="80"/>
      <c r="B4" s="80"/>
      <c r="C4" s="80"/>
      <c r="D4" s="80"/>
      <c r="E4" s="80"/>
      <c r="F4" s="80"/>
      <c r="G4" s="80"/>
      <c r="H4" s="80"/>
      <c r="I4" s="82" t="str">
        <f>W12</f>
        <v>Plaučių, trachėjos, bronchų</v>
      </c>
      <c r="J4" s="82"/>
      <c r="K4" s="80"/>
      <c r="L4" s="80"/>
      <c r="M4" s="80"/>
      <c r="N4" s="80"/>
      <c r="O4" s="80"/>
      <c r="P4" s="80"/>
      <c r="Q4" s="80"/>
      <c r="R4" s="80"/>
      <c r="S4" s="82" t="str">
        <f>AA12</f>
        <v>Plaučių, trachėjos, bronchų</v>
      </c>
      <c r="T4" s="80"/>
      <c r="U4" s="80"/>
      <c r="V4" s="332"/>
      <c r="W4" s="332" t="s">
        <v>227</v>
      </c>
      <c r="X4" s="332">
        <v>260</v>
      </c>
      <c r="Y4" s="333">
        <v>3.3032651505526617E-2</v>
      </c>
      <c r="Z4" s="332"/>
      <c r="AA4" s="332" t="s">
        <v>236</v>
      </c>
      <c r="AB4" s="332">
        <v>34</v>
      </c>
      <c r="AC4" s="333">
        <v>3.7486218302094816E-2</v>
      </c>
    </row>
    <row r="5" spans="1:29" ht="20.100000000000001" customHeight="1">
      <c r="A5" s="80"/>
      <c r="B5" s="80"/>
      <c r="C5" s="80"/>
      <c r="D5" s="80"/>
      <c r="E5" s="80"/>
      <c r="F5" s="80"/>
      <c r="G5" s="80"/>
      <c r="H5" s="80"/>
      <c r="I5" s="82" t="str">
        <f>W11</f>
        <v>Skrandžio</v>
      </c>
      <c r="J5" s="82"/>
      <c r="K5" s="80"/>
      <c r="L5" s="80"/>
      <c r="M5" s="80"/>
      <c r="N5" s="80"/>
      <c r="O5" s="80"/>
      <c r="P5" s="80"/>
      <c r="Q5" s="80"/>
      <c r="R5" s="80"/>
      <c r="S5" s="82" t="str">
        <f>AA11</f>
        <v>Krūties</v>
      </c>
      <c r="T5" s="80"/>
      <c r="U5" s="80"/>
      <c r="V5" s="332"/>
      <c r="W5" s="332" t="s">
        <v>236</v>
      </c>
      <c r="X5" s="332">
        <v>384</v>
      </c>
      <c r="Y5" s="333">
        <v>4.8786685300470083E-2</v>
      </c>
      <c r="Z5" s="332"/>
      <c r="AA5" s="332" t="s">
        <v>219</v>
      </c>
      <c r="AB5" s="332">
        <v>42</v>
      </c>
      <c r="AC5" s="333">
        <v>4.6306504961411248E-2</v>
      </c>
    </row>
    <row r="6" spans="1:29" ht="20.100000000000001" customHeight="1">
      <c r="A6" s="80"/>
      <c r="B6" s="80"/>
      <c r="C6" s="80"/>
      <c r="D6" s="80"/>
      <c r="E6" s="80"/>
      <c r="F6" s="80"/>
      <c r="G6" s="80"/>
      <c r="H6" s="80"/>
      <c r="I6" s="82" t="str">
        <f>W10</f>
        <v>Krūties</v>
      </c>
      <c r="J6" s="82"/>
      <c r="K6" s="80"/>
      <c r="L6" s="80"/>
      <c r="M6" s="80"/>
      <c r="N6" s="80"/>
      <c r="O6" s="80"/>
      <c r="P6" s="80"/>
      <c r="Q6" s="80"/>
      <c r="R6" s="80"/>
      <c r="S6" s="82" t="str">
        <f>AA10</f>
        <v>Skrandžio</v>
      </c>
      <c r="T6" s="80"/>
      <c r="U6" s="80"/>
      <c r="V6" s="332"/>
      <c r="W6" s="332" t="s">
        <v>212</v>
      </c>
      <c r="X6" s="332">
        <v>429</v>
      </c>
      <c r="Y6" s="333">
        <v>5.4503874984118919E-2</v>
      </c>
      <c r="Z6" s="332"/>
      <c r="AA6" s="332" t="s">
        <v>231</v>
      </c>
      <c r="AB6" s="332">
        <v>49</v>
      </c>
      <c r="AC6" s="333">
        <v>5.4024255788313123E-2</v>
      </c>
    </row>
    <row r="7" spans="1:29" ht="20.100000000000001" customHeight="1">
      <c r="A7" s="80"/>
      <c r="B7" s="80"/>
      <c r="C7" s="80"/>
      <c r="D7" s="80"/>
      <c r="E7" s="80"/>
      <c r="F7" s="80"/>
      <c r="G7" s="80"/>
      <c r="H7" s="80"/>
      <c r="I7" s="82" t="str">
        <f>W9</f>
        <v>Priešinės liaukos</v>
      </c>
      <c r="J7" s="82"/>
      <c r="K7" s="80"/>
      <c r="L7" s="80"/>
      <c r="M7" s="80"/>
      <c r="N7" s="80"/>
      <c r="O7" s="80"/>
      <c r="P7" s="80"/>
      <c r="Q7" s="80"/>
      <c r="R7" s="80"/>
      <c r="S7" s="82" t="str">
        <f>AA9</f>
        <v>Smegenų</v>
      </c>
      <c r="T7" s="80"/>
      <c r="U7" s="80"/>
      <c r="V7" s="332"/>
      <c r="W7" s="332" t="s">
        <v>219</v>
      </c>
      <c r="X7" s="332">
        <v>440</v>
      </c>
      <c r="Y7" s="333">
        <v>5.590141024012197E-2</v>
      </c>
      <c r="Z7" s="332"/>
      <c r="AA7" s="332" t="s">
        <v>211</v>
      </c>
      <c r="AB7" s="332">
        <v>52</v>
      </c>
      <c r="AC7" s="333">
        <v>5.7331863285556783E-2</v>
      </c>
    </row>
    <row r="8" spans="1:29" ht="20.100000000000001" customHeight="1">
      <c r="A8" s="80"/>
      <c r="B8" s="80"/>
      <c r="C8" s="80"/>
      <c r="D8" s="80"/>
      <c r="E8" s="80"/>
      <c r="F8" s="80"/>
      <c r="G8" s="80"/>
      <c r="H8" s="80"/>
      <c r="I8" s="82" t="str">
        <f>W8</f>
        <v>Gaubtinės žarnos</v>
      </c>
      <c r="J8" s="82"/>
      <c r="K8" s="80"/>
      <c r="L8" s="80"/>
      <c r="M8" s="80"/>
      <c r="N8" s="80"/>
      <c r="O8" s="80"/>
      <c r="P8" s="80"/>
      <c r="Q8" s="80"/>
      <c r="R8" s="80"/>
      <c r="S8" s="82" t="str">
        <f>AA8</f>
        <v>Gimdos kaklelio</v>
      </c>
      <c r="T8" s="80"/>
      <c r="U8" s="80"/>
      <c r="V8" s="332"/>
      <c r="W8" s="332" t="s">
        <v>214</v>
      </c>
      <c r="X8" s="332">
        <v>504</v>
      </c>
      <c r="Y8" s="333">
        <v>6.4032524456866982E-2</v>
      </c>
      <c r="Z8" s="332"/>
      <c r="AA8" s="332" t="s">
        <v>232</v>
      </c>
      <c r="AB8" s="332">
        <v>62</v>
      </c>
      <c r="AC8" s="333">
        <v>6.8357221609702312E-2</v>
      </c>
    </row>
    <row r="9" spans="1:29" ht="20.100000000000001" customHeight="1">
      <c r="A9" s="80"/>
      <c r="B9" s="80"/>
      <c r="C9" s="80"/>
      <c r="D9" s="80"/>
      <c r="E9" s="80"/>
      <c r="F9" s="80"/>
      <c r="G9" s="80"/>
      <c r="H9" s="80"/>
      <c r="I9" s="82" t="str">
        <f>W7</f>
        <v>Kasos</v>
      </c>
      <c r="J9" s="82"/>
      <c r="K9" s="80"/>
      <c r="L9" s="80"/>
      <c r="M9" s="80"/>
      <c r="N9" s="80"/>
      <c r="O9" s="80"/>
      <c r="P9" s="80"/>
      <c r="Q9" s="80"/>
      <c r="R9" s="80"/>
      <c r="S9" s="82" t="str">
        <f>AA7</f>
        <v>Burnos ertmės ir ryklės</v>
      </c>
      <c r="T9" s="80"/>
      <c r="U9" s="80"/>
      <c r="V9" s="332"/>
      <c r="W9" s="332" t="s">
        <v>218</v>
      </c>
      <c r="X9" s="332">
        <v>529</v>
      </c>
      <c r="Y9" s="333">
        <v>6.7208740947783008E-2</v>
      </c>
      <c r="Z9" s="332"/>
      <c r="AA9" s="332" t="s">
        <v>225</v>
      </c>
      <c r="AB9" s="332">
        <v>67</v>
      </c>
      <c r="AC9" s="333">
        <v>7.3869900771775077E-2</v>
      </c>
    </row>
    <row r="10" spans="1:29" ht="20.100000000000001" customHeight="1">
      <c r="A10" s="80"/>
      <c r="B10" s="80"/>
      <c r="C10" s="80"/>
      <c r="D10" s="80"/>
      <c r="E10" s="80"/>
      <c r="F10" s="80"/>
      <c r="G10" s="80"/>
      <c r="H10" s="80"/>
      <c r="I10" s="82" t="str">
        <f>W6</f>
        <v>Tiesiosios žarnos, išangės</v>
      </c>
      <c r="J10" s="82"/>
      <c r="K10" s="80"/>
      <c r="L10" s="80"/>
      <c r="M10" s="80"/>
      <c r="N10" s="80"/>
      <c r="O10" s="80"/>
      <c r="P10" s="80"/>
      <c r="Q10" s="80"/>
      <c r="R10" s="80"/>
      <c r="S10" s="82" t="str">
        <f>AA6</f>
        <v>Kiaušidžių</v>
      </c>
      <c r="T10" s="80"/>
      <c r="U10" s="80"/>
      <c r="V10" s="332"/>
      <c r="W10" s="332" t="s">
        <v>234</v>
      </c>
      <c r="X10" s="332">
        <v>569</v>
      </c>
      <c r="Y10" s="333">
        <v>7.2290687333248629E-2</v>
      </c>
      <c r="Z10" s="332"/>
      <c r="AA10" s="332" t="s">
        <v>215</v>
      </c>
      <c r="AB10" s="332">
        <v>90</v>
      </c>
      <c r="AC10" s="333">
        <v>9.9228224917309815E-2</v>
      </c>
    </row>
    <row r="11" spans="1:29" ht="20.100000000000001" customHeight="1">
      <c r="A11" s="80"/>
      <c r="B11" s="80"/>
      <c r="C11" s="80"/>
      <c r="D11" s="80"/>
      <c r="E11" s="80"/>
      <c r="F11" s="80"/>
      <c r="G11" s="80"/>
      <c r="H11" s="80"/>
      <c r="I11" s="82" t="str">
        <f>W5</f>
        <v>Nepatikslintos lokalizacijos</v>
      </c>
      <c r="J11" s="82"/>
      <c r="K11" s="80"/>
      <c r="L11" s="80"/>
      <c r="M11" s="80"/>
      <c r="N11" s="80"/>
      <c r="O11" s="80"/>
      <c r="P11" s="80"/>
      <c r="Q11" s="80"/>
      <c r="R11" s="80"/>
      <c r="S11" s="82" t="str">
        <f>AA5</f>
        <v>Kasos</v>
      </c>
      <c r="T11" s="80"/>
      <c r="U11" s="80"/>
      <c r="V11" s="332"/>
      <c r="W11" s="332" t="s">
        <v>215</v>
      </c>
      <c r="X11" s="332">
        <v>642</v>
      </c>
      <c r="Y11" s="333">
        <v>8.1565239486723409E-2</v>
      </c>
      <c r="Z11" s="332"/>
      <c r="AA11" s="332" t="s">
        <v>234</v>
      </c>
      <c r="AB11" s="332">
        <v>93</v>
      </c>
      <c r="AC11" s="333">
        <v>0.10253583241455347</v>
      </c>
    </row>
    <row r="12" spans="1:29" ht="20.100000000000001" customHeight="1">
      <c r="A12" s="80"/>
      <c r="B12" s="80"/>
      <c r="C12" s="80"/>
      <c r="D12" s="80"/>
      <c r="E12" s="80"/>
      <c r="F12" s="80"/>
      <c r="G12" s="80"/>
      <c r="H12" s="80"/>
      <c r="I12" s="82" t="str">
        <f>W4</f>
        <v>Leukemijos</v>
      </c>
      <c r="J12" s="82"/>
      <c r="K12" s="80"/>
      <c r="L12" s="80"/>
      <c r="M12" s="80"/>
      <c r="N12" s="80"/>
      <c r="O12" s="80"/>
      <c r="P12" s="80"/>
      <c r="Q12" s="80"/>
      <c r="R12" s="80"/>
      <c r="S12" s="82" t="str">
        <f>AA4</f>
        <v>Nepatikslintos lokalizacijos</v>
      </c>
      <c r="T12" s="80"/>
      <c r="U12" s="80"/>
      <c r="V12" s="332"/>
      <c r="W12" s="332" t="s">
        <v>217</v>
      </c>
      <c r="X12" s="332">
        <v>1308</v>
      </c>
      <c r="Y12" s="333">
        <v>0.16617964680472622</v>
      </c>
      <c r="Z12" s="332"/>
      <c r="AA12" s="332" t="s">
        <v>217</v>
      </c>
      <c r="AB12" s="332">
        <v>113</v>
      </c>
      <c r="AC12" s="333">
        <v>0.12458654906284454</v>
      </c>
    </row>
    <row r="13" spans="1:29" ht="20.100000000000001" customHeight="1">
      <c r="A13" s="80"/>
      <c r="B13" s="80"/>
      <c r="C13" s="80"/>
      <c r="D13" s="80"/>
      <c r="E13" s="80"/>
      <c r="F13" s="80"/>
      <c r="G13" s="80"/>
      <c r="H13" s="80"/>
      <c r="I13" s="82" t="str">
        <f>W3</f>
        <v>Smegenų</v>
      </c>
      <c r="J13" s="82"/>
      <c r="K13" s="80"/>
      <c r="L13" s="80"/>
      <c r="M13" s="80"/>
      <c r="N13" s="80"/>
      <c r="O13" s="80"/>
      <c r="P13" s="80"/>
      <c r="Q13" s="80"/>
      <c r="R13" s="80"/>
      <c r="S13" s="82" t="str">
        <f>AA3</f>
        <v>Tiesiosios žarnos, išangės</v>
      </c>
      <c r="T13" s="80"/>
      <c r="U13" s="80"/>
      <c r="V13" s="332"/>
      <c r="W13" s="334" t="s">
        <v>210</v>
      </c>
      <c r="X13" s="332">
        <v>7871</v>
      </c>
      <c r="Y13" s="333">
        <v>1</v>
      </c>
      <c r="Z13" s="332"/>
      <c r="AA13" s="334" t="s">
        <v>210</v>
      </c>
      <c r="AB13" s="332">
        <v>907</v>
      </c>
      <c r="AC13" s="333">
        <v>1</v>
      </c>
    </row>
    <row r="14" spans="1:29" ht="20.100000000000001" customHeight="1">
      <c r="A14" s="80"/>
      <c r="B14" s="80"/>
      <c r="C14" s="80"/>
      <c r="D14" s="80"/>
      <c r="E14" s="80"/>
      <c r="F14" s="80"/>
      <c r="G14" s="80"/>
      <c r="H14" s="80"/>
      <c r="I14" s="82" t="str">
        <f>W2</f>
        <v>Kiti</v>
      </c>
      <c r="J14" s="82"/>
      <c r="K14" s="80"/>
      <c r="L14" s="80"/>
      <c r="M14" s="80"/>
      <c r="N14" s="80"/>
      <c r="O14" s="80"/>
      <c r="P14" s="80"/>
      <c r="Q14" s="80"/>
      <c r="R14" s="80"/>
      <c r="S14" s="82" t="str">
        <f>AA2</f>
        <v>Kiti</v>
      </c>
      <c r="T14" s="80"/>
      <c r="U14" s="80"/>
      <c r="V14" s="332"/>
      <c r="W14" s="444" t="s">
        <v>484</v>
      </c>
      <c r="X14" s="444"/>
      <c r="Y14" s="444"/>
      <c r="Z14" s="332"/>
      <c r="AA14" s="444" t="s">
        <v>487</v>
      </c>
      <c r="AB14" s="444"/>
      <c r="AC14" s="444"/>
    </row>
    <row r="15" spans="1:29" ht="24.95" customHeight="1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332"/>
      <c r="W15" s="332"/>
      <c r="X15" s="332"/>
      <c r="Y15" s="335"/>
      <c r="Z15" s="332"/>
      <c r="AA15" s="332" t="s">
        <v>26</v>
      </c>
      <c r="AB15" s="332">
        <v>1143</v>
      </c>
      <c r="AC15" s="337">
        <v>0.30725806451612903</v>
      </c>
    </row>
    <row r="16" spans="1:29" ht="24.95" customHeight="1">
      <c r="A16" s="80"/>
      <c r="B16" s="80"/>
      <c r="C16" s="445" t="str">
        <f>W14</f>
        <v>Vyrai ir moterys, 0-14 metų (12 atv.)</v>
      </c>
      <c r="D16" s="445"/>
      <c r="E16" s="445"/>
      <c r="F16" s="445"/>
      <c r="G16" s="445"/>
      <c r="H16" s="445"/>
      <c r="I16" s="445"/>
      <c r="J16" s="207"/>
      <c r="K16" s="80"/>
      <c r="L16" s="80"/>
      <c r="M16" s="445" t="str">
        <f>AA14</f>
        <v>Vyrai ir moterys, 55-74 metų (3720 atv.)</v>
      </c>
      <c r="N16" s="445"/>
      <c r="O16" s="445"/>
      <c r="P16" s="445"/>
      <c r="Q16" s="445"/>
      <c r="R16" s="445"/>
      <c r="S16" s="445"/>
      <c r="T16" s="80"/>
      <c r="U16" s="80"/>
      <c r="V16" s="332"/>
      <c r="W16" s="332"/>
      <c r="X16" s="332"/>
      <c r="Y16" s="335"/>
      <c r="Z16" s="332"/>
      <c r="AA16" s="308" t="s">
        <v>213</v>
      </c>
      <c r="AB16" s="336">
        <v>122</v>
      </c>
      <c r="AC16" s="333">
        <v>3.2795698924731186E-2</v>
      </c>
    </row>
    <row r="17" spans="1:29" ht="20.100000000000001" customHeight="1">
      <c r="A17" s="80"/>
      <c r="B17" s="80"/>
      <c r="C17" s="80"/>
      <c r="D17" s="80"/>
      <c r="E17" s="80"/>
      <c r="F17" s="80"/>
      <c r="G17" s="80"/>
      <c r="H17" s="80"/>
      <c r="I17" s="82" t="str">
        <f>W25</f>
        <v>Smegenų</v>
      </c>
      <c r="J17" s="82"/>
      <c r="K17" s="80"/>
      <c r="L17" s="80"/>
      <c r="M17" s="80"/>
      <c r="N17" s="80"/>
      <c r="O17" s="80"/>
      <c r="P17" s="80"/>
      <c r="Q17" s="80"/>
      <c r="R17" s="80"/>
      <c r="S17" s="82" t="str">
        <f>AA25</f>
        <v>Plaučių, trachėjos, bronchų</v>
      </c>
      <c r="T17" s="80"/>
      <c r="U17" s="80"/>
      <c r="V17" s="332"/>
      <c r="W17" s="332"/>
      <c r="X17" s="332"/>
      <c r="Y17" s="335"/>
      <c r="Z17" s="332"/>
      <c r="AA17" s="308" t="s">
        <v>211</v>
      </c>
      <c r="AB17" s="336">
        <v>157</v>
      </c>
      <c r="AC17" s="333">
        <v>4.2204301075268819E-2</v>
      </c>
    </row>
    <row r="18" spans="1:29" ht="20.100000000000001" customHeight="1">
      <c r="A18" s="80"/>
      <c r="B18" s="80"/>
      <c r="C18" s="80"/>
      <c r="D18" s="80"/>
      <c r="E18" s="80"/>
      <c r="F18" s="80"/>
      <c r="G18" s="80"/>
      <c r="H18" s="80"/>
      <c r="I18" s="82" t="str">
        <f>W24</f>
        <v>Kaulų ir jungiamojo audinio</v>
      </c>
      <c r="J18" s="82"/>
      <c r="K18" s="80"/>
      <c r="L18" s="80"/>
      <c r="M18" s="80"/>
      <c r="N18" s="80"/>
      <c r="O18" s="80"/>
      <c r="P18" s="80"/>
      <c r="Q18" s="80"/>
      <c r="R18" s="80"/>
      <c r="S18" s="82" t="str">
        <f>AA24</f>
        <v>Skrandžio</v>
      </c>
      <c r="T18" s="80"/>
      <c r="U18" s="80"/>
      <c r="V18" s="332"/>
      <c r="W18" s="332"/>
      <c r="X18" s="332"/>
      <c r="Y18" s="335"/>
      <c r="Z18" s="332"/>
      <c r="AA18" s="308" t="s">
        <v>212</v>
      </c>
      <c r="AB18" s="336">
        <v>179</v>
      </c>
      <c r="AC18" s="333">
        <v>4.8118279569892473E-2</v>
      </c>
    </row>
    <row r="19" spans="1:29" ht="20.100000000000001" customHeight="1">
      <c r="A19" s="80"/>
      <c r="B19" s="80"/>
      <c r="C19" s="80"/>
      <c r="D19" s="80"/>
      <c r="E19" s="80"/>
      <c r="F19" s="80"/>
      <c r="G19" s="80"/>
      <c r="H19" s="80"/>
      <c r="I19" s="82" t="str">
        <f>W23</f>
        <v>Kepenų</v>
      </c>
      <c r="J19" s="82"/>
      <c r="K19" s="80"/>
      <c r="L19" s="80"/>
      <c r="M19" s="80"/>
      <c r="N19" s="80"/>
      <c r="O19" s="80"/>
      <c r="P19" s="80"/>
      <c r="Q19" s="80"/>
      <c r="R19" s="80"/>
      <c r="S19" s="82" t="str">
        <f>AA23</f>
        <v>Krūties</v>
      </c>
      <c r="T19" s="80"/>
      <c r="U19" s="80"/>
      <c r="V19" s="332"/>
      <c r="W19" s="332"/>
      <c r="X19" s="332"/>
      <c r="Y19" s="335"/>
      <c r="Z19" s="332"/>
      <c r="AA19" s="308" t="s">
        <v>236</v>
      </c>
      <c r="AB19" s="336">
        <v>179</v>
      </c>
      <c r="AC19" s="333">
        <v>4.8118279569892473E-2</v>
      </c>
    </row>
    <row r="20" spans="1:29" ht="20.100000000000001" customHeight="1">
      <c r="A20" s="80"/>
      <c r="B20" s="80"/>
      <c r="C20" s="80"/>
      <c r="D20" s="80"/>
      <c r="E20" s="80"/>
      <c r="F20" s="80"/>
      <c r="G20" s="80"/>
      <c r="H20" s="80"/>
      <c r="I20" s="82" t="str">
        <f>W22</f>
        <v>Kitų virškinimo sistemos organų</v>
      </c>
      <c r="J20" s="82"/>
      <c r="K20" s="80"/>
      <c r="L20" s="80"/>
      <c r="M20" s="80"/>
      <c r="N20" s="80"/>
      <c r="O20" s="80"/>
      <c r="P20" s="80"/>
      <c r="Q20" s="80"/>
      <c r="R20" s="80"/>
      <c r="S20" s="82" t="str">
        <f t="shared" ref="S20:S21" si="0">TEXT(AA18,)</f>
        <v>Tiesiosios žarnos, išangės</v>
      </c>
      <c r="T20" s="80"/>
      <c r="U20" s="80"/>
      <c r="V20" s="332"/>
      <c r="W20" s="332"/>
      <c r="X20" s="332"/>
      <c r="Y20" s="335"/>
      <c r="Z20" s="332"/>
      <c r="AA20" s="308" t="s">
        <v>218</v>
      </c>
      <c r="AB20" s="336">
        <v>192</v>
      </c>
      <c r="AC20" s="333">
        <v>5.1612903225806452E-2</v>
      </c>
    </row>
    <row r="21" spans="1:29" ht="20.100000000000001" customHeight="1">
      <c r="A21" s="80"/>
      <c r="B21" s="80"/>
      <c r="C21" s="80"/>
      <c r="D21" s="80"/>
      <c r="E21" s="80"/>
      <c r="F21" s="80"/>
      <c r="G21" s="80"/>
      <c r="H21" s="80"/>
      <c r="I21" s="82" t="str">
        <f>W21</f>
        <v>Kiti</v>
      </c>
      <c r="J21" s="82"/>
      <c r="K21" s="80"/>
      <c r="L21" s="80"/>
      <c r="M21" s="80"/>
      <c r="N21" s="80"/>
      <c r="O21" s="80"/>
      <c r="P21" s="80"/>
      <c r="Q21" s="80"/>
      <c r="R21" s="80"/>
      <c r="S21" s="82" t="str">
        <f t="shared" si="0"/>
        <v>Nepatikslintos lokalizacijos</v>
      </c>
      <c r="T21" s="80"/>
      <c r="U21" s="80"/>
      <c r="V21" s="332"/>
      <c r="W21" s="332" t="s">
        <v>26</v>
      </c>
      <c r="X21" s="332">
        <v>0</v>
      </c>
      <c r="Y21" s="333">
        <f>VALUE(0.001%)</f>
        <v>1.0000000000000001E-5</v>
      </c>
      <c r="Z21" s="332"/>
      <c r="AA21" s="308" t="s">
        <v>214</v>
      </c>
      <c r="AB21" s="308">
        <v>200</v>
      </c>
      <c r="AC21" s="333">
        <v>5.3763440860215055E-2</v>
      </c>
    </row>
    <row r="22" spans="1:29" ht="20.100000000000001" customHeight="1">
      <c r="A22" s="80"/>
      <c r="B22" s="80"/>
      <c r="C22" s="80"/>
      <c r="D22" s="80"/>
      <c r="E22" s="80"/>
      <c r="F22" s="80"/>
      <c r="G22" s="80"/>
      <c r="H22" s="80"/>
      <c r="I22" s="82" t="str">
        <f>TEXT(W20,)</f>
        <v/>
      </c>
      <c r="J22" s="82"/>
      <c r="K22" s="80"/>
      <c r="L22" s="80"/>
      <c r="M22" s="80"/>
      <c r="N22" s="80"/>
      <c r="O22" s="80"/>
      <c r="P22" s="80"/>
      <c r="Q22" s="80"/>
      <c r="R22" s="80"/>
      <c r="S22" s="82" t="str">
        <f>TEXT(AA20,)</f>
        <v>Priešinės liaukos</v>
      </c>
      <c r="T22" s="80"/>
      <c r="U22" s="80"/>
      <c r="V22" s="332"/>
      <c r="W22" s="332" t="s">
        <v>224</v>
      </c>
      <c r="X22" s="332">
        <v>1</v>
      </c>
      <c r="Y22" s="333">
        <v>8.3333333333333329E-2</v>
      </c>
      <c r="Z22" s="332"/>
      <c r="AA22" s="308" t="s">
        <v>219</v>
      </c>
      <c r="AB22" s="308">
        <v>222</v>
      </c>
      <c r="AC22" s="333">
        <v>5.9677419354838709E-2</v>
      </c>
    </row>
    <row r="23" spans="1:29" ht="20.100000000000001" customHeight="1">
      <c r="A23" s="80"/>
      <c r="B23" s="80"/>
      <c r="C23" s="80"/>
      <c r="D23" s="80"/>
      <c r="E23" s="80"/>
      <c r="F23" s="80"/>
      <c r="G23" s="80"/>
      <c r="H23" s="80"/>
      <c r="I23" s="82" t="str">
        <f>TEXT(W19,)</f>
        <v/>
      </c>
      <c r="J23" s="82"/>
      <c r="K23" s="80"/>
      <c r="L23" s="80"/>
      <c r="M23" s="80"/>
      <c r="N23" s="80"/>
      <c r="O23" s="80"/>
      <c r="P23" s="80"/>
      <c r="Q23" s="80"/>
      <c r="R23" s="80"/>
      <c r="S23" s="82" t="str">
        <f>TEXT(AA19,)</f>
        <v>Nepatikslintos lokalizacijos</v>
      </c>
      <c r="T23" s="80"/>
      <c r="U23" s="80"/>
      <c r="V23" s="332"/>
      <c r="W23" s="332" t="s">
        <v>442</v>
      </c>
      <c r="X23" s="332">
        <v>3</v>
      </c>
      <c r="Y23" s="333">
        <v>0.25</v>
      </c>
      <c r="Z23" s="332"/>
      <c r="AA23" s="308" t="s">
        <v>234</v>
      </c>
      <c r="AB23" s="308">
        <v>250</v>
      </c>
      <c r="AC23" s="333">
        <v>6.7204301075268813E-2</v>
      </c>
    </row>
    <row r="24" spans="1:29" ht="20.100000000000001" customHeight="1">
      <c r="A24" s="80"/>
      <c r="B24" s="80"/>
      <c r="C24" s="80"/>
      <c r="D24" s="80"/>
      <c r="E24" s="80"/>
      <c r="F24" s="80"/>
      <c r="G24" s="80"/>
      <c r="H24" s="80"/>
      <c r="I24" s="82" t="str">
        <f>TEXT(W18,)</f>
        <v/>
      </c>
      <c r="J24" s="82"/>
      <c r="K24" s="80"/>
      <c r="L24" s="80"/>
      <c r="M24" s="80"/>
      <c r="N24" s="80"/>
      <c r="O24" s="80"/>
      <c r="P24" s="80"/>
      <c r="Q24" s="80"/>
      <c r="R24" s="80"/>
      <c r="S24" s="82" t="str">
        <f>TEXT(AA18,)</f>
        <v>Tiesiosios žarnos, išangės</v>
      </c>
      <c r="T24" s="80"/>
      <c r="U24" s="80"/>
      <c r="V24" s="332"/>
      <c r="W24" s="332" t="s">
        <v>228</v>
      </c>
      <c r="X24" s="332">
        <v>3</v>
      </c>
      <c r="Y24" s="333">
        <v>0.25</v>
      </c>
      <c r="Z24" s="332"/>
      <c r="AA24" s="308" t="s">
        <v>215</v>
      </c>
      <c r="AB24" s="308">
        <v>274</v>
      </c>
      <c r="AC24" s="333">
        <v>7.3655913978494622E-2</v>
      </c>
    </row>
    <row r="25" spans="1:29" ht="20.100000000000001" customHeight="1">
      <c r="A25" s="80"/>
      <c r="B25" s="80"/>
      <c r="C25" s="80"/>
      <c r="D25" s="80"/>
      <c r="E25" s="80"/>
      <c r="F25" s="80"/>
      <c r="G25" s="80"/>
      <c r="H25" s="80"/>
      <c r="I25" s="82" t="str">
        <f>TEXT(W17,)</f>
        <v/>
      </c>
      <c r="J25" s="82"/>
      <c r="K25" s="80"/>
      <c r="L25" s="80"/>
      <c r="M25" s="80"/>
      <c r="N25" s="80"/>
      <c r="O25" s="80"/>
      <c r="P25" s="80"/>
      <c r="Q25" s="80"/>
      <c r="R25" s="80"/>
      <c r="S25" s="82" t="str">
        <f>TEXT(AA17,)</f>
        <v>Burnos ertmės ir ryklės</v>
      </c>
      <c r="T25" s="80"/>
      <c r="U25" s="80"/>
      <c r="V25" s="332"/>
      <c r="W25" s="332" t="s">
        <v>225</v>
      </c>
      <c r="X25" s="332">
        <v>5</v>
      </c>
      <c r="Y25" s="333">
        <v>0.41666666666666669</v>
      </c>
      <c r="Z25" s="332"/>
      <c r="AA25" s="308" t="s">
        <v>217</v>
      </c>
      <c r="AB25" s="308">
        <v>802</v>
      </c>
      <c r="AC25" s="333">
        <v>0.21559139784946235</v>
      </c>
    </row>
    <row r="26" spans="1:29" ht="20.100000000000001" customHeight="1">
      <c r="A26" s="80"/>
      <c r="B26" s="80"/>
      <c r="C26" s="80"/>
      <c r="D26" s="80"/>
      <c r="E26" s="80"/>
      <c r="F26" s="80"/>
      <c r="G26" s="80"/>
      <c r="H26" s="80"/>
      <c r="I26" s="82" t="str">
        <f>TEXT(W16,)</f>
        <v/>
      </c>
      <c r="J26" s="82"/>
      <c r="K26" s="80"/>
      <c r="L26" s="80"/>
      <c r="M26" s="80"/>
      <c r="N26" s="80"/>
      <c r="O26" s="80"/>
      <c r="P26" s="80"/>
      <c r="Q26" s="80"/>
      <c r="R26" s="80"/>
      <c r="S26" s="82" t="str">
        <f>TEXT(AA16,)</f>
        <v>Inkstų</v>
      </c>
      <c r="T26" s="80"/>
      <c r="U26" s="80"/>
      <c r="V26" s="332"/>
      <c r="W26" s="334" t="s">
        <v>210</v>
      </c>
      <c r="X26" s="332">
        <v>12</v>
      </c>
      <c r="Y26" s="333">
        <v>1</v>
      </c>
      <c r="Z26" s="332"/>
      <c r="AA26" s="361" t="s">
        <v>210</v>
      </c>
      <c r="AB26" s="308">
        <v>3720</v>
      </c>
      <c r="AC26" s="333">
        <v>0.99999999999999989</v>
      </c>
    </row>
    <row r="27" spans="1:29" ht="20.100000000000001" customHeight="1">
      <c r="A27" s="80"/>
      <c r="B27" s="80"/>
      <c r="C27" s="80"/>
      <c r="D27" s="80"/>
      <c r="E27" s="80"/>
      <c r="F27" s="80"/>
      <c r="G27" s="80"/>
      <c r="H27" s="80"/>
      <c r="I27" s="82" t="str">
        <f>TEXT(W15,)</f>
        <v/>
      </c>
      <c r="J27" s="82"/>
      <c r="K27" s="80"/>
      <c r="L27" s="80"/>
      <c r="M27" s="80"/>
      <c r="N27" s="80"/>
      <c r="O27" s="80"/>
      <c r="P27" s="80"/>
      <c r="Q27" s="80"/>
      <c r="R27" s="80"/>
      <c r="S27" s="82" t="str">
        <f>TEXT(AA15,)</f>
        <v>Kiti</v>
      </c>
      <c r="T27" s="80"/>
      <c r="U27" s="80"/>
      <c r="V27" s="332"/>
      <c r="W27" s="444" t="s">
        <v>485</v>
      </c>
      <c r="X27" s="444"/>
      <c r="Y27" s="444"/>
      <c r="Z27" s="332"/>
      <c r="AA27" s="444" t="s">
        <v>488</v>
      </c>
      <c r="AB27" s="444"/>
      <c r="AC27" s="444"/>
    </row>
    <row r="28" spans="1:29" ht="24.95" customHeight="1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332"/>
      <c r="W28" s="332" t="s">
        <v>26</v>
      </c>
      <c r="X28" s="332">
        <v>4</v>
      </c>
      <c r="Y28" s="333">
        <v>0.11428571428571428</v>
      </c>
      <c r="Z28" s="332"/>
      <c r="AA28" s="332" t="s">
        <v>26</v>
      </c>
      <c r="AB28" s="332">
        <v>891</v>
      </c>
      <c r="AC28" s="333">
        <v>0.27869878010634969</v>
      </c>
    </row>
    <row r="29" spans="1:29" ht="24.95" customHeight="1">
      <c r="A29" s="80"/>
      <c r="B29" s="80"/>
      <c r="C29" s="445" t="str">
        <f>W27</f>
        <v>Vyrai ir moterys, 15-29 metų (35 atv.)</v>
      </c>
      <c r="D29" s="445"/>
      <c r="E29" s="445"/>
      <c r="F29" s="445"/>
      <c r="G29" s="445"/>
      <c r="H29" s="445"/>
      <c r="I29" s="445"/>
      <c r="J29" s="207"/>
      <c r="K29" s="80"/>
      <c r="L29" s="80"/>
      <c r="M29" s="445" t="str">
        <f>AA27</f>
        <v>Vyrai ir moterys, 75 ir daugiau metų (3197 atv.)</v>
      </c>
      <c r="N29" s="445"/>
      <c r="O29" s="445"/>
      <c r="P29" s="445"/>
      <c r="Q29" s="445"/>
      <c r="R29" s="445"/>
      <c r="S29" s="445"/>
      <c r="T29" s="80"/>
      <c r="U29" s="80"/>
      <c r="V29" s="332"/>
      <c r="W29" s="332" t="s">
        <v>212</v>
      </c>
      <c r="X29" s="332">
        <v>1</v>
      </c>
      <c r="Y29" s="333">
        <v>2.8571428571428571E-2</v>
      </c>
      <c r="Z29" s="332"/>
      <c r="AA29" s="332" t="s">
        <v>227</v>
      </c>
      <c r="AB29" s="332">
        <v>120</v>
      </c>
      <c r="AC29" s="333">
        <v>3.753518923991242E-2</v>
      </c>
    </row>
    <row r="30" spans="1:29" ht="20.100000000000001" customHeight="1">
      <c r="A30" s="80"/>
      <c r="B30" s="80"/>
      <c r="C30" s="80"/>
      <c r="D30" s="80"/>
      <c r="E30" s="80"/>
      <c r="F30" s="80"/>
      <c r="G30" s="80"/>
      <c r="H30" s="80"/>
      <c r="I30" s="82" t="str">
        <f>W38</f>
        <v>Smegenų</v>
      </c>
      <c r="J30" s="80"/>
      <c r="K30" s="80"/>
      <c r="L30" s="80"/>
      <c r="M30" s="80"/>
      <c r="N30" s="80"/>
      <c r="O30" s="80"/>
      <c r="P30" s="80"/>
      <c r="Q30" s="80"/>
      <c r="R30" s="80"/>
      <c r="S30" s="82" t="str">
        <f>AA38</f>
        <v>Plaučių, trachėjos, bronchų</v>
      </c>
      <c r="T30" s="80"/>
      <c r="U30" s="80"/>
      <c r="V30" s="332"/>
      <c r="W30" s="332" t="s">
        <v>234</v>
      </c>
      <c r="X30" s="332">
        <v>1</v>
      </c>
      <c r="Y30" s="333">
        <v>2.8571428571428571E-2</v>
      </c>
      <c r="Z30" s="332"/>
      <c r="AA30" s="332" t="s">
        <v>220</v>
      </c>
      <c r="AB30" s="332">
        <v>126</v>
      </c>
      <c r="AC30" s="333">
        <v>3.9411948701908041E-2</v>
      </c>
    </row>
    <row r="31" spans="1:29" ht="20.100000000000001" customHeight="1">
      <c r="A31" s="80"/>
      <c r="B31" s="80"/>
      <c r="C31" s="80"/>
      <c r="D31" s="80"/>
      <c r="E31" s="80"/>
      <c r="F31" s="80"/>
      <c r="G31" s="80"/>
      <c r="H31" s="80"/>
      <c r="I31" s="82" t="str">
        <f>W37</f>
        <v>Kaulų ir jungiamojo audinio</v>
      </c>
      <c r="J31" s="80"/>
      <c r="K31" s="80"/>
      <c r="L31" s="80"/>
      <c r="M31" s="80"/>
      <c r="N31" s="80"/>
      <c r="O31" s="80"/>
      <c r="P31" s="80"/>
      <c r="Q31" s="80"/>
      <c r="R31" s="80"/>
      <c r="S31" s="82" t="str">
        <f>AA37</f>
        <v>Priešinės liaukos</v>
      </c>
      <c r="T31" s="80"/>
      <c r="U31" s="80"/>
      <c r="V31" s="332"/>
      <c r="W31" s="332" t="s">
        <v>217</v>
      </c>
      <c r="X31" s="332">
        <v>2</v>
      </c>
      <c r="Y31" s="333">
        <v>5.7142857142857141E-2</v>
      </c>
      <c r="Z31" s="332"/>
      <c r="AA31" s="332" t="s">
        <v>236</v>
      </c>
      <c r="AB31" s="332">
        <v>169</v>
      </c>
      <c r="AC31" s="333">
        <v>5.2862058179543321E-2</v>
      </c>
    </row>
    <row r="32" spans="1:29" ht="20.100000000000001" customHeight="1">
      <c r="A32" s="80"/>
      <c r="B32" s="80"/>
      <c r="C32" s="80"/>
      <c r="D32" s="80"/>
      <c r="E32" s="80"/>
      <c r="F32" s="80"/>
      <c r="G32" s="80"/>
      <c r="H32" s="80"/>
      <c r="I32" s="82" t="str">
        <f>W36</f>
        <v>Leukemijos</v>
      </c>
      <c r="J32" s="80"/>
      <c r="K32" s="80"/>
      <c r="L32" s="80"/>
      <c r="M32" s="80"/>
      <c r="N32" s="80"/>
      <c r="O32" s="80"/>
      <c r="P32" s="80"/>
      <c r="Q32" s="80"/>
      <c r="R32" s="80"/>
      <c r="S32" s="82" t="str">
        <f>AA36</f>
        <v>Gaubtinės žarnos</v>
      </c>
      <c r="T32" s="80"/>
      <c r="U32" s="80"/>
      <c r="V32" s="332"/>
      <c r="W32" s="332" t="s">
        <v>229</v>
      </c>
      <c r="X32" s="332">
        <v>2</v>
      </c>
      <c r="Y32" s="333">
        <v>5.7142857142857141E-2</v>
      </c>
      <c r="Z32" s="332"/>
      <c r="AA32" s="332" t="s">
        <v>219</v>
      </c>
      <c r="AB32" s="332">
        <v>176</v>
      </c>
      <c r="AC32" s="333">
        <v>5.5051610885204882E-2</v>
      </c>
    </row>
    <row r="33" spans="1:29" ht="20.100000000000001" customHeight="1">
      <c r="A33" s="80"/>
      <c r="B33" s="80"/>
      <c r="C33" s="80"/>
      <c r="D33" s="80"/>
      <c r="E33" s="80"/>
      <c r="F33" s="80"/>
      <c r="G33" s="80"/>
      <c r="H33" s="80"/>
      <c r="I33" s="82" t="str">
        <f>W35</f>
        <v>Skrandžio</v>
      </c>
      <c r="J33" s="80"/>
      <c r="K33" s="80"/>
      <c r="L33" s="80"/>
      <c r="M33" s="80"/>
      <c r="N33" s="80"/>
      <c r="O33" s="80"/>
      <c r="P33" s="80"/>
      <c r="Q33" s="80"/>
      <c r="R33" s="80"/>
      <c r="S33" s="82" t="str">
        <f>AA35</f>
        <v>Skrandžio</v>
      </c>
      <c r="T33" s="80"/>
      <c r="U33" s="80"/>
      <c r="V33" s="332"/>
      <c r="W33" s="332" t="s">
        <v>232</v>
      </c>
      <c r="X33" s="332">
        <v>2</v>
      </c>
      <c r="Y33" s="333">
        <v>5.7142857142857141E-2</v>
      </c>
      <c r="Z33" s="332"/>
      <c r="AA33" s="332" t="s">
        <v>212</v>
      </c>
      <c r="AB33" s="332">
        <v>216</v>
      </c>
      <c r="AC33" s="333">
        <v>6.7563340631842356E-2</v>
      </c>
    </row>
    <row r="34" spans="1:29" ht="20.100000000000001" customHeight="1">
      <c r="A34" s="80"/>
      <c r="B34" s="80"/>
      <c r="C34" s="80"/>
      <c r="D34" s="80"/>
      <c r="E34" s="80"/>
      <c r="F34" s="80"/>
      <c r="G34" s="80"/>
      <c r="H34" s="80"/>
      <c r="I34" s="82" t="str">
        <f>W34</f>
        <v>Nepatikslintos lokalizacijos</v>
      </c>
      <c r="J34" s="80"/>
      <c r="K34" s="80"/>
      <c r="L34" s="80"/>
      <c r="M34" s="80"/>
      <c r="N34" s="80"/>
      <c r="O34" s="80"/>
      <c r="P34" s="80"/>
      <c r="Q34" s="80"/>
      <c r="R34" s="80"/>
      <c r="S34" s="82" t="str">
        <f>AA34</f>
        <v>Krūties</v>
      </c>
      <c r="T34" s="80"/>
      <c r="U34" s="80"/>
      <c r="V34" s="332"/>
      <c r="W34" s="332" t="s">
        <v>236</v>
      </c>
      <c r="X34" s="332">
        <v>2</v>
      </c>
      <c r="Y34" s="333">
        <v>5.7142857142857141E-2</v>
      </c>
      <c r="Z34" s="332"/>
      <c r="AA34" s="332" t="s">
        <v>234</v>
      </c>
      <c r="AB34" s="332">
        <v>225</v>
      </c>
      <c r="AC34" s="333">
        <v>7.0378479824835777E-2</v>
      </c>
    </row>
    <row r="35" spans="1:29" ht="20.100000000000001" customHeight="1">
      <c r="A35" s="80"/>
      <c r="B35" s="80"/>
      <c r="C35" s="80"/>
      <c r="D35" s="80"/>
      <c r="E35" s="80"/>
      <c r="F35" s="80"/>
      <c r="G35" s="80"/>
      <c r="H35" s="80"/>
      <c r="I35" s="82" t="str">
        <f>W33</f>
        <v>Gimdos kaklelio</v>
      </c>
      <c r="J35" s="80"/>
      <c r="K35" s="80"/>
      <c r="L35" s="80"/>
      <c r="M35" s="80"/>
      <c r="N35" s="80"/>
      <c r="O35" s="80"/>
      <c r="P35" s="80"/>
      <c r="Q35" s="80"/>
      <c r="R35" s="80"/>
      <c r="S35" s="82" t="str">
        <f>AA33</f>
        <v>Tiesiosios žarnos, išangės</v>
      </c>
      <c r="T35" s="80"/>
      <c r="U35" s="80"/>
      <c r="V35" s="332"/>
      <c r="W35" s="332" t="s">
        <v>215</v>
      </c>
      <c r="X35" s="332">
        <v>3</v>
      </c>
      <c r="Y35" s="333">
        <v>8.5714285714285715E-2</v>
      </c>
      <c r="Z35" s="332"/>
      <c r="AA35" s="332" t="s">
        <v>215</v>
      </c>
      <c r="AB35" s="332">
        <v>275</v>
      </c>
      <c r="AC35" s="333">
        <v>8.6018142008132625E-2</v>
      </c>
    </row>
    <row r="36" spans="1:29" ht="20.100000000000001" customHeight="1">
      <c r="A36" s="80"/>
      <c r="B36" s="80"/>
      <c r="C36" s="80"/>
      <c r="D36" s="80"/>
      <c r="E36" s="80"/>
      <c r="F36" s="80"/>
      <c r="G36" s="80"/>
      <c r="H36" s="80"/>
      <c r="I36" s="82" t="str">
        <f>W32</f>
        <v>Odos melanoma</v>
      </c>
      <c r="J36" s="80"/>
      <c r="K36" s="80"/>
      <c r="L36" s="80"/>
      <c r="M36" s="80"/>
      <c r="N36" s="80"/>
      <c r="O36" s="80"/>
      <c r="P36" s="80"/>
      <c r="Q36" s="80"/>
      <c r="R36" s="80"/>
      <c r="S36" s="82" t="str">
        <f>AA32</f>
        <v>Kasos</v>
      </c>
      <c r="T36" s="80"/>
      <c r="U36" s="80"/>
      <c r="V36" s="332"/>
      <c r="W36" s="332" t="s">
        <v>227</v>
      </c>
      <c r="X36" s="332">
        <v>5</v>
      </c>
      <c r="Y36" s="333">
        <v>0.14285714285714285</v>
      </c>
      <c r="Z36" s="332"/>
      <c r="AA36" s="332" t="s">
        <v>214</v>
      </c>
      <c r="AB36" s="332">
        <v>279</v>
      </c>
      <c r="AC36" s="333">
        <v>8.7269314982796373E-2</v>
      </c>
    </row>
    <row r="37" spans="1:29" ht="20.100000000000001" customHeight="1">
      <c r="A37" s="80"/>
      <c r="B37" s="80"/>
      <c r="C37" s="80"/>
      <c r="D37" s="80"/>
      <c r="E37" s="80"/>
      <c r="F37" s="80"/>
      <c r="G37" s="80"/>
      <c r="H37" s="80"/>
      <c r="I37" s="82" t="str">
        <f>W31</f>
        <v>Plaučių, trachėjos, bronchų</v>
      </c>
      <c r="J37" s="80"/>
      <c r="K37" s="80"/>
      <c r="L37" s="80"/>
      <c r="M37" s="80"/>
      <c r="N37" s="80"/>
      <c r="O37" s="80"/>
      <c r="P37" s="80"/>
      <c r="Q37" s="80"/>
      <c r="R37" s="80"/>
      <c r="S37" s="82" t="str">
        <f>AA31</f>
        <v>Nepatikslintos lokalizacijos</v>
      </c>
      <c r="T37" s="80"/>
      <c r="U37" s="80"/>
      <c r="V37" s="332"/>
      <c r="W37" s="332" t="s">
        <v>228</v>
      </c>
      <c r="X37" s="332">
        <v>6</v>
      </c>
      <c r="Y37" s="333">
        <v>0.17142857142857143</v>
      </c>
      <c r="Z37" s="332"/>
      <c r="AA37" s="332" t="s">
        <v>218</v>
      </c>
      <c r="AB37" s="332">
        <v>329</v>
      </c>
      <c r="AC37" s="333">
        <v>0.10290897716609321</v>
      </c>
    </row>
    <row r="38" spans="1:29" ht="20.100000000000001" customHeight="1">
      <c r="A38" s="80"/>
      <c r="B38" s="80"/>
      <c r="C38" s="80"/>
      <c r="D38" s="80"/>
      <c r="E38" s="80"/>
      <c r="F38" s="80"/>
      <c r="G38" s="80"/>
      <c r="H38" s="80"/>
      <c r="I38" s="82" t="str">
        <f>W30</f>
        <v>Krūties</v>
      </c>
      <c r="J38" s="80"/>
      <c r="K38" s="80"/>
      <c r="L38" s="80"/>
      <c r="M38" s="80"/>
      <c r="N38" s="80"/>
      <c r="O38" s="80"/>
      <c r="P38" s="80"/>
      <c r="Q38" s="80"/>
      <c r="R38" s="80"/>
      <c r="S38" s="82" t="str">
        <f>AA30</f>
        <v>Šlapimo pūslės</v>
      </c>
      <c r="T38" s="80"/>
      <c r="U38" s="80"/>
      <c r="V38" s="332"/>
      <c r="W38" s="332" t="s">
        <v>225</v>
      </c>
      <c r="X38" s="332">
        <v>7</v>
      </c>
      <c r="Y38" s="333">
        <v>0.2</v>
      </c>
      <c r="Z38" s="332"/>
      <c r="AA38" s="332" t="s">
        <v>217</v>
      </c>
      <c r="AB38" s="332">
        <v>391</v>
      </c>
      <c r="AC38" s="333">
        <v>0.1223021582733813</v>
      </c>
    </row>
    <row r="39" spans="1:29" ht="20.100000000000001" customHeight="1">
      <c r="A39" s="80"/>
      <c r="B39" s="80"/>
      <c r="C39" s="80"/>
      <c r="D39" s="80"/>
      <c r="E39" s="80"/>
      <c r="F39" s="80"/>
      <c r="G39" s="80"/>
      <c r="H39" s="80"/>
      <c r="I39" s="82" t="str">
        <f>W29</f>
        <v>Tiesiosios žarnos, išangės</v>
      </c>
      <c r="J39" s="80"/>
      <c r="K39" s="80"/>
      <c r="L39" s="80"/>
      <c r="M39" s="80"/>
      <c r="N39" s="80"/>
      <c r="O39" s="80"/>
      <c r="P39" s="80"/>
      <c r="Q39" s="80"/>
      <c r="R39" s="80"/>
      <c r="S39" s="82" t="str">
        <f>AA29</f>
        <v>Leukemijos</v>
      </c>
      <c r="T39" s="80"/>
      <c r="U39" s="80"/>
      <c r="V39" s="332"/>
      <c r="W39" s="334" t="s">
        <v>210</v>
      </c>
      <c r="X39" s="332">
        <v>35</v>
      </c>
      <c r="Y39" s="333">
        <v>1</v>
      </c>
      <c r="Z39" s="332"/>
      <c r="AA39" s="334" t="s">
        <v>210</v>
      </c>
      <c r="AB39" s="332">
        <v>3197</v>
      </c>
      <c r="AC39" s="333">
        <v>1</v>
      </c>
    </row>
    <row r="40" spans="1:29" ht="20.100000000000001" customHeight="1">
      <c r="A40" s="80"/>
      <c r="B40" s="80"/>
      <c r="C40" s="80"/>
      <c r="D40" s="80"/>
      <c r="E40" s="80"/>
      <c r="F40" s="80"/>
      <c r="G40" s="80"/>
      <c r="H40" s="80"/>
      <c r="I40" s="82" t="str">
        <f>W28</f>
        <v>Kiti</v>
      </c>
      <c r="J40" s="80"/>
      <c r="K40" s="80"/>
      <c r="L40" s="80"/>
      <c r="M40" s="80"/>
      <c r="N40" s="80"/>
      <c r="O40" s="80"/>
      <c r="P40" s="80"/>
      <c r="Q40" s="80"/>
      <c r="R40" s="80"/>
      <c r="S40" s="82" t="str">
        <f>TEXT(AA28,)</f>
        <v>Kiti</v>
      </c>
      <c r="T40" s="80"/>
      <c r="U40" s="80"/>
      <c r="V40" s="332"/>
      <c r="W40" s="444"/>
      <c r="X40" s="444"/>
      <c r="Y40" s="444"/>
      <c r="Z40" s="332"/>
      <c r="AA40" s="444"/>
      <c r="AB40" s="444"/>
      <c r="AC40" s="444"/>
    </row>
    <row r="41" spans="1:29" ht="24.95" customHeight="1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332"/>
      <c r="W41" s="332"/>
      <c r="X41" s="332"/>
      <c r="Y41" s="335"/>
      <c r="Z41" s="332"/>
      <c r="AA41" s="332"/>
      <c r="AB41" s="332"/>
      <c r="AC41" s="335"/>
    </row>
    <row r="42" spans="1:29" ht="24.95" customHeight="1">
      <c r="A42" s="338"/>
      <c r="B42" s="338"/>
      <c r="C42" s="443">
        <f>W40</f>
        <v>0</v>
      </c>
      <c r="D42" s="443"/>
      <c r="E42" s="443"/>
      <c r="F42" s="443"/>
      <c r="G42" s="443"/>
      <c r="H42" s="443"/>
      <c r="I42" s="443"/>
      <c r="J42" s="339"/>
      <c r="K42" s="338"/>
      <c r="L42" s="338"/>
      <c r="M42" s="443">
        <f>AA40</f>
        <v>0</v>
      </c>
      <c r="N42" s="443"/>
      <c r="O42" s="443"/>
      <c r="P42" s="443"/>
      <c r="Q42" s="443"/>
      <c r="R42" s="443"/>
      <c r="S42" s="443"/>
      <c r="T42" s="338"/>
      <c r="U42" s="338"/>
      <c r="V42" s="332"/>
      <c r="W42" s="332"/>
      <c r="X42" s="332"/>
      <c r="Y42" s="335"/>
      <c r="Z42" s="332"/>
      <c r="AA42" s="332"/>
      <c r="AB42" s="332"/>
      <c r="AC42" s="335"/>
    </row>
    <row r="43" spans="1:29" ht="20.100000000000001" customHeight="1">
      <c r="A43" s="338"/>
      <c r="B43" s="338"/>
      <c r="C43" s="338"/>
      <c r="D43" s="338"/>
      <c r="E43" s="338"/>
      <c r="F43" s="338"/>
      <c r="G43" s="338"/>
      <c r="H43" s="338"/>
      <c r="I43" s="340">
        <f>W51</f>
        <v>0</v>
      </c>
      <c r="J43" s="338"/>
      <c r="K43" s="338"/>
      <c r="L43" s="338"/>
      <c r="M43" s="338"/>
      <c r="N43" s="338"/>
      <c r="O43" s="338"/>
      <c r="P43" s="338"/>
      <c r="Q43" s="338"/>
      <c r="R43" s="338"/>
      <c r="S43" s="340">
        <f>AA51</f>
        <v>0</v>
      </c>
      <c r="T43" s="338"/>
      <c r="U43" s="338"/>
      <c r="V43" s="332"/>
      <c r="W43" s="332"/>
      <c r="X43" s="332"/>
      <c r="Y43" s="335"/>
      <c r="Z43" s="332"/>
      <c r="AA43" s="332"/>
      <c r="AB43" s="332"/>
      <c r="AC43" s="335"/>
    </row>
    <row r="44" spans="1:29" ht="20.100000000000001" customHeight="1">
      <c r="A44" s="338"/>
      <c r="B44" s="338"/>
      <c r="C44" s="338"/>
      <c r="D44" s="338"/>
      <c r="E44" s="338"/>
      <c r="F44" s="338"/>
      <c r="G44" s="338"/>
      <c r="H44" s="338"/>
      <c r="I44" s="340">
        <f>W50</f>
        <v>0</v>
      </c>
      <c r="J44" s="338"/>
      <c r="K44" s="338"/>
      <c r="L44" s="338"/>
      <c r="M44" s="338"/>
      <c r="N44" s="338"/>
      <c r="O44" s="338"/>
      <c r="P44" s="338"/>
      <c r="Q44" s="338"/>
      <c r="R44" s="338"/>
      <c r="S44" s="340">
        <f>AA50</f>
        <v>0</v>
      </c>
      <c r="T44" s="338"/>
      <c r="U44" s="338"/>
      <c r="V44" s="332"/>
      <c r="W44" s="332"/>
      <c r="X44" s="332"/>
      <c r="Y44" s="335"/>
      <c r="Z44" s="332"/>
      <c r="AA44" s="332"/>
      <c r="AB44" s="332"/>
      <c r="AC44" s="335"/>
    </row>
    <row r="45" spans="1:29" ht="20.100000000000001" customHeight="1">
      <c r="A45" s="338"/>
      <c r="B45" s="338"/>
      <c r="C45" s="338"/>
      <c r="D45" s="338"/>
      <c r="E45" s="338"/>
      <c r="F45" s="338"/>
      <c r="G45" s="338"/>
      <c r="H45" s="338"/>
      <c r="I45" s="340">
        <f>W49</f>
        <v>0</v>
      </c>
      <c r="J45" s="338"/>
      <c r="K45" s="338"/>
      <c r="L45" s="338"/>
      <c r="M45" s="338"/>
      <c r="N45" s="338"/>
      <c r="O45" s="338"/>
      <c r="P45" s="338"/>
      <c r="Q45" s="338"/>
      <c r="R45" s="338"/>
      <c r="S45" s="340">
        <f>AA49</f>
        <v>0</v>
      </c>
      <c r="T45" s="338"/>
      <c r="U45" s="338"/>
      <c r="V45" s="332"/>
      <c r="W45" s="332"/>
      <c r="X45" s="332"/>
      <c r="Y45" s="335"/>
      <c r="Z45" s="332"/>
      <c r="AA45" s="332"/>
      <c r="AB45" s="332"/>
      <c r="AC45" s="335"/>
    </row>
    <row r="46" spans="1:29" ht="20.100000000000001" customHeight="1">
      <c r="A46" s="338"/>
      <c r="B46" s="338"/>
      <c r="C46" s="338"/>
      <c r="D46" s="338"/>
      <c r="E46" s="338"/>
      <c r="F46" s="338"/>
      <c r="G46" s="338"/>
      <c r="H46" s="338"/>
      <c r="I46" s="340">
        <f>W48</f>
        <v>0</v>
      </c>
      <c r="J46" s="338"/>
      <c r="K46" s="338"/>
      <c r="L46" s="338"/>
      <c r="M46" s="338"/>
      <c r="N46" s="338"/>
      <c r="O46" s="338"/>
      <c r="P46" s="338"/>
      <c r="Q46" s="338"/>
      <c r="R46" s="338"/>
      <c r="S46" s="340">
        <f>AA48</f>
        <v>0</v>
      </c>
      <c r="T46" s="338"/>
      <c r="U46" s="338"/>
      <c r="V46" s="332"/>
      <c r="W46" s="332"/>
      <c r="X46" s="332"/>
      <c r="Y46" s="335"/>
      <c r="Z46" s="332"/>
      <c r="AA46" s="332"/>
      <c r="AB46" s="332"/>
      <c r="AC46" s="335"/>
    </row>
    <row r="47" spans="1:29" ht="20.100000000000001" customHeight="1">
      <c r="A47" s="338"/>
      <c r="B47" s="338"/>
      <c r="C47" s="338"/>
      <c r="D47" s="338"/>
      <c r="E47" s="338"/>
      <c r="F47" s="338"/>
      <c r="G47" s="338"/>
      <c r="H47" s="338"/>
      <c r="I47" s="340">
        <f>W47</f>
        <v>0</v>
      </c>
      <c r="J47" s="338"/>
      <c r="K47" s="338"/>
      <c r="L47" s="338"/>
      <c r="M47" s="338"/>
      <c r="N47" s="338"/>
      <c r="O47" s="338"/>
      <c r="P47" s="338"/>
      <c r="Q47" s="338"/>
      <c r="R47" s="338"/>
      <c r="S47" s="340">
        <f>AA47</f>
        <v>0</v>
      </c>
      <c r="T47" s="338"/>
      <c r="U47" s="338"/>
      <c r="V47" s="332"/>
      <c r="W47" s="332"/>
      <c r="X47" s="332"/>
      <c r="Y47" s="335"/>
      <c r="Z47" s="332"/>
      <c r="AA47" s="332"/>
      <c r="AB47" s="332"/>
      <c r="AC47" s="335"/>
    </row>
    <row r="48" spans="1:29" ht="20.100000000000001" customHeight="1">
      <c r="A48" s="338"/>
      <c r="B48" s="338"/>
      <c r="C48" s="338"/>
      <c r="D48" s="338"/>
      <c r="E48" s="338"/>
      <c r="F48" s="338"/>
      <c r="G48" s="338"/>
      <c r="H48" s="338"/>
      <c r="I48" s="340">
        <f>W46</f>
        <v>0</v>
      </c>
      <c r="J48" s="338"/>
      <c r="K48" s="338"/>
      <c r="L48" s="338"/>
      <c r="M48" s="338"/>
      <c r="N48" s="338"/>
      <c r="O48" s="338"/>
      <c r="P48" s="338"/>
      <c r="Q48" s="338"/>
      <c r="R48" s="338"/>
      <c r="S48" s="340">
        <f>AA46</f>
        <v>0</v>
      </c>
      <c r="T48" s="338"/>
      <c r="U48" s="338"/>
      <c r="V48" s="332"/>
      <c r="W48" s="332"/>
      <c r="X48" s="332"/>
      <c r="Y48" s="335"/>
      <c r="Z48" s="332"/>
      <c r="AA48" s="332"/>
      <c r="AB48" s="332"/>
      <c r="AC48" s="335"/>
    </row>
    <row r="49" spans="1:29" ht="20.100000000000001" customHeight="1">
      <c r="A49" s="338"/>
      <c r="B49" s="338"/>
      <c r="C49" s="338"/>
      <c r="D49" s="338"/>
      <c r="E49" s="338"/>
      <c r="F49" s="338"/>
      <c r="G49" s="338"/>
      <c r="H49" s="338"/>
      <c r="I49" s="340">
        <f>W45</f>
        <v>0</v>
      </c>
      <c r="J49" s="338"/>
      <c r="K49" s="338"/>
      <c r="L49" s="338"/>
      <c r="M49" s="338"/>
      <c r="N49" s="338"/>
      <c r="O49" s="338"/>
      <c r="P49" s="338"/>
      <c r="Q49" s="338"/>
      <c r="R49" s="338"/>
      <c r="S49" s="340">
        <f>AA45</f>
        <v>0</v>
      </c>
      <c r="T49" s="338"/>
      <c r="U49" s="338"/>
      <c r="V49" s="332"/>
      <c r="W49" s="332"/>
      <c r="X49" s="332"/>
      <c r="Y49" s="335"/>
      <c r="Z49" s="332"/>
      <c r="AA49" s="332"/>
      <c r="AB49" s="332"/>
      <c r="AC49" s="335"/>
    </row>
    <row r="50" spans="1:29" ht="20.100000000000001" customHeight="1">
      <c r="A50" s="338"/>
      <c r="B50" s="338"/>
      <c r="C50" s="338"/>
      <c r="D50" s="338"/>
      <c r="E50" s="338"/>
      <c r="F50" s="338"/>
      <c r="G50" s="338"/>
      <c r="H50" s="338"/>
      <c r="I50" s="340">
        <f>W44</f>
        <v>0</v>
      </c>
      <c r="J50" s="338"/>
      <c r="K50" s="338"/>
      <c r="L50" s="338"/>
      <c r="M50" s="338"/>
      <c r="N50" s="338"/>
      <c r="O50" s="338"/>
      <c r="P50" s="338"/>
      <c r="Q50" s="338"/>
      <c r="R50" s="338"/>
      <c r="S50" s="340">
        <f>AA44</f>
        <v>0</v>
      </c>
      <c r="T50" s="338"/>
      <c r="U50" s="338"/>
      <c r="V50" s="332"/>
      <c r="W50" s="332"/>
      <c r="X50" s="332"/>
      <c r="Y50" s="335"/>
      <c r="Z50" s="332"/>
      <c r="AA50" s="332"/>
      <c r="AB50" s="332"/>
      <c r="AC50" s="335"/>
    </row>
    <row r="51" spans="1:29" ht="20.100000000000001" customHeight="1">
      <c r="A51" s="338"/>
      <c r="B51" s="338"/>
      <c r="C51" s="338"/>
      <c r="D51" s="338"/>
      <c r="E51" s="338"/>
      <c r="F51" s="338"/>
      <c r="G51" s="338"/>
      <c r="H51" s="338"/>
      <c r="I51" s="340">
        <f>W43</f>
        <v>0</v>
      </c>
      <c r="J51" s="338"/>
      <c r="K51" s="338"/>
      <c r="L51" s="338"/>
      <c r="M51" s="338"/>
      <c r="N51" s="338"/>
      <c r="O51" s="338"/>
      <c r="P51" s="338"/>
      <c r="Q51" s="338"/>
      <c r="R51" s="338"/>
      <c r="S51" s="340">
        <f>AA43</f>
        <v>0</v>
      </c>
      <c r="T51" s="338"/>
      <c r="U51" s="338"/>
      <c r="V51" s="332"/>
      <c r="W51" s="332"/>
      <c r="X51" s="332"/>
      <c r="Y51" s="335"/>
      <c r="Z51" s="332"/>
      <c r="AA51" s="332"/>
      <c r="AB51" s="332"/>
      <c r="AC51" s="335"/>
    </row>
    <row r="52" spans="1:29" ht="20.100000000000001" customHeight="1">
      <c r="A52" s="338"/>
      <c r="B52" s="338"/>
      <c r="C52" s="338"/>
      <c r="D52" s="338"/>
      <c r="E52" s="338"/>
      <c r="F52" s="338"/>
      <c r="G52" s="338"/>
      <c r="H52" s="338"/>
      <c r="I52" s="340">
        <f>W42</f>
        <v>0</v>
      </c>
      <c r="J52" s="338"/>
      <c r="K52" s="338"/>
      <c r="L52" s="338"/>
      <c r="M52" s="338"/>
      <c r="N52" s="338"/>
      <c r="O52" s="338"/>
      <c r="P52" s="338"/>
      <c r="Q52" s="338"/>
      <c r="R52" s="338"/>
      <c r="S52" s="340">
        <f>AA42</f>
        <v>0</v>
      </c>
      <c r="T52" s="338"/>
      <c r="U52" s="338"/>
      <c r="V52" s="332"/>
      <c r="W52" s="334"/>
      <c r="X52" s="332"/>
      <c r="Y52" s="335"/>
      <c r="Z52" s="332"/>
      <c r="AA52" s="334"/>
      <c r="AB52" s="332"/>
      <c r="AC52" s="335"/>
    </row>
    <row r="53" spans="1:29" ht="20.100000000000001" customHeight="1">
      <c r="A53" s="338"/>
      <c r="B53" s="338"/>
      <c r="C53" s="338"/>
      <c r="D53" s="338"/>
      <c r="E53" s="338"/>
      <c r="F53" s="338"/>
      <c r="G53" s="338"/>
      <c r="H53" s="338"/>
      <c r="I53" s="340">
        <f>W41</f>
        <v>0</v>
      </c>
      <c r="J53" s="338"/>
      <c r="K53" s="338"/>
      <c r="L53" s="338"/>
      <c r="M53" s="338"/>
      <c r="N53" s="338"/>
      <c r="O53" s="338"/>
      <c r="P53" s="338"/>
      <c r="Q53" s="338"/>
      <c r="R53" s="338"/>
      <c r="S53" s="340">
        <f>AA41</f>
        <v>0</v>
      </c>
      <c r="T53" s="338"/>
      <c r="U53" s="338"/>
      <c r="V53" s="332"/>
      <c r="W53" s="444"/>
      <c r="X53" s="444"/>
      <c r="Y53" s="444"/>
      <c r="Z53" s="332"/>
      <c r="AA53" s="444"/>
      <c r="AB53" s="444"/>
      <c r="AC53" s="444"/>
    </row>
    <row r="54" spans="1:29" ht="24.95" customHeight="1">
      <c r="A54" s="338"/>
      <c r="B54" s="338"/>
      <c r="C54" s="338"/>
      <c r="D54" s="338"/>
      <c r="E54" s="338"/>
      <c r="F54" s="338"/>
      <c r="G54" s="338"/>
      <c r="H54" s="338"/>
      <c r="I54" s="338"/>
      <c r="J54" s="338"/>
      <c r="K54" s="338"/>
      <c r="L54" s="338"/>
      <c r="M54" s="338"/>
      <c r="N54" s="338"/>
      <c r="O54" s="338"/>
      <c r="P54" s="338"/>
      <c r="Q54" s="338"/>
      <c r="R54" s="338"/>
      <c r="S54" s="338"/>
      <c r="T54" s="338"/>
      <c r="U54" s="338"/>
      <c r="V54" s="332"/>
      <c r="W54" s="332"/>
      <c r="X54" s="332"/>
      <c r="Y54" s="335"/>
      <c r="Z54" s="332"/>
      <c r="AA54" s="332"/>
      <c r="AB54" s="332"/>
      <c r="AC54" s="335"/>
    </row>
    <row r="55" spans="1:29" ht="24.95" customHeight="1">
      <c r="A55" s="338"/>
      <c r="B55" s="338"/>
      <c r="C55" s="443">
        <f>W53</f>
        <v>0</v>
      </c>
      <c r="D55" s="443"/>
      <c r="E55" s="443"/>
      <c r="F55" s="443"/>
      <c r="G55" s="443"/>
      <c r="H55" s="443"/>
      <c r="I55" s="443"/>
      <c r="J55" s="338"/>
      <c r="K55" s="338"/>
      <c r="L55" s="338"/>
      <c r="M55" s="443">
        <f>AA53</f>
        <v>0</v>
      </c>
      <c r="N55" s="443"/>
      <c r="O55" s="443"/>
      <c r="P55" s="443"/>
      <c r="Q55" s="443"/>
      <c r="R55" s="443"/>
      <c r="S55" s="443"/>
      <c r="T55" s="338"/>
      <c r="U55" s="338"/>
      <c r="V55" s="332"/>
      <c r="W55" s="332"/>
      <c r="X55" s="332"/>
      <c r="Y55" s="335"/>
      <c r="Z55" s="332"/>
      <c r="AA55" s="332"/>
      <c r="AB55" s="332"/>
      <c r="AC55" s="335"/>
    </row>
    <row r="56" spans="1:29" ht="20.100000000000001" customHeight="1">
      <c r="A56" s="338"/>
      <c r="B56" s="338"/>
      <c r="C56" s="338"/>
      <c r="D56" s="338"/>
      <c r="E56" s="338"/>
      <c r="F56" s="338"/>
      <c r="G56" s="338"/>
      <c r="H56" s="338"/>
      <c r="I56" s="340">
        <f>W64</f>
        <v>0</v>
      </c>
      <c r="J56" s="338"/>
      <c r="K56" s="338"/>
      <c r="L56" s="338"/>
      <c r="M56" s="338"/>
      <c r="N56" s="338"/>
      <c r="O56" s="338"/>
      <c r="P56" s="338"/>
      <c r="Q56" s="338"/>
      <c r="R56" s="338"/>
      <c r="S56" s="340">
        <f>AA64</f>
        <v>0</v>
      </c>
      <c r="T56" s="338"/>
      <c r="U56" s="338"/>
      <c r="V56" s="332"/>
      <c r="W56" s="332"/>
      <c r="X56" s="332"/>
      <c r="Y56" s="335"/>
      <c r="Z56" s="332"/>
      <c r="AA56" s="332"/>
      <c r="AB56" s="332"/>
      <c r="AC56" s="335"/>
    </row>
    <row r="57" spans="1:29" ht="20.100000000000001" customHeight="1">
      <c r="A57" s="338"/>
      <c r="B57" s="338"/>
      <c r="C57" s="338"/>
      <c r="D57" s="338"/>
      <c r="E57" s="338"/>
      <c r="F57" s="338"/>
      <c r="G57" s="338"/>
      <c r="H57" s="338"/>
      <c r="I57" s="340">
        <f>W63</f>
        <v>0</v>
      </c>
      <c r="J57" s="338"/>
      <c r="K57" s="338"/>
      <c r="L57" s="338"/>
      <c r="M57" s="338"/>
      <c r="N57" s="338"/>
      <c r="O57" s="338"/>
      <c r="P57" s="338"/>
      <c r="Q57" s="338"/>
      <c r="R57" s="338"/>
      <c r="S57" s="340">
        <f>AA63</f>
        <v>0</v>
      </c>
      <c r="T57" s="338"/>
      <c r="U57" s="338"/>
      <c r="V57" s="332"/>
      <c r="W57" s="332"/>
      <c r="X57" s="332"/>
      <c r="Y57" s="335"/>
      <c r="Z57" s="332"/>
      <c r="AA57" s="332"/>
      <c r="AB57" s="332"/>
      <c r="AC57" s="335"/>
    </row>
    <row r="58" spans="1:29" ht="20.100000000000001" customHeight="1">
      <c r="A58" s="338"/>
      <c r="B58" s="338"/>
      <c r="C58" s="338"/>
      <c r="D58" s="338"/>
      <c r="E58" s="338"/>
      <c r="F58" s="338"/>
      <c r="G58" s="338"/>
      <c r="H58" s="338"/>
      <c r="I58" s="340">
        <f>W62</f>
        <v>0</v>
      </c>
      <c r="J58" s="338"/>
      <c r="K58" s="338"/>
      <c r="L58" s="338"/>
      <c r="M58" s="338"/>
      <c r="N58" s="338"/>
      <c r="O58" s="338"/>
      <c r="P58" s="338"/>
      <c r="Q58" s="338"/>
      <c r="R58" s="338"/>
      <c r="S58" s="340">
        <f>AA62</f>
        <v>0</v>
      </c>
      <c r="T58" s="338"/>
      <c r="U58" s="338"/>
      <c r="V58" s="332"/>
      <c r="W58" s="332"/>
      <c r="X58" s="332"/>
      <c r="Y58" s="335"/>
      <c r="Z58" s="332"/>
      <c r="AA58" s="332"/>
      <c r="AB58" s="332"/>
      <c r="AC58" s="335"/>
    </row>
    <row r="59" spans="1:29" ht="20.100000000000001" customHeight="1">
      <c r="A59" s="338"/>
      <c r="B59" s="338"/>
      <c r="C59" s="338"/>
      <c r="D59" s="338"/>
      <c r="E59" s="338"/>
      <c r="F59" s="338"/>
      <c r="G59" s="338"/>
      <c r="H59" s="338"/>
      <c r="I59" s="340">
        <f>W61</f>
        <v>0</v>
      </c>
      <c r="J59" s="338"/>
      <c r="K59" s="338"/>
      <c r="L59" s="338"/>
      <c r="M59" s="338"/>
      <c r="N59" s="338"/>
      <c r="O59" s="338"/>
      <c r="P59" s="338"/>
      <c r="Q59" s="338"/>
      <c r="R59" s="338"/>
      <c r="S59" s="340">
        <f>AA61</f>
        <v>0</v>
      </c>
      <c r="T59" s="338"/>
      <c r="U59" s="338"/>
      <c r="V59" s="332"/>
      <c r="W59" s="332"/>
      <c r="X59" s="332"/>
      <c r="Y59" s="335"/>
      <c r="Z59" s="332"/>
      <c r="AA59" s="332"/>
      <c r="AB59" s="332"/>
      <c r="AC59" s="335"/>
    </row>
    <row r="60" spans="1:29" ht="20.100000000000001" customHeight="1">
      <c r="A60" s="338"/>
      <c r="B60" s="338"/>
      <c r="C60" s="338"/>
      <c r="D60" s="338"/>
      <c r="E60" s="338"/>
      <c r="F60" s="338"/>
      <c r="G60" s="338"/>
      <c r="H60" s="338"/>
      <c r="I60" s="340">
        <f>W60</f>
        <v>0</v>
      </c>
      <c r="J60" s="338"/>
      <c r="K60" s="338"/>
      <c r="L60" s="338"/>
      <c r="M60" s="338"/>
      <c r="N60" s="338"/>
      <c r="O60" s="338"/>
      <c r="P60" s="338"/>
      <c r="Q60" s="338"/>
      <c r="R60" s="338"/>
      <c r="S60" s="340">
        <f>AA60</f>
        <v>0</v>
      </c>
      <c r="T60" s="338"/>
      <c r="U60" s="338"/>
      <c r="V60" s="332"/>
      <c r="W60" s="332"/>
      <c r="X60" s="332"/>
      <c r="Y60" s="335"/>
      <c r="Z60" s="332"/>
      <c r="AA60" s="332"/>
      <c r="AB60" s="332"/>
      <c r="AC60" s="335"/>
    </row>
    <row r="61" spans="1:29" ht="20.100000000000001" customHeight="1">
      <c r="A61" s="338"/>
      <c r="B61" s="338"/>
      <c r="C61" s="338"/>
      <c r="D61" s="338"/>
      <c r="E61" s="338"/>
      <c r="F61" s="338"/>
      <c r="G61" s="338"/>
      <c r="H61" s="338"/>
      <c r="I61" s="340">
        <f>W59</f>
        <v>0</v>
      </c>
      <c r="J61" s="338"/>
      <c r="K61" s="338"/>
      <c r="L61" s="338"/>
      <c r="M61" s="338"/>
      <c r="N61" s="338"/>
      <c r="O61" s="338"/>
      <c r="P61" s="338"/>
      <c r="Q61" s="338"/>
      <c r="R61" s="338"/>
      <c r="S61" s="340">
        <f>AA59</f>
        <v>0</v>
      </c>
      <c r="T61" s="338"/>
      <c r="U61" s="338"/>
      <c r="V61" s="332"/>
      <c r="W61" s="332"/>
      <c r="X61" s="332"/>
      <c r="Y61" s="335"/>
      <c r="Z61" s="332"/>
      <c r="AA61" s="332"/>
      <c r="AB61" s="332"/>
      <c r="AC61" s="335"/>
    </row>
    <row r="62" spans="1:29" ht="20.100000000000001" customHeight="1">
      <c r="A62" s="338"/>
      <c r="B62" s="338"/>
      <c r="C62" s="338"/>
      <c r="D62" s="338"/>
      <c r="E62" s="338"/>
      <c r="F62" s="338"/>
      <c r="G62" s="338"/>
      <c r="H62" s="338"/>
      <c r="I62" s="340">
        <f>W58</f>
        <v>0</v>
      </c>
      <c r="J62" s="338"/>
      <c r="K62" s="338"/>
      <c r="L62" s="338"/>
      <c r="M62" s="338"/>
      <c r="N62" s="338"/>
      <c r="O62" s="338"/>
      <c r="P62" s="338"/>
      <c r="Q62" s="338"/>
      <c r="R62" s="338"/>
      <c r="S62" s="340">
        <f>AA58</f>
        <v>0</v>
      </c>
      <c r="T62" s="338"/>
      <c r="U62" s="338"/>
      <c r="V62" s="332"/>
      <c r="W62" s="332"/>
      <c r="X62" s="332"/>
      <c r="Y62" s="335"/>
      <c r="Z62" s="332"/>
      <c r="AA62" s="332"/>
      <c r="AB62" s="332"/>
      <c r="AC62" s="335"/>
    </row>
    <row r="63" spans="1:29" ht="20.100000000000001" customHeight="1">
      <c r="A63" s="338"/>
      <c r="B63" s="338"/>
      <c r="C63" s="338"/>
      <c r="D63" s="338"/>
      <c r="E63" s="338"/>
      <c r="F63" s="338"/>
      <c r="G63" s="338"/>
      <c r="H63" s="338"/>
      <c r="I63" s="340">
        <f>W57</f>
        <v>0</v>
      </c>
      <c r="J63" s="338"/>
      <c r="K63" s="338"/>
      <c r="L63" s="338"/>
      <c r="M63" s="338"/>
      <c r="N63" s="338"/>
      <c r="O63" s="338"/>
      <c r="P63" s="338"/>
      <c r="Q63" s="338"/>
      <c r="R63" s="338"/>
      <c r="S63" s="340">
        <f>AA57</f>
        <v>0</v>
      </c>
      <c r="T63" s="338"/>
      <c r="U63" s="338"/>
      <c r="V63" s="332"/>
      <c r="W63" s="332"/>
      <c r="X63" s="332"/>
      <c r="Y63" s="335"/>
      <c r="Z63" s="332"/>
      <c r="AA63" s="332"/>
      <c r="AB63" s="332"/>
      <c r="AC63" s="335"/>
    </row>
    <row r="64" spans="1:29" ht="20.100000000000001" customHeight="1">
      <c r="A64" s="338"/>
      <c r="B64" s="338"/>
      <c r="C64" s="338"/>
      <c r="D64" s="338"/>
      <c r="E64" s="338"/>
      <c r="F64" s="338"/>
      <c r="G64" s="338"/>
      <c r="H64" s="338"/>
      <c r="I64" s="340">
        <f>W56</f>
        <v>0</v>
      </c>
      <c r="J64" s="338"/>
      <c r="K64" s="338"/>
      <c r="L64" s="338"/>
      <c r="M64" s="338"/>
      <c r="N64" s="338"/>
      <c r="O64" s="338"/>
      <c r="P64" s="338"/>
      <c r="Q64" s="338"/>
      <c r="R64" s="338"/>
      <c r="S64" s="340">
        <f>AA56</f>
        <v>0</v>
      </c>
      <c r="T64" s="338"/>
      <c r="U64" s="338"/>
      <c r="V64" s="332"/>
      <c r="W64" s="332"/>
      <c r="X64" s="332"/>
      <c r="Y64" s="335"/>
      <c r="Z64" s="332"/>
      <c r="AA64" s="332"/>
      <c r="AB64" s="332"/>
      <c r="AC64" s="335"/>
    </row>
    <row r="65" spans="1:29" ht="20.100000000000001" customHeight="1">
      <c r="A65" s="338"/>
      <c r="B65" s="338"/>
      <c r="C65" s="338"/>
      <c r="D65" s="338"/>
      <c r="E65" s="338"/>
      <c r="F65" s="338"/>
      <c r="G65" s="338"/>
      <c r="H65" s="338"/>
      <c r="I65" s="340">
        <f>W55</f>
        <v>0</v>
      </c>
      <c r="J65" s="338"/>
      <c r="K65" s="338"/>
      <c r="L65" s="338"/>
      <c r="M65" s="338"/>
      <c r="N65" s="338"/>
      <c r="O65" s="338"/>
      <c r="P65" s="338"/>
      <c r="Q65" s="338"/>
      <c r="R65" s="338"/>
      <c r="S65" s="340">
        <f>AA55</f>
        <v>0</v>
      </c>
      <c r="T65" s="338"/>
      <c r="U65" s="338"/>
      <c r="V65" s="332"/>
      <c r="W65" s="334"/>
      <c r="X65" s="332"/>
      <c r="Y65" s="335"/>
      <c r="Z65" s="332"/>
      <c r="AA65" s="334"/>
      <c r="AB65" s="332"/>
      <c r="AC65" s="335"/>
    </row>
    <row r="66" spans="1:29" ht="20.100000000000001" customHeight="1">
      <c r="A66" s="338"/>
      <c r="B66" s="338"/>
      <c r="C66" s="338"/>
      <c r="D66" s="338"/>
      <c r="E66" s="338"/>
      <c r="F66" s="338"/>
      <c r="G66" s="338"/>
      <c r="H66" s="338"/>
      <c r="I66" s="340">
        <f>W54</f>
        <v>0</v>
      </c>
      <c r="J66" s="338"/>
      <c r="K66" s="338"/>
      <c r="L66" s="338"/>
      <c r="M66" s="338"/>
      <c r="N66" s="338"/>
      <c r="O66" s="338"/>
      <c r="P66" s="338"/>
      <c r="Q66" s="338"/>
      <c r="R66" s="338"/>
      <c r="S66" s="340">
        <f>AA54</f>
        <v>0</v>
      </c>
      <c r="T66" s="338"/>
      <c r="U66" s="338"/>
      <c r="V66" s="332"/>
      <c r="W66" s="444"/>
      <c r="X66" s="444"/>
      <c r="Y66" s="444"/>
      <c r="Z66" s="332"/>
      <c r="AA66" s="444"/>
      <c r="AB66" s="444"/>
      <c r="AC66" s="444"/>
    </row>
    <row r="67" spans="1:29" ht="24.95" customHeight="1">
      <c r="A67" s="338"/>
      <c r="B67" s="338"/>
      <c r="C67" s="338"/>
      <c r="D67" s="338"/>
      <c r="E67" s="338"/>
      <c r="F67" s="338"/>
      <c r="G67" s="338"/>
      <c r="H67" s="338"/>
      <c r="I67" s="338"/>
      <c r="J67" s="338"/>
      <c r="K67" s="338"/>
      <c r="L67" s="338"/>
      <c r="M67" s="338"/>
      <c r="N67" s="338"/>
      <c r="O67" s="338"/>
      <c r="P67" s="338"/>
      <c r="Q67" s="338"/>
      <c r="R67" s="338"/>
      <c r="S67" s="338"/>
      <c r="T67" s="338"/>
      <c r="U67" s="338"/>
      <c r="V67" s="332"/>
      <c r="W67" s="332"/>
      <c r="X67" s="332"/>
      <c r="Y67" s="335"/>
      <c r="Z67" s="332"/>
      <c r="AA67" s="332"/>
      <c r="AB67" s="332"/>
      <c r="AC67" s="335"/>
    </row>
    <row r="68" spans="1:29" ht="24.95" customHeight="1">
      <c r="A68" s="338"/>
      <c r="B68" s="338"/>
      <c r="C68" s="443">
        <f>W66</f>
        <v>0</v>
      </c>
      <c r="D68" s="443"/>
      <c r="E68" s="443"/>
      <c r="F68" s="443"/>
      <c r="G68" s="443"/>
      <c r="H68" s="443"/>
      <c r="I68" s="443"/>
      <c r="J68" s="338"/>
      <c r="K68" s="338"/>
      <c r="L68" s="338"/>
      <c r="M68" s="443">
        <f>AA66</f>
        <v>0</v>
      </c>
      <c r="N68" s="443"/>
      <c r="O68" s="443"/>
      <c r="P68" s="443"/>
      <c r="Q68" s="443"/>
      <c r="R68" s="443"/>
      <c r="S68" s="443"/>
      <c r="T68" s="338"/>
      <c r="U68" s="338"/>
      <c r="V68" s="332"/>
      <c r="W68" s="332"/>
      <c r="X68" s="332"/>
      <c r="Y68" s="335"/>
      <c r="Z68" s="332"/>
      <c r="AA68" s="332"/>
      <c r="AB68" s="332"/>
      <c r="AC68" s="335"/>
    </row>
    <row r="69" spans="1:29" ht="20.100000000000001" customHeight="1">
      <c r="A69" s="338"/>
      <c r="B69" s="338"/>
      <c r="C69" s="338"/>
      <c r="D69" s="338"/>
      <c r="E69" s="338"/>
      <c r="F69" s="338"/>
      <c r="G69" s="338"/>
      <c r="H69" s="338"/>
      <c r="I69" s="340">
        <f>W77</f>
        <v>0</v>
      </c>
      <c r="J69" s="338"/>
      <c r="K69" s="338"/>
      <c r="L69" s="338"/>
      <c r="M69" s="338"/>
      <c r="N69" s="338"/>
      <c r="O69" s="338"/>
      <c r="P69" s="338"/>
      <c r="Q69" s="338"/>
      <c r="R69" s="338"/>
      <c r="S69" s="340">
        <f>AA77</f>
        <v>0</v>
      </c>
      <c r="T69" s="338"/>
      <c r="U69" s="338"/>
      <c r="V69" s="332"/>
      <c r="W69" s="332"/>
      <c r="X69" s="332"/>
      <c r="Y69" s="335"/>
      <c r="Z69" s="332"/>
      <c r="AA69" s="332"/>
      <c r="AB69" s="332"/>
      <c r="AC69" s="335"/>
    </row>
    <row r="70" spans="1:29" ht="20.100000000000001" customHeight="1">
      <c r="A70" s="338"/>
      <c r="B70" s="338"/>
      <c r="C70" s="338"/>
      <c r="D70" s="338"/>
      <c r="E70" s="338"/>
      <c r="F70" s="338"/>
      <c r="G70" s="338"/>
      <c r="H70" s="338"/>
      <c r="I70" s="340">
        <f>W76</f>
        <v>0</v>
      </c>
      <c r="J70" s="338"/>
      <c r="K70" s="338"/>
      <c r="L70" s="338"/>
      <c r="M70" s="338"/>
      <c r="N70" s="338"/>
      <c r="O70" s="338"/>
      <c r="P70" s="338"/>
      <c r="Q70" s="338"/>
      <c r="R70" s="338"/>
      <c r="S70" s="340">
        <f>AA76</f>
        <v>0</v>
      </c>
      <c r="T70" s="338"/>
      <c r="U70" s="338"/>
      <c r="V70" s="332"/>
      <c r="W70" s="332"/>
      <c r="X70" s="332"/>
      <c r="Y70" s="335"/>
      <c r="Z70" s="332"/>
      <c r="AA70" s="332"/>
      <c r="AB70" s="332"/>
      <c r="AC70" s="335"/>
    </row>
    <row r="71" spans="1:29" ht="20.100000000000001" customHeight="1">
      <c r="A71" s="338"/>
      <c r="B71" s="338"/>
      <c r="C71" s="338"/>
      <c r="D71" s="338"/>
      <c r="E71" s="338"/>
      <c r="F71" s="338"/>
      <c r="G71" s="338"/>
      <c r="H71" s="338"/>
      <c r="I71" s="340">
        <f>W75</f>
        <v>0</v>
      </c>
      <c r="J71" s="338"/>
      <c r="K71" s="338"/>
      <c r="L71" s="338"/>
      <c r="M71" s="338"/>
      <c r="N71" s="338"/>
      <c r="O71" s="338"/>
      <c r="P71" s="338"/>
      <c r="Q71" s="338"/>
      <c r="R71" s="338"/>
      <c r="S71" s="340">
        <f>AA75</f>
        <v>0</v>
      </c>
      <c r="T71" s="338"/>
      <c r="U71" s="338"/>
      <c r="V71" s="332"/>
      <c r="W71" s="332"/>
      <c r="X71" s="332"/>
      <c r="Y71" s="335"/>
      <c r="Z71" s="79"/>
      <c r="AA71" s="79"/>
      <c r="AB71" s="79"/>
      <c r="AC71" s="84"/>
    </row>
    <row r="72" spans="1:29" ht="20.100000000000001" customHeight="1">
      <c r="A72" s="338"/>
      <c r="B72" s="338"/>
      <c r="C72" s="338"/>
      <c r="D72" s="338"/>
      <c r="E72" s="338"/>
      <c r="F72" s="338"/>
      <c r="G72" s="338"/>
      <c r="H72" s="338"/>
      <c r="I72" s="340">
        <f>W74</f>
        <v>0</v>
      </c>
      <c r="J72" s="338"/>
      <c r="K72" s="338"/>
      <c r="L72" s="338"/>
      <c r="M72" s="338"/>
      <c r="N72" s="338"/>
      <c r="O72" s="338"/>
      <c r="P72" s="338"/>
      <c r="Q72" s="338"/>
      <c r="R72" s="338"/>
      <c r="S72" s="340">
        <f>AA74</f>
        <v>0</v>
      </c>
      <c r="T72" s="338"/>
      <c r="U72" s="338"/>
      <c r="V72" s="332"/>
      <c r="W72" s="332"/>
      <c r="X72" s="332"/>
      <c r="Y72" s="335"/>
      <c r="Z72" s="79"/>
      <c r="AA72" s="79"/>
      <c r="AB72" s="79"/>
      <c r="AC72" s="84"/>
    </row>
    <row r="73" spans="1:29" ht="20.100000000000001" customHeight="1">
      <c r="A73" s="338"/>
      <c r="B73" s="338"/>
      <c r="C73" s="338"/>
      <c r="D73" s="338"/>
      <c r="E73" s="338"/>
      <c r="F73" s="338"/>
      <c r="G73" s="338"/>
      <c r="H73" s="338"/>
      <c r="I73" s="340">
        <f>W73</f>
        <v>0</v>
      </c>
      <c r="J73" s="338"/>
      <c r="K73" s="338"/>
      <c r="L73" s="338"/>
      <c r="M73" s="338"/>
      <c r="N73" s="338"/>
      <c r="O73" s="338"/>
      <c r="P73" s="338"/>
      <c r="Q73" s="338"/>
      <c r="R73" s="338"/>
      <c r="S73" s="340">
        <f>AA73</f>
        <v>0</v>
      </c>
      <c r="T73" s="338"/>
      <c r="U73" s="338"/>
      <c r="V73" s="332"/>
      <c r="W73" s="332"/>
      <c r="X73" s="332"/>
      <c r="Y73" s="335"/>
      <c r="Z73" s="79"/>
      <c r="AA73" s="79"/>
      <c r="AB73" s="79"/>
      <c r="AC73" s="84"/>
    </row>
    <row r="74" spans="1:29" ht="20.100000000000001" customHeight="1">
      <c r="A74" s="338"/>
      <c r="B74" s="338"/>
      <c r="C74" s="338"/>
      <c r="D74" s="338"/>
      <c r="E74" s="338"/>
      <c r="F74" s="338"/>
      <c r="G74" s="338"/>
      <c r="H74" s="338"/>
      <c r="I74" s="340">
        <f>W72</f>
        <v>0</v>
      </c>
      <c r="J74" s="338"/>
      <c r="K74" s="338"/>
      <c r="L74" s="338"/>
      <c r="M74" s="338"/>
      <c r="N74" s="338"/>
      <c r="O74" s="338"/>
      <c r="P74" s="338"/>
      <c r="Q74" s="338"/>
      <c r="R74" s="338"/>
      <c r="S74" s="340">
        <f>AA72</f>
        <v>0</v>
      </c>
      <c r="T74" s="338"/>
      <c r="U74" s="338"/>
      <c r="V74" s="332"/>
      <c r="W74" s="332"/>
      <c r="X74" s="332"/>
      <c r="Y74" s="335"/>
      <c r="Z74" s="79"/>
      <c r="AA74" s="79"/>
      <c r="AB74" s="79"/>
      <c r="AC74" s="84"/>
    </row>
    <row r="75" spans="1:29" ht="20.100000000000001" customHeight="1">
      <c r="A75" s="338"/>
      <c r="B75" s="338"/>
      <c r="C75" s="338"/>
      <c r="D75" s="338"/>
      <c r="E75" s="338"/>
      <c r="F75" s="338"/>
      <c r="G75" s="338"/>
      <c r="H75" s="338"/>
      <c r="I75" s="340">
        <f>W71</f>
        <v>0</v>
      </c>
      <c r="J75" s="338"/>
      <c r="K75" s="338"/>
      <c r="L75" s="338"/>
      <c r="M75" s="338"/>
      <c r="N75" s="338"/>
      <c r="O75" s="338"/>
      <c r="P75" s="338"/>
      <c r="Q75" s="338"/>
      <c r="R75" s="338"/>
      <c r="S75" s="340">
        <f>AA71</f>
        <v>0</v>
      </c>
      <c r="T75" s="338"/>
      <c r="U75" s="338"/>
      <c r="V75" s="332"/>
      <c r="W75" s="332"/>
      <c r="X75" s="332"/>
      <c r="Y75" s="335"/>
      <c r="Z75" s="79"/>
      <c r="AA75" s="79"/>
      <c r="AB75" s="79"/>
      <c r="AC75" s="84"/>
    </row>
    <row r="76" spans="1:29" ht="20.100000000000001" customHeight="1">
      <c r="A76" s="338"/>
      <c r="B76" s="338"/>
      <c r="C76" s="338"/>
      <c r="D76" s="338"/>
      <c r="E76" s="338"/>
      <c r="F76" s="338"/>
      <c r="G76" s="338"/>
      <c r="H76" s="338"/>
      <c r="I76" s="340">
        <f>W70</f>
        <v>0</v>
      </c>
      <c r="J76" s="338"/>
      <c r="K76" s="338"/>
      <c r="L76" s="338"/>
      <c r="M76" s="338"/>
      <c r="N76" s="338"/>
      <c r="O76" s="338"/>
      <c r="P76" s="338"/>
      <c r="Q76" s="338"/>
      <c r="R76" s="338"/>
      <c r="S76" s="340">
        <f>AA70</f>
        <v>0</v>
      </c>
      <c r="T76" s="338"/>
      <c r="U76" s="338"/>
      <c r="V76" s="332"/>
      <c r="W76" s="332"/>
      <c r="X76" s="332"/>
      <c r="Y76" s="335"/>
      <c r="Z76" s="79"/>
      <c r="AA76" s="79"/>
      <c r="AB76" s="79"/>
      <c r="AC76" s="84"/>
    </row>
    <row r="77" spans="1:29" ht="20.100000000000001" customHeight="1">
      <c r="A77" s="338"/>
      <c r="B77" s="338"/>
      <c r="C77" s="338"/>
      <c r="D77" s="338"/>
      <c r="E77" s="338"/>
      <c r="F77" s="338"/>
      <c r="G77" s="338"/>
      <c r="H77" s="338"/>
      <c r="I77" s="340">
        <f>W69</f>
        <v>0</v>
      </c>
      <c r="J77" s="338"/>
      <c r="K77" s="338"/>
      <c r="L77" s="338"/>
      <c r="M77" s="338"/>
      <c r="N77" s="338"/>
      <c r="O77" s="338"/>
      <c r="P77" s="338"/>
      <c r="Q77" s="338"/>
      <c r="R77" s="338"/>
      <c r="S77" s="340">
        <f>AA69</f>
        <v>0</v>
      </c>
      <c r="T77" s="338"/>
      <c r="U77" s="338"/>
      <c r="V77" s="332"/>
      <c r="W77" s="332"/>
      <c r="X77" s="332"/>
      <c r="Y77" s="335"/>
      <c r="Z77" s="79"/>
      <c r="AA77" s="79"/>
      <c r="AB77" s="79"/>
      <c r="AC77" s="84"/>
    </row>
    <row r="78" spans="1:29" ht="20.100000000000001" customHeight="1">
      <c r="A78" s="338"/>
      <c r="B78" s="338"/>
      <c r="C78" s="338"/>
      <c r="D78" s="338"/>
      <c r="E78" s="338"/>
      <c r="F78" s="338"/>
      <c r="G78" s="338"/>
      <c r="H78" s="338"/>
      <c r="I78" s="340">
        <f>W68</f>
        <v>0</v>
      </c>
      <c r="J78" s="338"/>
      <c r="K78" s="338"/>
      <c r="L78" s="338"/>
      <c r="M78" s="338"/>
      <c r="N78" s="338"/>
      <c r="O78" s="338"/>
      <c r="P78" s="338"/>
      <c r="Q78" s="338"/>
      <c r="R78" s="338"/>
      <c r="S78" s="340">
        <f>AA68</f>
        <v>0</v>
      </c>
      <c r="T78" s="338"/>
      <c r="U78" s="338"/>
      <c r="V78" s="332"/>
      <c r="W78" s="334"/>
      <c r="X78" s="332"/>
      <c r="Y78" s="335"/>
      <c r="Z78" s="79"/>
      <c r="AA78" s="83"/>
      <c r="AB78" s="79"/>
      <c r="AC78" s="84"/>
    </row>
    <row r="79" spans="1:29" ht="20.100000000000001" customHeight="1">
      <c r="A79" s="338"/>
      <c r="B79" s="338"/>
      <c r="C79" s="338"/>
      <c r="D79" s="338"/>
      <c r="E79" s="338"/>
      <c r="F79" s="338"/>
      <c r="G79" s="338"/>
      <c r="H79" s="338"/>
      <c r="I79" s="340">
        <f>W67</f>
        <v>0</v>
      </c>
      <c r="J79" s="338"/>
      <c r="K79" s="338"/>
      <c r="L79" s="338"/>
      <c r="M79" s="338"/>
      <c r="N79" s="338"/>
      <c r="O79" s="338"/>
      <c r="P79" s="338"/>
      <c r="Q79" s="338"/>
      <c r="R79" s="338"/>
      <c r="S79" s="340">
        <f>AA67</f>
        <v>0</v>
      </c>
      <c r="T79" s="338"/>
      <c r="U79" s="338"/>
      <c r="V79" s="332"/>
      <c r="W79" s="332"/>
      <c r="X79" s="332"/>
      <c r="Y79" s="332"/>
    </row>
    <row r="80" spans="1:29" ht="20.100000000000001" customHeight="1">
      <c r="A80" s="338"/>
      <c r="B80" s="338"/>
      <c r="C80" s="338"/>
      <c r="D80" s="338"/>
      <c r="E80" s="338"/>
      <c r="F80" s="338"/>
      <c r="G80" s="338"/>
      <c r="H80" s="338"/>
      <c r="I80" s="338"/>
      <c r="J80" s="338"/>
      <c r="K80" s="338"/>
      <c r="L80" s="338"/>
      <c r="M80" s="338"/>
      <c r="N80" s="338"/>
      <c r="O80" s="338"/>
      <c r="P80" s="338"/>
      <c r="Q80" s="338"/>
      <c r="R80" s="338"/>
      <c r="S80" s="338"/>
      <c r="T80" s="338"/>
      <c r="U80" s="338"/>
      <c r="V80" s="332"/>
      <c r="W80" s="332"/>
      <c r="X80" s="332"/>
      <c r="Y80" s="332"/>
    </row>
    <row r="81" spans="1:25">
      <c r="A81" s="338"/>
      <c r="B81" s="338"/>
      <c r="C81" s="338"/>
      <c r="D81" s="338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338"/>
      <c r="P81" s="338"/>
      <c r="Q81" s="338"/>
      <c r="R81" s="338"/>
      <c r="S81" s="338"/>
      <c r="T81" s="338"/>
      <c r="U81" s="338"/>
      <c r="V81" s="332"/>
      <c r="W81" s="332"/>
      <c r="X81" s="332"/>
      <c r="Y81" s="332"/>
    </row>
  </sheetData>
  <mergeCells count="24">
    <mergeCell ref="W1:Y1"/>
    <mergeCell ref="AA1:AC1"/>
    <mergeCell ref="C3:I3"/>
    <mergeCell ref="M3:S3"/>
    <mergeCell ref="W14:Y14"/>
    <mergeCell ref="AA14:AC14"/>
    <mergeCell ref="C16:I16"/>
    <mergeCell ref="M16:S16"/>
    <mergeCell ref="W27:Y27"/>
    <mergeCell ref="AA27:AC27"/>
    <mergeCell ref="C29:I29"/>
    <mergeCell ref="M29:S29"/>
    <mergeCell ref="W40:Y40"/>
    <mergeCell ref="AA40:AC40"/>
    <mergeCell ref="C42:I42"/>
    <mergeCell ref="M42:S42"/>
    <mergeCell ref="W53:Y53"/>
    <mergeCell ref="AA53:AC53"/>
    <mergeCell ref="C55:I55"/>
    <mergeCell ref="M55:S55"/>
    <mergeCell ref="W66:Y66"/>
    <mergeCell ref="AA66:AC66"/>
    <mergeCell ref="C68:I68"/>
    <mergeCell ref="M68:S68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9" tint="0.39997558519241921"/>
  </sheetPr>
  <dimension ref="A1:AE81"/>
  <sheetViews>
    <sheetView topLeftCell="A10" zoomScaleNormal="100" workbookViewId="0">
      <selection activeCell="W19" sqref="W19"/>
    </sheetView>
  </sheetViews>
  <sheetFormatPr defaultRowHeight="12.75"/>
  <cols>
    <col min="1" max="1" width="6.7109375" style="78" customWidth="1"/>
    <col min="2" max="2" width="0.140625" style="78" customWidth="1"/>
    <col min="3" max="6" width="7.7109375" style="78" customWidth="1"/>
    <col min="7" max="7" width="4.7109375" style="78" customWidth="1"/>
    <col min="8" max="8" width="10.7109375" style="78" customWidth="1"/>
    <col min="9" max="9" width="7.7109375" style="78" customWidth="1"/>
    <col min="10" max="10" width="0.85546875" style="78" customWidth="1"/>
    <col min="11" max="11" width="2.7109375" style="78" customWidth="1"/>
    <col min="12" max="12" width="0.85546875" style="78" customWidth="1"/>
    <col min="13" max="16" width="7.7109375" style="78" customWidth="1"/>
    <col min="17" max="17" width="4.7109375" style="78" customWidth="1"/>
    <col min="18" max="18" width="10.7109375" style="78" customWidth="1"/>
    <col min="19" max="19" width="7.7109375" style="78" customWidth="1"/>
    <col min="20" max="20" width="0.140625" style="78" customWidth="1"/>
    <col min="21" max="21" width="7.7109375" style="78" customWidth="1"/>
    <col min="22" max="22" width="9.140625" style="78"/>
    <col min="23" max="23" width="24" style="78" bestFit="1" customWidth="1"/>
    <col min="24" max="24" width="5" style="78" bestFit="1" customWidth="1"/>
    <col min="25" max="25" width="5.7109375" style="78" bestFit="1" customWidth="1"/>
    <col min="26" max="26" width="8.5703125" style="78" bestFit="1" customWidth="1"/>
    <col min="27" max="27" width="27.85546875" style="78" bestFit="1" customWidth="1"/>
    <col min="28" max="28" width="5" style="78" bestFit="1" customWidth="1"/>
    <col min="29" max="29" width="5.7109375" style="78" bestFit="1" customWidth="1"/>
    <col min="30" max="16384" width="9.140625" style="78"/>
  </cols>
  <sheetData>
    <row r="1" spans="1:31" ht="20.100000000000001" customHeight="1">
      <c r="A1" s="501">
        <v>2013</v>
      </c>
      <c r="B1" s="501"/>
      <c r="C1" s="501" t="s">
        <v>405</v>
      </c>
      <c r="D1" s="77" t="s">
        <v>646</v>
      </c>
      <c r="E1" s="501" t="s">
        <v>421</v>
      </c>
      <c r="F1" s="332"/>
      <c r="G1" s="332"/>
      <c r="H1" s="502" t="s">
        <v>406</v>
      </c>
      <c r="I1" s="332"/>
      <c r="J1" s="332"/>
      <c r="K1" s="332"/>
      <c r="L1" s="332"/>
      <c r="M1" s="332"/>
      <c r="N1" s="332"/>
      <c r="O1" s="332"/>
      <c r="P1" s="332"/>
      <c r="Q1" s="332"/>
      <c r="R1" s="332"/>
      <c r="V1" s="332"/>
      <c r="W1" s="444" t="s">
        <v>467</v>
      </c>
      <c r="X1" s="444"/>
      <c r="Y1" s="444"/>
      <c r="Z1" s="332"/>
      <c r="AA1" s="444" t="s">
        <v>473</v>
      </c>
      <c r="AB1" s="444"/>
      <c r="AC1" s="444"/>
      <c r="AD1" s="332"/>
      <c r="AE1" s="332"/>
    </row>
    <row r="2" spans="1:31" ht="20.100000000000001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332"/>
      <c r="W2" s="332" t="s">
        <v>26</v>
      </c>
      <c r="X2" s="332">
        <v>925</v>
      </c>
      <c r="Y2" s="333">
        <v>0.21362586605080833</v>
      </c>
      <c r="Z2" s="332"/>
      <c r="AA2" s="332" t="s">
        <v>26</v>
      </c>
      <c r="AB2" s="332">
        <v>1028</v>
      </c>
      <c r="AC2" s="333">
        <v>0.29031347077096864</v>
      </c>
      <c r="AD2" s="332"/>
      <c r="AE2" s="332"/>
    </row>
    <row r="3" spans="1:31" ht="24.95" customHeight="1">
      <c r="A3" s="80"/>
      <c r="B3" s="80"/>
      <c r="C3" s="445" t="str">
        <f>W1</f>
        <v>Vyrai, visos amžiaus grupės (4330 atv.)</v>
      </c>
      <c r="D3" s="445"/>
      <c r="E3" s="445"/>
      <c r="F3" s="445"/>
      <c r="G3" s="445"/>
      <c r="H3" s="445"/>
      <c r="I3" s="445"/>
      <c r="J3" s="81"/>
      <c r="K3" s="80"/>
      <c r="L3" s="80"/>
      <c r="M3" s="445" t="str">
        <f>AA1</f>
        <v>Moterys, visos amžiaus grupės (3541 atv.)</v>
      </c>
      <c r="N3" s="445"/>
      <c r="O3" s="445"/>
      <c r="P3" s="445"/>
      <c r="Q3" s="445"/>
      <c r="R3" s="445"/>
      <c r="S3" s="445"/>
      <c r="T3" s="80"/>
      <c r="U3" s="80"/>
      <c r="V3" s="332"/>
      <c r="W3" s="332" t="s">
        <v>422</v>
      </c>
      <c r="X3" s="332">
        <v>156</v>
      </c>
      <c r="Y3" s="333">
        <v>3.6027713625866049E-2</v>
      </c>
      <c r="Z3" s="332"/>
      <c r="AA3" s="332" t="s">
        <v>233</v>
      </c>
      <c r="AB3" s="332">
        <v>158</v>
      </c>
      <c r="AC3" s="333">
        <v>4.4620163795537987E-2</v>
      </c>
      <c r="AD3" s="332"/>
      <c r="AE3" s="332"/>
    </row>
    <row r="4" spans="1:31" ht="20.100000000000001" customHeight="1">
      <c r="A4" s="80"/>
      <c r="B4" s="80"/>
      <c r="C4" s="80"/>
      <c r="D4" s="80"/>
      <c r="E4" s="80"/>
      <c r="F4" s="80"/>
      <c r="G4" s="80"/>
      <c r="H4" s="80"/>
      <c r="I4" s="82" t="str">
        <f>W12</f>
        <v>Plaučių, trachėjos, bronchų</v>
      </c>
      <c r="J4" s="82"/>
      <c r="K4" s="80"/>
      <c r="L4" s="80"/>
      <c r="M4" s="80"/>
      <c r="N4" s="80"/>
      <c r="O4" s="80"/>
      <c r="P4" s="80"/>
      <c r="Q4" s="80"/>
      <c r="R4" s="80"/>
      <c r="S4" s="82" t="str">
        <f>AA12</f>
        <v>Krūties</v>
      </c>
      <c r="T4" s="80"/>
      <c r="U4" s="80"/>
      <c r="V4" s="332"/>
      <c r="W4" s="332" t="s">
        <v>213</v>
      </c>
      <c r="X4" s="332">
        <v>164</v>
      </c>
      <c r="Y4" s="333">
        <v>3.7875288683602772E-2</v>
      </c>
      <c r="Z4" s="332"/>
      <c r="AA4" s="332" t="s">
        <v>232</v>
      </c>
      <c r="AB4" s="332">
        <v>181</v>
      </c>
      <c r="AC4" s="333">
        <v>5.111550409488845E-2</v>
      </c>
      <c r="AD4" s="332"/>
      <c r="AE4" s="332"/>
    </row>
    <row r="5" spans="1:31" ht="20.100000000000001" customHeight="1">
      <c r="A5" s="80"/>
      <c r="B5" s="80"/>
      <c r="C5" s="80"/>
      <c r="D5" s="80"/>
      <c r="E5" s="80"/>
      <c r="F5" s="80"/>
      <c r="G5" s="80"/>
      <c r="H5" s="80"/>
      <c r="I5" s="82" t="str">
        <f>W11</f>
        <v>Priešinės liaukos</v>
      </c>
      <c r="J5" s="82"/>
      <c r="K5" s="80"/>
      <c r="L5" s="80"/>
      <c r="M5" s="80"/>
      <c r="N5" s="80"/>
      <c r="O5" s="80"/>
      <c r="P5" s="80"/>
      <c r="Q5" s="80"/>
      <c r="R5" s="80"/>
      <c r="S5" s="82" t="str">
        <f>AA11</f>
        <v>Gaubtinės žarnos</v>
      </c>
      <c r="T5" s="80"/>
      <c r="U5" s="80"/>
      <c r="V5" s="332"/>
      <c r="W5" s="332" t="s">
        <v>236</v>
      </c>
      <c r="X5" s="332">
        <v>190</v>
      </c>
      <c r="Y5" s="333">
        <v>4.3879907621247112E-2</v>
      </c>
      <c r="Z5" s="332"/>
      <c r="AA5" s="332" t="s">
        <v>236</v>
      </c>
      <c r="AB5" s="332">
        <v>194</v>
      </c>
      <c r="AC5" s="333">
        <v>5.4786783394521324E-2</v>
      </c>
      <c r="AD5" s="332"/>
      <c r="AE5" s="332"/>
    </row>
    <row r="6" spans="1:31" ht="20.100000000000001" customHeight="1">
      <c r="A6" s="80"/>
      <c r="B6" s="80"/>
      <c r="C6" s="80"/>
      <c r="D6" s="80"/>
      <c r="E6" s="80"/>
      <c r="F6" s="80"/>
      <c r="G6" s="80"/>
      <c r="H6" s="80"/>
      <c r="I6" s="82" t="str">
        <f>W10</f>
        <v>Skrandžio</v>
      </c>
      <c r="J6" s="82"/>
      <c r="K6" s="80"/>
      <c r="L6" s="80"/>
      <c r="M6" s="80"/>
      <c r="N6" s="80"/>
      <c r="O6" s="80"/>
      <c r="P6" s="80"/>
      <c r="Q6" s="80"/>
      <c r="R6" s="80"/>
      <c r="S6" s="82" t="str">
        <f>AA10</f>
        <v>Plaučių, trachėjos, bronchų</v>
      </c>
      <c r="T6" s="80"/>
      <c r="U6" s="80"/>
      <c r="V6" s="332"/>
      <c r="W6" s="332" t="s">
        <v>211</v>
      </c>
      <c r="X6" s="332">
        <v>209</v>
      </c>
      <c r="Y6" s="333">
        <v>4.8267898383371824E-2</v>
      </c>
      <c r="Z6" s="332"/>
      <c r="AA6" s="332" t="s">
        <v>212</v>
      </c>
      <c r="AB6" s="332">
        <v>203</v>
      </c>
      <c r="AC6" s="333">
        <v>5.7328438294267155E-2</v>
      </c>
      <c r="AD6" s="332"/>
      <c r="AE6" s="332"/>
    </row>
    <row r="7" spans="1:31" ht="20.100000000000001" customHeight="1">
      <c r="A7" s="80"/>
      <c r="B7" s="80"/>
      <c r="C7" s="80"/>
      <c r="D7" s="80"/>
      <c r="E7" s="80"/>
      <c r="F7" s="80"/>
      <c r="G7" s="80"/>
      <c r="H7" s="80"/>
      <c r="I7" s="82" t="str">
        <f>W9</f>
        <v>Gaubtinės žarnos</v>
      </c>
      <c r="J7" s="82"/>
      <c r="K7" s="80"/>
      <c r="L7" s="80"/>
      <c r="M7" s="80"/>
      <c r="N7" s="80"/>
      <c r="O7" s="80"/>
      <c r="P7" s="80"/>
      <c r="Q7" s="80"/>
      <c r="R7" s="80"/>
      <c r="S7" s="82" t="str">
        <f>AA9</f>
        <v>Kiaušidžių</v>
      </c>
      <c r="T7" s="80"/>
      <c r="U7" s="80"/>
      <c r="V7" s="332"/>
      <c r="W7" s="332" t="s">
        <v>212</v>
      </c>
      <c r="X7" s="332">
        <v>226</v>
      </c>
      <c r="Y7" s="333">
        <v>5.2193995381062355E-2</v>
      </c>
      <c r="Z7" s="332"/>
      <c r="AA7" s="332" t="s">
        <v>219</v>
      </c>
      <c r="AB7" s="332">
        <v>213</v>
      </c>
      <c r="AC7" s="333">
        <v>6.0152499293984751E-2</v>
      </c>
      <c r="AD7" s="332"/>
      <c r="AE7" s="332"/>
    </row>
    <row r="8" spans="1:31" ht="20.100000000000001" customHeight="1">
      <c r="A8" s="80"/>
      <c r="B8" s="80"/>
      <c r="C8" s="80"/>
      <c r="D8" s="80"/>
      <c r="E8" s="80"/>
      <c r="F8" s="80"/>
      <c r="G8" s="80"/>
      <c r="H8" s="80"/>
      <c r="I8" s="82" t="str">
        <f>W8</f>
        <v>Kasos</v>
      </c>
      <c r="J8" s="82"/>
      <c r="K8" s="80"/>
      <c r="L8" s="80"/>
      <c r="M8" s="80"/>
      <c r="N8" s="80"/>
      <c r="O8" s="80"/>
      <c r="P8" s="80"/>
      <c r="Q8" s="80"/>
      <c r="R8" s="80"/>
      <c r="S8" s="82" t="str">
        <f>AA8</f>
        <v>Skrandžio</v>
      </c>
      <c r="T8" s="80"/>
      <c r="U8" s="80"/>
      <c r="V8" s="332"/>
      <c r="W8" s="332" t="s">
        <v>219</v>
      </c>
      <c r="X8" s="332">
        <v>227</v>
      </c>
      <c r="Y8" s="333">
        <v>5.2424942263279449E-2</v>
      </c>
      <c r="Z8" s="332"/>
      <c r="AA8" s="332" t="s">
        <v>215</v>
      </c>
      <c r="AB8" s="332">
        <v>246</v>
      </c>
      <c r="AC8" s="333">
        <v>6.9471900593052804E-2</v>
      </c>
      <c r="AD8" s="332"/>
      <c r="AE8" s="332"/>
    </row>
    <row r="9" spans="1:31" ht="20.100000000000001" customHeight="1">
      <c r="A9" s="80"/>
      <c r="B9" s="80"/>
      <c r="C9" s="80"/>
      <c r="D9" s="80"/>
      <c r="E9" s="80"/>
      <c r="F9" s="80"/>
      <c r="G9" s="80"/>
      <c r="H9" s="80"/>
      <c r="I9" s="82" t="str">
        <f>W7</f>
        <v>Tiesiosios žarnos, išangės</v>
      </c>
      <c r="J9" s="82"/>
      <c r="K9" s="80"/>
      <c r="L9" s="80"/>
      <c r="M9" s="80"/>
      <c r="N9" s="80"/>
      <c r="O9" s="80"/>
      <c r="P9" s="80"/>
      <c r="Q9" s="80"/>
      <c r="R9" s="80"/>
      <c r="S9" s="82" t="str">
        <f>AA7</f>
        <v>Kasos</v>
      </c>
      <c r="T9" s="80"/>
      <c r="U9" s="80"/>
      <c r="V9" s="332"/>
      <c r="W9" s="332" t="s">
        <v>214</v>
      </c>
      <c r="X9" s="332">
        <v>250</v>
      </c>
      <c r="Y9" s="333">
        <v>5.7736720554272515E-2</v>
      </c>
      <c r="Z9" s="332"/>
      <c r="AA9" s="332" t="s">
        <v>231</v>
      </c>
      <c r="AB9" s="332">
        <v>249</v>
      </c>
      <c r="AC9" s="333">
        <v>7.0319118892968088E-2</v>
      </c>
      <c r="AD9" s="332"/>
      <c r="AE9" s="332"/>
    </row>
    <row r="10" spans="1:31" ht="20.100000000000001" customHeight="1">
      <c r="A10" s="80"/>
      <c r="B10" s="80"/>
      <c r="C10" s="80"/>
      <c r="D10" s="80"/>
      <c r="E10" s="80"/>
      <c r="F10" s="80"/>
      <c r="G10" s="80"/>
      <c r="H10" s="80"/>
      <c r="I10" s="82" t="str">
        <f>W6</f>
        <v>Burnos ertmės ir ryklės</v>
      </c>
      <c r="J10" s="82"/>
      <c r="K10" s="80"/>
      <c r="L10" s="80"/>
      <c r="M10" s="80"/>
      <c r="N10" s="80"/>
      <c r="O10" s="80"/>
      <c r="P10" s="80"/>
      <c r="Q10" s="80"/>
      <c r="R10" s="80"/>
      <c r="S10" s="82" t="str">
        <f>AA6</f>
        <v>Tiesiosios žarnos, išangės</v>
      </c>
      <c r="T10" s="80"/>
      <c r="U10" s="80"/>
      <c r="V10" s="332"/>
      <c r="W10" s="332" t="s">
        <v>215</v>
      </c>
      <c r="X10" s="332">
        <v>396</v>
      </c>
      <c r="Y10" s="333">
        <v>9.1454965357967669E-2</v>
      </c>
      <c r="Z10" s="332"/>
      <c r="AA10" s="332" t="s">
        <v>217</v>
      </c>
      <c r="AB10" s="332">
        <v>250</v>
      </c>
      <c r="AC10" s="333">
        <v>7.0601524992939854E-2</v>
      </c>
      <c r="AD10" s="332"/>
      <c r="AE10" s="332"/>
    </row>
    <row r="11" spans="1:31" ht="20.100000000000001" customHeight="1">
      <c r="A11" s="80"/>
      <c r="B11" s="80"/>
      <c r="C11" s="80"/>
      <c r="D11" s="80"/>
      <c r="E11" s="80"/>
      <c r="F11" s="80"/>
      <c r="G11" s="80"/>
      <c r="H11" s="80"/>
      <c r="I11" s="82" t="str">
        <f>W5</f>
        <v>Nepatikslintos lokalizacijos</v>
      </c>
      <c r="J11" s="82"/>
      <c r="K11" s="80"/>
      <c r="L11" s="80"/>
      <c r="M11" s="80"/>
      <c r="N11" s="80"/>
      <c r="O11" s="80"/>
      <c r="P11" s="80"/>
      <c r="Q11" s="80"/>
      <c r="R11" s="80"/>
      <c r="S11" s="82" t="str">
        <f>AA5</f>
        <v>Nepatikslintos lokalizacijos</v>
      </c>
      <c r="T11" s="80"/>
      <c r="U11" s="80"/>
      <c r="V11" s="332"/>
      <c r="W11" s="332" t="s">
        <v>218</v>
      </c>
      <c r="X11" s="332">
        <v>529</v>
      </c>
      <c r="Y11" s="333">
        <v>0.12217090069284064</v>
      </c>
      <c r="Z11" s="332"/>
      <c r="AA11" s="332" t="s">
        <v>214</v>
      </c>
      <c r="AB11" s="332">
        <v>254</v>
      </c>
      <c r="AC11" s="333">
        <v>7.173114939282689E-2</v>
      </c>
      <c r="AD11" s="332"/>
      <c r="AE11" s="332"/>
    </row>
    <row r="12" spans="1:31" ht="20.100000000000001" customHeight="1">
      <c r="A12" s="80"/>
      <c r="B12" s="80"/>
      <c r="C12" s="80"/>
      <c r="D12" s="80"/>
      <c r="E12" s="80"/>
      <c r="F12" s="80"/>
      <c r="G12" s="80"/>
      <c r="H12" s="80"/>
      <c r="I12" s="82" t="str">
        <f>W4</f>
        <v>Inkstų</v>
      </c>
      <c r="J12" s="82"/>
      <c r="K12" s="80"/>
      <c r="L12" s="80"/>
      <c r="M12" s="80"/>
      <c r="N12" s="80"/>
      <c r="O12" s="80"/>
      <c r="P12" s="80"/>
      <c r="Q12" s="80"/>
      <c r="R12" s="80"/>
      <c r="S12" s="82" t="str">
        <f>AA4</f>
        <v>Gimdos kaklelio</v>
      </c>
      <c r="T12" s="80"/>
      <c r="U12" s="80"/>
      <c r="V12" s="332"/>
      <c r="W12" s="332" t="s">
        <v>217</v>
      </c>
      <c r="X12" s="332">
        <v>1058</v>
      </c>
      <c r="Y12" s="333">
        <v>0.24434180138568129</v>
      </c>
      <c r="Z12" s="332"/>
      <c r="AA12" s="332" t="s">
        <v>234</v>
      </c>
      <c r="AB12" s="332">
        <v>565</v>
      </c>
      <c r="AC12" s="333">
        <v>0.15955944648404405</v>
      </c>
      <c r="AD12" s="332"/>
      <c r="AE12" s="332"/>
    </row>
    <row r="13" spans="1:31" ht="20.100000000000001" customHeight="1">
      <c r="A13" s="80"/>
      <c r="B13" s="80"/>
      <c r="C13" s="80"/>
      <c r="D13" s="80"/>
      <c r="E13" s="80"/>
      <c r="F13" s="80"/>
      <c r="G13" s="80"/>
      <c r="H13" s="80"/>
      <c r="I13" s="82" t="str">
        <f>W3</f>
        <v>Stemplės</v>
      </c>
      <c r="J13" s="82"/>
      <c r="K13" s="80"/>
      <c r="L13" s="80"/>
      <c r="M13" s="80"/>
      <c r="N13" s="80"/>
      <c r="O13" s="80"/>
      <c r="P13" s="80"/>
      <c r="Q13" s="80"/>
      <c r="R13" s="80"/>
      <c r="S13" s="82" t="str">
        <f>AA3</f>
        <v>Gimdos kūno</v>
      </c>
      <c r="T13" s="80"/>
      <c r="U13" s="80"/>
      <c r="V13" s="332"/>
      <c r="W13" s="334" t="s">
        <v>210</v>
      </c>
      <c r="X13" s="332">
        <v>4330</v>
      </c>
      <c r="Y13" s="333">
        <v>1</v>
      </c>
      <c r="Z13" s="332"/>
      <c r="AA13" s="334" t="s">
        <v>210</v>
      </c>
      <c r="AB13" s="332">
        <v>3541</v>
      </c>
      <c r="AC13" s="333">
        <v>1</v>
      </c>
      <c r="AD13" s="332"/>
      <c r="AE13" s="332"/>
    </row>
    <row r="14" spans="1:31" ht="20.100000000000001" customHeight="1">
      <c r="A14" s="80"/>
      <c r="B14" s="80"/>
      <c r="C14" s="80"/>
      <c r="D14" s="80"/>
      <c r="E14" s="80"/>
      <c r="F14" s="80"/>
      <c r="G14" s="80"/>
      <c r="H14" s="80"/>
      <c r="I14" s="82" t="str">
        <f>W2</f>
        <v>Kiti</v>
      </c>
      <c r="J14" s="82"/>
      <c r="K14" s="80"/>
      <c r="L14" s="80"/>
      <c r="M14" s="80"/>
      <c r="N14" s="80"/>
      <c r="O14" s="80"/>
      <c r="P14" s="80"/>
      <c r="Q14" s="80"/>
      <c r="R14" s="80"/>
      <c r="S14" s="82" t="str">
        <f>AA2</f>
        <v>Kiti</v>
      </c>
      <c r="T14" s="80"/>
      <c r="U14" s="506"/>
      <c r="V14" s="79"/>
      <c r="W14" s="507" t="s">
        <v>468</v>
      </c>
      <c r="X14" s="507"/>
      <c r="Y14" s="507"/>
      <c r="Z14" s="79"/>
      <c r="AA14" s="507" t="s">
        <v>444</v>
      </c>
      <c r="AB14" s="507"/>
      <c r="AC14" s="507"/>
      <c r="AD14" s="332"/>
      <c r="AE14" s="332"/>
    </row>
    <row r="15" spans="1:31" ht="24.95" customHeight="1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506"/>
      <c r="V15" s="79"/>
      <c r="W15" s="79"/>
      <c r="X15" s="79"/>
      <c r="Y15" s="84"/>
      <c r="Z15" s="79"/>
      <c r="AA15" s="79"/>
      <c r="AB15" s="79"/>
      <c r="AC15" s="79"/>
      <c r="AD15" s="332"/>
      <c r="AE15" s="332"/>
    </row>
    <row r="16" spans="1:31" ht="24.95" customHeight="1">
      <c r="A16" s="80"/>
      <c r="B16" s="80"/>
      <c r="C16" s="445" t="str">
        <f>W14</f>
        <v>Vyrai, 0-14 metų (5 atv.)</v>
      </c>
      <c r="D16" s="445"/>
      <c r="E16" s="445"/>
      <c r="F16" s="445"/>
      <c r="G16" s="445"/>
      <c r="H16" s="445"/>
      <c r="I16" s="445"/>
      <c r="J16" s="81"/>
      <c r="K16" s="80"/>
      <c r="L16" s="80"/>
      <c r="M16" s="445" t="str">
        <f>AA14</f>
        <v>Moterys, 0-14 metų (7 atv.)</v>
      </c>
      <c r="N16" s="445"/>
      <c r="O16" s="445"/>
      <c r="P16" s="445"/>
      <c r="Q16" s="445"/>
      <c r="R16" s="445"/>
      <c r="S16" s="445"/>
      <c r="T16" s="80"/>
      <c r="U16" s="506"/>
      <c r="V16" s="79"/>
      <c r="W16" s="79"/>
      <c r="X16" s="79"/>
      <c r="Y16" s="84"/>
      <c r="Z16" s="79"/>
      <c r="AA16" s="33"/>
      <c r="AB16" s="504"/>
      <c r="AC16" s="84"/>
      <c r="AD16" s="332"/>
      <c r="AE16" s="332"/>
    </row>
    <row r="17" spans="1:31" ht="20.100000000000001" customHeight="1">
      <c r="A17" s="80"/>
      <c r="B17" s="80"/>
      <c r="C17" s="80"/>
      <c r="D17" s="80"/>
      <c r="E17" s="80"/>
      <c r="F17" s="80"/>
      <c r="G17" s="80"/>
      <c r="H17" s="80"/>
      <c r="I17" s="82" t="str">
        <f>W25</f>
        <v>Smegenų</v>
      </c>
      <c r="J17" s="82"/>
      <c r="K17" s="80"/>
      <c r="L17" s="80"/>
      <c r="M17" s="80"/>
      <c r="N17" s="80"/>
      <c r="O17" s="80"/>
      <c r="P17" s="80"/>
      <c r="Q17" s="80"/>
      <c r="R17" s="80"/>
      <c r="S17" s="82" t="str">
        <f>AA25</f>
        <v>Smegenų</v>
      </c>
      <c r="T17" s="80"/>
      <c r="U17" s="506"/>
      <c r="V17" s="79"/>
      <c r="W17" s="79"/>
      <c r="X17" s="79"/>
      <c r="Y17" s="84"/>
      <c r="Z17" s="79"/>
      <c r="AA17" s="33"/>
      <c r="AB17" s="504"/>
      <c r="AC17" s="84"/>
      <c r="AD17" s="332"/>
      <c r="AE17" s="332"/>
    </row>
    <row r="18" spans="1:31" ht="20.100000000000001" customHeight="1">
      <c r="A18" s="80"/>
      <c r="B18" s="80"/>
      <c r="C18" s="80"/>
      <c r="D18" s="80"/>
      <c r="E18" s="80"/>
      <c r="F18" s="80"/>
      <c r="G18" s="80"/>
      <c r="H18" s="80"/>
      <c r="I18" s="82" t="str">
        <f>W24</f>
        <v>Kepenų</v>
      </c>
      <c r="J18" s="82"/>
      <c r="K18" s="80"/>
      <c r="L18" s="80"/>
      <c r="M18" s="80"/>
      <c r="N18" s="80"/>
      <c r="O18" s="80"/>
      <c r="P18" s="80"/>
      <c r="Q18" s="80"/>
      <c r="R18" s="80"/>
      <c r="S18" s="82" t="str">
        <f>AA24</f>
        <v>Kaulų ir jungiamojo audinio</v>
      </c>
      <c r="T18" s="80"/>
      <c r="U18" s="506"/>
      <c r="V18" s="79"/>
      <c r="W18" s="79"/>
      <c r="X18" s="79"/>
      <c r="Y18" s="84"/>
      <c r="Z18" s="79"/>
      <c r="AA18" s="33"/>
      <c r="AB18" s="504"/>
      <c r="AC18" s="84"/>
      <c r="AD18" s="332"/>
      <c r="AE18" s="332"/>
    </row>
    <row r="19" spans="1:31" ht="20.100000000000001" customHeight="1">
      <c r="A19" s="80"/>
      <c r="B19" s="80"/>
      <c r="C19" s="80"/>
      <c r="D19" s="80"/>
      <c r="E19" s="80"/>
      <c r="F19" s="80"/>
      <c r="G19" s="80"/>
      <c r="H19" s="80"/>
      <c r="I19" s="82" t="str">
        <f>W23</f>
        <v>Kaulų ir jungiamojo audinio</v>
      </c>
      <c r="J19" s="82"/>
      <c r="K19" s="80"/>
      <c r="L19" s="80"/>
      <c r="M19" s="80"/>
      <c r="N19" s="80"/>
      <c r="O19" s="80"/>
      <c r="P19" s="80"/>
      <c r="Q19" s="80"/>
      <c r="R19" s="80"/>
      <c r="S19" s="82" t="str">
        <f>AA23</f>
        <v>Kitų virškinimo sistemos organų</v>
      </c>
      <c r="T19" s="80"/>
      <c r="U19" s="506"/>
      <c r="V19" s="79"/>
      <c r="W19" s="79"/>
      <c r="X19" s="79"/>
      <c r="Y19" s="84"/>
      <c r="Z19" s="79"/>
      <c r="AA19" s="33"/>
      <c r="AB19" s="504"/>
      <c r="AC19" s="84"/>
      <c r="AD19" s="332"/>
      <c r="AE19" s="332"/>
    </row>
    <row r="20" spans="1:31" ht="20.100000000000001" customHeight="1">
      <c r="A20" s="80"/>
      <c r="B20" s="80"/>
      <c r="C20" s="80"/>
      <c r="D20" s="80"/>
      <c r="E20" s="80"/>
      <c r="F20" s="80"/>
      <c r="G20" s="80"/>
      <c r="H20" s="80"/>
      <c r="I20" s="82"/>
      <c r="J20" s="82"/>
      <c r="K20" s="80"/>
      <c r="L20" s="80"/>
      <c r="M20" s="80"/>
      <c r="N20" s="80"/>
      <c r="O20" s="80"/>
      <c r="P20" s="80"/>
      <c r="Q20" s="80"/>
      <c r="R20" s="80"/>
      <c r="S20" s="82" t="str">
        <f t="shared" ref="S20:S21" si="0">TEXT(AA18,)</f>
        <v/>
      </c>
      <c r="T20" s="80"/>
      <c r="U20" s="506"/>
      <c r="V20" s="79"/>
      <c r="W20" s="79"/>
      <c r="X20" s="79"/>
      <c r="Y20" s="84"/>
      <c r="Z20" s="79"/>
      <c r="AA20" s="33"/>
      <c r="AB20" s="504"/>
      <c r="AC20" s="84"/>
      <c r="AD20" s="332"/>
      <c r="AE20" s="332"/>
    </row>
    <row r="21" spans="1:31" ht="20.100000000000001" customHeight="1">
      <c r="A21" s="80"/>
      <c r="B21" s="80"/>
      <c r="C21" s="80"/>
      <c r="D21" s="80"/>
      <c r="E21" s="80"/>
      <c r="F21" s="80"/>
      <c r="G21" s="80"/>
      <c r="H21" s="80"/>
      <c r="I21" s="82"/>
      <c r="J21" s="82"/>
      <c r="K21" s="80"/>
      <c r="L21" s="80"/>
      <c r="M21" s="80"/>
      <c r="N21" s="80"/>
      <c r="O21" s="80"/>
      <c r="P21" s="80"/>
      <c r="Q21" s="80"/>
      <c r="R21" s="80"/>
      <c r="S21" s="82" t="str">
        <f t="shared" si="0"/>
        <v/>
      </c>
      <c r="T21" s="80"/>
      <c r="U21" s="506"/>
      <c r="V21" s="79"/>
      <c r="W21" s="79"/>
      <c r="X21" s="79"/>
      <c r="Y21" s="84"/>
      <c r="Z21" s="79"/>
      <c r="AA21" s="33"/>
      <c r="AB21" s="33"/>
      <c r="AC21" s="505"/>
      <c r="AD21" s="332"/>
      <c r="AE21" s="332"/>
    </row>
    <row r="22" spans="1:31" ht="20.100000000000001" customHeight="1">
      <c r="A22" s="80"/>
      <c r="B22" s="80"/>
      <c r="C22" s="80"/>
      <c r="D22" s="80"/>
      <c r="E22" s="80"/>
      <c r="F22" s="80"/>
      <c r="G22" s="80"/>
      <c r="H22" s="80"/>
      <c r="I22" s="82" t="str">
        <f>TEXT(W20,)</f>
        <v/>
      </c>
      <c r="J22" s="82"/>
      <c r="K22" s="80"/>
      <c r="L22" s="80"/>
      <c r="M22" s="80"/>
      <c r="N22" s="80"/>
      <c r="O22" s="80"/>
      <c r="P22" s="80"/>
      <c r="Q22" s="80"/>
      <c r="R22" s="80"/>
      <c r="S22" s="82" t="str">
        <f>TEXT(AA20,)</f>
        <v/>
      </c>
      <c r="T22" s="80"/>
      <c r="U22" s="506"/>
      <c r="V22" s="79"/>
      <c r="W22" s="79"/>
      <c r="X22" s="79"/>
      <c r="Y22" s="505"/>
      <c r="Z22" s="79"/>
      <c r="AA22" s="33" t="s">
        <v>442</v>
      </c>
      <c r="AB22" s="33">
        <v>1</v>
      </c>
      <c r="AC22" s="505">
        <v>0.14285714285714285</v>
      </c>
      <c r="AD22" s="332"/>
      <c r="AE22" s="332"/>
    </row>
    <row r="23" spans="1:31" ht="20.100000000000001" customHeight="1">
      <c r="A23" s="80"/>
      <c r="B23" s="80"/>
      <c r="C23" s="80"/>
      <c r="D23" s="80"/>
      <c r="E23" s="80"/>
      <c r="F23" s="80"/>
      <c r="G23" s="80"/>
      <c r="H23" s="80"/>
      <c r="I23" s="82" t="str">
        <f>TEXT(W19,)</f>
        <v/>
      </c>
      <c r="J23" s="82"/>
      <c r="K23" s="80"/>
      <c r="L23" s="80"/>
      <c r="M23" s="80"/>
      <c r="N23" s="80"/>
      <c r="O23" s="80"/>
      <c r="P23" s="80"/>
      <c r="Q23" s="80"/>
      <c r="R23" s="80"/>
      <c r="S23" s="82" t="str">
        <f>TEXT(AA19,)</f>
        <v/>
      </c>
      <c r="T23" s="80"/>
      <c r="U23" s="506"/>
      <c r="V23" s="79"/>
      <c r="W23" s="79" t="s">
        <v>228</v>
      </c>
      <c r="X23" s="79">
        <v>1</v>
      </c>
      <c r="Y23" s="505">
        <v>0.2</v>
      </c>
      <c r="Z23" s="79"/>
      <c r="AA23" s="33" t="s">
        <v>224</v>
      </c>
      <c r="AB23" s="33">
        <v>1</v>
      </c>
      <c r="AC23" s="505">
        <v>0.14285714285714285</v>
      </c>
      <c r="AD23" s="332"/>
      <c r="AE23" s="332"/>
    </row>
    <row r="24" spans="1:31" ht="20.100000000000001" customHeight="1">
      <c r="A24" s="80"/>
      <c r="B24" s="80"/>
      <c r="C24" s="80"/>
      <c r="D24" s="80"/>
      <c r="E24" s="80"/>
      <c r="F24" s="80"/>
      <c r="G24" s="80"/>
      <c r="H24" s="80"/>
      <c r="I24" s="82" t="str">
        <f>TEXT(W18,)</f>
        <v/>
      </c>
      <c r="J24" s="82"/>
      <c r="K24" s="80"/>
      <c r="L24" s="80"/>
      <c r="M24" s="80"/>
      <c r="N24" s="80"/>
      <c r="O24" s="80"/>
      <c r="P24" s="80"/>
      <c r="Q24" s="80"/>
      <c r="R24" s="80"/>
      <c r="S24" s="82" t="str">
        <f>TEXT(AA18,)</f>
        <v/>
      </c>
      <c r="T24" s="80"/>
      <c r="U24" s="506"/>
      <c r="V24" s="79"/>
      <c r="W24" s="79" t="s">
        <v>442</v>
      </c>
      <c r="X24" s="79">
        <v>2</v>
      </c>
      <c r="Y24" s="505">
        <v>0.4</v>
      </c>
      <c r="Z24" s="79"/>
      <c r="AA24" s="33" t="s">
        <v>228</v>
      </c>
      <c r="AB24" s="33">
        <v>2</v>
      </c>
      <c r="AC24" s="505">
        <v>0.2857142857142857</v>
      </c>
      <c r="AD24" s="332"/>
      <c r="AE24" s="332"/>
    </row>
    <row r="25" spans="1:31" ht="20.100000000000001" customHeight="1">
      <c r="A25" s="80"/>
      <c r="B25" s="80"/>
      <c r="C25" s="80"/>
      <c r="D25" s="80"/>
      <c r="E25" s="80"/>
      <c r="F25" s="80"/>
      <c r="G25" s="80"/>
      <c r="H25" s="80"/>
      <c r="I25" s="82" t="str">
        <f>TEXT(W17,)</f>
        <v/>
      </c>
      <c r="J25" s="82"/>
      <c r="K25" s="80"/>
      <c r="L25" s="80"/>
      <c r="M25" s="80"/>
      <c r="N25" s="80"/>
      <c r="O25" s="80"/>
      <c r="P25" s="80"/>
      <c r="Q25" s="80"/>
      <c r="R25" s="80"/>
      <c r="S25" s="82" t="str">
        <f>TEXT(AA17,)</f>
        <v/>
      </c>
      <c r="T25" s="80"/>
      <c r="U25" s="506"/>
      <c r="V25" s="79"/>
      <c r="W25" s="79" t="s">
        <v>225</v>
      </c>
      <c r="X25" s="79">
        <v>2</v>
      </c>
      <c r="Y25" s="505">
        <v>0.4</v>
      </c>
      <c r="Z25" s="79"/>
      <c r="AA25" s="33" t="s">
        <v>225</v>
      </c>
      <c r="AB25" s="33">
        <v>3</v>
      </c>
      <c r="AC25" s="505">
        <v>0.42857142857142855</v>
      </c>
      <c r="AD25" s="332"/>
      <c r="AE25" s="332"/>
    </row>
    <row r="26" spans="1:31" ht="20.100000000000001" customHeight="1">
      <c r="A26" s="80"/>
      <c r="B26" s="80"/>
      <c r="C26" s="80"/>
      <c r="D26" s="80"/>
      <c r="E26" s="80"/>
      <c r="F26" s="80"/>
      <c r="G26" s="80"/>
      <c r="H26" s="80"/>
      <c r="I26" s="82" t="str">
        <f>TEXT(W16,)</f>
        <v/>
      </c>
      <c r="J26" s="82"/>
      <c r="K26" s="80"/>
      <c r="L26" s="80"/>
      <c r="M26" s="80"/>
      <c r="N26" s="80"/>
      <c r="O26" s="80"/>
      <c r="P26" s="80"/>
      <c r="Q26" s="80"/>
      <c r="R26" s="80"/>
      <c r="S26" s="82" t="str">
        <f>TEXT(AA16,)</f>
        <v/>
      </c>
      <c r="T26" s="80"/>
      <c r="U26" s="506"/>
      <c r="V26" s="79"/>
      <c r="W26" s="83" t="s">
        <v>210</v>
      </c>
      <c r="X26" s="79">
        <v>5</v>
      </c>
      <c r="Y26" s="505">
        <v>1</v>
      </c>
      <c r="Z26" s="79"/>
      <c r="AA26" s="206" t="s">
        <v>210</v>
      </c>
      <c r="AB26" s="33">
        <v>7</v>
      </c>
      <c r="AC26" s="505">
        <v>1</v>
      </c>
      <c r="AD26" s="332"/>
      <c r="AE26" s="332"/>
    </row>
    <row r="27" spans="1:31" ht="20.100000000000001" customHeight="1">
      <c r="A27" s="80"/>
      <c r="B27" s="80"/>
      <c r="C27" s="80"/>
      <c r="D27" s="80"/>
      <c r="E27" s="80"/>
      <c r="F27" s="80"/>
      <c r="G27" s="80"/>
      <c r="H27" s="80"/>
      <c r="I27" s="82" t="str">
        <f>TEXT(W15,)</f>
        <v/>
      </c>
      <c r="J27" s="82"/>
      <c r="K27" s="80"/>
      <c r="L27" s="80"/>
      <c r="M27" s="80"/>
      <c r="N27" s="80"/>
      <c r="O27" s="80"/>
      <c r="P27" s="80"/>
      <c r="Q27" s="80"/>
      <c r="R27" s="80"/>
      <c r="S27" s="82" t="str">
        <f>TEXT(AA15,)</f>
        <v/>
      </c>
      <c r="T27" s="80"/>
      <c r="U27" s="506"/>
      <c r="V27" s="79"/>
      <c r="W27" s="507" t="s">
        <v>469</v>
      </c>
      <c r="X27" s="507"/>
      <c r="Y27" s="507"/>
      <c r="Z27" s="79"/>
      <c r="AA27" s="507" t="s">
        <v>445</v>
      </c>
      <c r="AB27" s="507"/>
      <c r="AC27" s="507"/>
      <c r="AD27" s="332"/>
      <c r="AE27" s="332"/>
    </row>
    <row r="28" spans="1:31" ht="24.95" customHeight="1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506"/>
      <c r="V28" s="79"/>
      <c r="W28" s="79" t="s">
        <v>26</v>
      </c>
      <c r="X28" s="79">
        <v>0</v>
      </c>
      <c r="Y28" s="505">
        <v>0</v>
      </c>
      <c r="Z28" s="79"/>
      <c r="AA28" s="79" t="s">
        <v>26</v>
      </c>
      <c r="AB28" s="79">
        <v>1</v>
      </c>
      <c r="AC28" s="505">
        <v>5.5555555555555552E-2</v>
      </c>
      <c r="AD28" s="332"/>
      <c r="AE28" s="332"/>
    </row>
    <row r="29" spans="1:31" ht="24.95" customHeight="1">
      <c r="A29" s="80"/>
      <c r="B29" s="80"/>
      <c r="C29" s="445" t="str">
        <f>W27</f>
        <v>Vyrai, 15-29 metų (17 atv.)</v>
      </c>
      <c r="D29" s="445"/>
      <c r="E29" s="445"/>
      <c r="F29" s="445"/>
      <c r="G29" s="445"/>
      <c r="H29" s="445"/>
      <c r="I29" s="445"/>
      <c r="J29" s="81"/>
      <c r="K29" s="80"/>
      <c r="L29" s="80"/>
      <c r="M29" s="445" t="str">
        <f>AA27</f>
        <v>Moterys, 15-29 metų (18 atv.)</v>
      </c>
      <c r="N29" s="445"/>
      <c r="O29" s="445"/>
      <c r="P29" s="445"/>
      <c r="Q29" s="445"/>
      <c r="R29" s="445"/>
      <c r="S29" s="445"/>
      <c r="T29" s="80"/>
      <c r="U29" s="80"/>
      <c r="V29" s="332"/>
      <c r="W29" s="332" t="s">
        <v>212</v>
      </c>
      <c r="X29" s="332">
        <v>1</v>
      </c>
      <c r="Y29" s="333">
        <v>5.8823529411764705E-2</v>
      </c>
      <c r="Z29" s="332"/>
      <c r="AA29" s="332" t="s">
        <v>215</v>
      </c>
      <c r="AB29" s="332">
        <v>1</v>
      </c>
      <c r="AC29" s="333">
        <v>5.5555555555555552E-2</v>
      </c>
      <c r="AD29" s="332"/>
      <c r="AE29" s="332"/>
    </row>
    <row r="30" spans="1:31" ht="20.100000000000001" customHeight="1">
      <c r="A30" s="80"/>
      <c r="B30" s="80"/>
      <c r="C30" s="80"/>
      <c r="D30" s="80"/>
      <c r="E30" s="80"/>
      <c r="F30" s="80"/>
      <c r="G30" s="80"/>
      <c r="H30" s="80"/>
      <c r="I30" s="82" t="str">
        <f>W38</f>
        <v>Leukemijos</v>
      </c>
      <c r="J30" s="80"/>
      <c r="K30" s="80"/>
      <c r="L30" s="80"/>
      <c r="M30" s="80"/>
      <c r="N30" s="80"/>
      <c r="O30" s="80"/>
      <c r="P30" s="80"/>
      <c r="Q30" s="80"/>
      <c r="R30" s="80"/>
      <c r="S30" s="82" t="str">
        <f>AA38</f>
        <v>Smegenų</v>
      </c>
      <c r="T30" s="80"/>
      <c r="U30" s="80"/>
      <c r="V30" s="332"/>
      <c r="W30" s="332" t="s">
        <v>217</v>
      </c>
      <c r="X30" s="332">
        <v>1</v>
      </c>
      <c r="Y30" s="333">
        <v>5.8823529411764705E-2</v>
      </c>
      <c r="Z30" s="332"/>
      <c r="AA30" s="332" t="s">
        <v>217</v>
      </c>
      <c r="AB30" s="332">
        <v>1</v>
      </c>
      <c r="AC30" s="333">
        <v>5.5555555555555552E-2</v>
      </c>
      <c r="AD30" s="332"/>
      <c r="AE30" s="332"/>
    </row>
    <row r="31" spans="1:31" ht="20.100000000000001" customHeight="1">
      <c r="A31" s="80"/>
      <c r="B31" s="80"/>
      <c r="C31" s="80"/>
      <c r="D31" s="80"/>
      <c r="E31" s="80"/>
      <c r="F31" s="80"/>
      <c r="G31" s="80"/>
      <c r="H31" s="80"/>
      <c r="I31" s="82" t="str">
        <f>W37</f>
        <v>Smegenų</v>
      </c>
      <c r="J31" s="80"/>
      <c r="K31" s="80"/>
      <c r="L31" s="80"/>
      <c r="M31" s="80"/>
      <c r="N31" s="80"/>
      <c r="O31" s="80"/>
      <c r="P31" s="80"/>
      <c r="Q31" s="80"/>
      <c r="R31" s="80"/>
      <c r="S31" s="82" t="str">
        <f>AA37</f>
        <v>Kaulų ir jungiamojo audinio</v>
      </c>
      <c r="T31" s="80"/>
      <c r="U31" s="80"/>
      <c r="V31" s="332"/>
      <c r="W31" s="332" t="s">
        <v>229</v>
      </c>
      <c r="X31" s="332">
        <v>1</v>
      </c>
      <c r="Y31" s="333">
        <v>5.8823529411764705E-2</v>
      </c>
      <c r="Z31" s="332"/>
      <c r="AA31" s="332" t="s">
        <v>229</v>
      </c>
      <c r="AB31" s="332">
        <v>1</v>
      </c>
      <c r="AC31" s="333">
        <v>5.5555555555555552E-2</v>
      </c>
      <c r="AD31" s="332"/>
      <c r="AE31" s="332"/>
    </row>
    <row r="32" spans="1:31" ht="20.100000000000001" customHeight="1">
      <c r="A32" s="80"/>
      <c r="B32" s="80"/>
      <c r="C32" s="80"/>
      <c r="D32" s="80"/>
      <c r="E32" s="80"/>
      <c r="F32" s="80"/>
      <c r="G32" s="80"/>
      <c r="H32" s="80"/>
      <c r="I32" s="82" t="str">
        <f>W36</f>
        <v>Kaulų ir jungiamojo audinio</v>
      </c>
      <c r="J32" s="80"/>
      <c r="K32" s="80"/>
      <c r="L32" s="80"/>
      <c r="M32" s="80"/>
      <c r="N32" s="80"/>
      <c r="O32" s="80"/>
      <c r="P32" s="80"/>
      <c r="Q32" s="80"/>
      <c r="R32" s="80"/>
      <c r="S32" s="82" t="str">
        <f>AA36</f>
        <v>Gimdos kaklelio</v>
      </c>
      <c r="T32" s="80"/>
      <c r="U32" s="80"/>
      <c r="V32" s="332"/>
      <c r="W32" s="332" t="s">
        <v>218</v>
      </c>
      <c r="X32" s="332">
        <v>1</v>
      </c>
      <c r="Y32" s="333">
        <v>5.8823529411764705E-2</v>
      </c>
      <c r="Z32" s="332"/>
      <c r="AA32" s="332" t="s">
        <v>234</v>
      </c>
      <c r="AB32" s="332">
        <v>1</v>
      </c>
      <c r="AC32" s="333">
        <v>5.5555555555555552E-2</v>
      </c>
      <c r="AD32" s="332"/>
      <c r="AE32" s="332"/>
    </row>
    <row r="33" spans="1:31" ht="20.100000000000001" customHeight="1">
      <c r="A33" s="80"/>
      <c r="B33" s="80"/>
      <c r="C33" s="80"/>
      <c r="D33" s="80"/>
      <c r="E33" s="80"/>
      <c r="F33" s="80"/>
      <c r="G33" s="80"/>
      <c r="H33" s="80"/>
      <c r="I33" s="82" t="str">
        <f>W35</f>
        <v>Skrandžio</v>
      </c>
      <c r="J33" s="80"/>
      <c r="K33" s="80"/>
      <c r="L33" s="80"/>
      <c r="M33" s="80"/>
      <c r="N33" s="80"/>
      <c r="O33" s="80"/>
      <c r="P33" s="80"/>
      <c r="Q33" s="80"/>
      <c r="R33" s="80"/>
      <c r="S33" s="82" t="str">
        <f>AA35</f>
        <v>Ne Hodžkino limfomos</v>
      </c>
      <c r="T33" s="80"/>
      <c r="U33" s="80"/>
      <c r="V33" s="332"/>
      <c r="W33" s="332" t="s">
        <v>236</v>
      </c>
      <c r="X33" s="332">
        <v>1</v>
      </c>
      <c r="Y33" s="333">
        <v>5.8823529411764705E-2</v>
      </c>
      <c r="Z33" s="332"/>
      <c r="AA33" s="332" t="s">
        <v>235</v>
      </c>
      <c r="AB33" s="332">
        <v>1</v>
      </c>
      <c r="AC33" s="333">
        <v>5.5555555555555552E-2</v>
      </c>
      <c r="AD33" s="332"/>
      <c r="AE33" s="332"/>
    </row>
    <row r="34" spans="1:31" ht="20.100000000000001" customHeight="1">
      <c r="A34" s="80"/>
      <c r="B34" s="80"/>
      <c r="C34" s="80"/>
      <c r="D34" s="80"/>
      <c r="E34" s="80"/>
      <c r="F34" s="80"/>
      <c r="G34" s="80"/>
      <c r="H34" s="80"/>
      <c r="I34" s="82" t="str">
        <f>W34</f>
        <v>Hodžkino limfomos</v>
      </c>
      <c r="J34" s="80"/>
      <c r="K34" s="80"/>
      <c r="L34" s="80"/>
      <c r="M34" s="80"/>
      <c r="N34" s="80"/>
      <c r="O34" s="80"/>
      <c r="P34" s="80"/>
      <c r="Q34" s="80"/>
      <c r="R34" s="80"/>
      <c r="S34" s="82" t="str">
        <f>AA34</f>
        <v>Nepatikslintos lokalizacijos</v>
      </c>
      <c r="T34" s="80"/>
      <c r="U34" s="80"/>
      <c r="V34" s="332"/>
      <c r="W34" s="332" t="s">
        <v>223</v>
      </c>
      <c r="X34" s="332">
        <v>1</v>
      </c>
      <c r="Y34" s="333">
        <v>5.8823529411764705E-2</v>
      </c>
      <c r="Z34" s="332"/>
      <c r="AA34" s="332" t="s">
        <v>236</v>
      </c>
      <c r="AB34" s="332">
        <v>1</v>
      </c>
      <c r="AC34" s="333">
        <v>5.5555555555555552E-2</v>
      </c>
      <c r="AD34" s="332"/>
      <c r="AE34" s="332"/>
    </row>
    <row r="35" spans="1:31" ht="20.100000000000001" customHeight="1">
      <c r="A35" s="80"/>
      <c r="B35" s="80"/>
      <c r="C35" s="80"/>
      <c r="D35" s="80"/>
      <c r="E35" s="80"/>
      <c r="F35" s="80"/>
      <c r="G35" s="80"/>
      <c r="H35" s="80"/>
      <c r="I35" s="82" t="str">
        <f>W33</f>
        <v>Nepatikslintos lokalizacijos</v>
      </c>
      <c r="J35" s="80"/>
      <c r="K35" s="80"/>
      <c r="L35" s="80"/>
      <c r="M35" s="80"/>
      <c r="N35" s="80"/>
      <c r="O35" s="80"/>
      <c r="P35" s="80"/>
      <c r="Q35" s="80"/>
      <c r="R35" s="80"/>
      <c r="S35" s="82" t="str">
        <f>AA33</f>
        <v>Kitų endokrininių liaukų</v>
      </c>
      <c r="T35" s="80"/>
      <c r="U35" s="80"/>
      <c r="V35" s="332"/>
      <c r="W35" s="332" t="s">
        <v>215</v>
      </c>
      <c r="X35" s="332">
        <v>2</v>
      </c>
      <c r="Y35" s="333">
        <v>0.11764705882352941</v>
      </c>
      <c r="Z35" s="332"/>
      <c r="AA35" s="332" t="s">
        <v>226</v>
      </c>
      <c r="AB35" s="332">
        <v>1</v>
      </c>
      <c r="AC35" s="333">
        <v>5.5555555555555552E-2</v>
      </c>
      <c r="AD35" s="332"/>
      <c r="AE35" s="332"/>
    </row>
    <row r="36" spans="1:31" ht="20.100000000000001" customHeight="1">
      <c r="A36" s="80"/>
      <c r="B36" s="80"/>
      <c r="C36" s="80"/>
      <c r="D36" s="80"/>
      <c r="E36" s="80"/>
      <c r="F36" s="80"/>
      <c r="G36" s="80"/>
      <c r="H36" s="80"/>
      <c r="I36" s="82" t="str">
        <f>W32</f>
        <v>Priešinės liaukos</v>
      </c>
      <c r="J36" s="80"/>
      <c r="K36" s="80"/>
      <c r="L36" s="80"/>
      <c r="M36" s="80"/>
      <c r="N36" s="80"/>
      <c r="O36" s="80"/>
      <c r="P36" s="80"/>
      <c r="Q36" s="80"/>
      <c r="R36" s="80"/>
      <c r="S36" s="82" t="str">
        <f>AA32</f>
        <v>Krūties</v>
      </c>
      <c r="T36" s="80"/>
      <c r="U36" s="80"/>
      <c r="V36" s="332"/>
      <c r="W36" s="332" t="s">
        <v>228</v>
      </c>
      <c r="X36" s="332">
        <v>2</v>
      </c>
      <c r="Y36" s="333">
        <v>0.11764705882352941</v>
      </c>
      <c r="Z36" s="332"/>
      <c r="AA36" s="332" t="s">
        <v>232</v>
      </c>
      <c r="AB36" s="332">
        <v>2</v>
      </c>
      <c r="AC36" s="333">
        <v>0.1111111111111111</v>
      </c>
      <c r="AD36" s="332"/>
      <c r="AE36" s="332"/>
    </row>
    <row r="37" spans="1:31" ht="20.100000000000001" customHeight="1">
      <c r="A37" s="80"/>
      <c r="B37" s="80"/>
      <c r="C37" s="80"/>
      <c r="D37" s="80"/>
      <c r="E37" s="80"/>
      <c r="F37" s="80"/>
      <c r="G37" s="80"/>
      <c r="H37" s="80"/>
      <c r="I37" s="82" t="str">
        <f>W31</f>
        <v>Odos melanoma</v>
      </c>
      <c r="J37" s="80"/>
      <c r="K37" s="80"/>
      <c r="L37" s="80"/>
      <c r="M37" s="80"/>
      <c r="N37" s="80"/>
      <c r="O37" s="80"/>
      <c r="P37" s="80"/>
      <c r="Q37" s="80"/>
      <c r="R37" s="80"/>
      <c r="S37" s="82" t="str">
        <f>AA31</f>
        <v>Odos melanoma</v>
      </c>
      <c r="T37" s="80"/>
      <c r="U37" s="80"/>
      <c r="V37" s="332"/>
      <c r="W37" s="332" t="s">
        <v>225</v>
      </c>
      <c r="X37" s="332">
        <v>3</v>
      </c>
      <c r="Y37" s="333">
        <v>0.17647058823529413</v>
      </c>
      <c r="Z37" s="332"/>
      <c r="AA37" s="332" t="s">
        <v>228</v>
      </c>
      <c r="AB37" s="332">
        <v>4</v>
      </c>
      <c r="AC37" s="333">
        <v>0.22222222222222221</v>
      </c>
      <c r="AD37" s="332"/>
      <c r="AE37" s="332"/>
    </row>
    <row r="38" spans="1:31" ht="20.100000000000001" customHeight="1">
      <c r="A38" s="80"/>
      <c r="B38" s="80"/>
      <c r="C38" s="80"/>
      <c r="D38" s="80"/>
      <c r="E38" s="80"/>
      <c r="F38" s="80"/>
      <c r="G38" s="80"/>
      <c r="H38" s="80"/>
      <c r="I38" s="82" t="str">
        <f>W30</f>
        <v>Plaučių, trachėjos, bronchų</v>
      </c>
      <c r="J38" s="80"/>
      <c r="K38" s="80"/>
      <c r="L38" s="80"/>
      <c r="M38" s="80"/>
      <c r="N38" s="80"/>
      <c r="O38" s="80"/>
      <c r="P38" s="80"/>
      <c r="Q38" s="80"/>
      <c r="R38" s="80"/>
      <c r="S38" s="82" t="str">
        <f>AA30</f>
        <v>Plaučių, trachėjos, bronchų</v>
      </c>
      <c r="T38" s="80"/>
      <c r="U38" s="80"/>
      <c r="V38" s="332"/>
      <c r="W38" s="332" t="s">
        <v>227</v>
      </c>
      <c r="X38" s="332">
        <v>4</v>
      </c>
      <c r="Y38" s="333">
        <v>0.23529411764705882</v>
      </c>
      <c r="Z38" s="332"/>
      <c r="AA38" s="332" t="s">
        <v>225</v>
      </c>
      <c r="AB38" s="332">
        <v>4</v>
      </c>
      <c r="AC38" s="333">
        <v>0.22222222222222221</v>
      </c>
      <c r="AD38" s="332"/>
      <c r="AE38" s="332"/>
    </row>
    <row r="39" spans="1:31" ht="20.100000000000001" customHeight="1">
      <c r="A39" s="80"/>
      <c r="B39" s="80"/>
      <c r="C39" s="80"/>
      <c r="D39" s="80"/>
      <c r="E39" s="80"/>
      <c r="F39" s="80"/>
      <c r="G39" s="80"/>
      <c r="H39" s="80"/>
      <c r="I39" s="82" t="str">
        <f>W29</f>
        <v>Tiesiosios žarnos, išangės</v>
      </c>
      <c r="J39" s="80"/>
      <c r="K39" s="80"/>
      <c r="L39" s="80"/>
      <c r="M39" s="80"/>
      <c r="N39" s="80"/>
      <c r="O39" s="80"/>
      <c r="P39" s="80"/>
      <c r="Q39" s="80"/>
      <c r="R39" s="80"/>
      <c r="S39" s="82" t="str">
        <f>AA29</f>
        <v>Skrandžio</v>
      </c>
      <c r="T39" s="80"/>
      <c r="U39" s="80"/>
      <c r="V39" s="332"/>
      <c r="W39" s="334" t="s">
        <v>210</v>
      </c>
      <c r="X39" s="332">
        <v>17</v>
      </c>
      <c r="Y39" s="333">
        <v>1</v>
      </c>
      <c r="Z39" s="332"/>
      <c r="AA39" s="334" t="s">
        <v>210</v>
      </c>
      <c r="AB39" s="332">
        <v>18</v>
      </c>
      <c r="AC39" s="333">
        <v>1</v>
      </c>
      <c r="AD39" s="332"/>
      <c r="AE39" s="332"/>
    </row>
    <row r="40" spans="1:31" ht="20.100000000000001" customHeight="1">
      <c r="A40" s="80"/>
      <c r="B40" s="80"/>
      <c r="C40" s="80"/>
      <c r="D40" s="80"/>
      <c r="E40" s="80"/>
      <c r="F40" s="80"/>
      <c r="G40" s="80"/>
      <c r="H40" s="80"/>
      <c r="I40" s="82" t="str">
        <f>W28</f>
        <v>Kiti</v>
      </c>
      <c r="J40" s="80"/>
      <c r="K40" s="80"/>
      <c r="L40" s="80"/>
      <c r="M40" s="80"/>
      <c r="N40" s="80"/>
      <c r="O40" s="80"/>
      <c r="P40" s="80"/>
      <c r="Q40" s="80"/>
      <c r="R40" s="80"/>
      <c r="S40" s="82" t="str">
        <f>TEXT(AA28,)</f>
        <v>Kiti</v>
      </c>
      <c r="T40" s="80"/>
      <c r="U40" s="80"/>
      <c r="V40" s="332"/>
      <c r="W40" s="444" t="s">
        <v>470</v>
      </c>
      <c r="X40" s="444"/>
      <c r="Y40" s="444"/>
      <c r="Z40" s="332"/>
      <c r="AA40" s="444" t="s">
        <v>474</v>
      </c>
      <c r="AB40" s="444"/>
      <c r="AC40" s="444"/>
      <c r="AD40" s="332"/>
      <c r="AE40" s="332"/>
    </row>
    <row r="41" spans="1:31" ht="24.95" customHeight="1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332"/>
      <c r="W41" s="332" t="s">
        <v>26</v>
      </c>
      <c r="X41" s="332">
        <v>110</v>
      </c>
      <c r="Y41" s="333">
        <v>0.2286902286902287</v>
      </c>
      <c r="Z41" s="332"/>
      <c r="AA41" s="332" t="s">
        <v>26</v>
      </c>
      <c r="AB41" s="332">
        <v>78</v>
      </c>
      <c r="AC41" s="333">
        <v>0.18309859154929578</v>
      </c>
      <c r="AD41" s="332"/>
      <c r="AE41" s="332"/>
    </row>
    <row r="42" spans="1:31" ht="24.95" customHeight="1">
      <c r="A42" s="80"/>
      <c r="B42" s="80"/>
      <c r="C42" s="445" t="str">
        <f>W40</f>
        <v>Vyrai, 30-54 metų (481 atv.)</v>
      </c>
      <c r="D42" s="445"/>
      <c r="E42" s="445"/>
      <c r="F42" s="445"/>
      <c r="G42" s="445"/>
      <c r="H42" s="445"/>
      <c r="I42" s="445"/>
      <c r="J42" s="85"/>
      <c r="K42" s="80"/>
      <c r="L42" s="80"/>
      <c r="M42" s="445" t="str">
        <f>AA40</f>
        <v>Moterys, 30-54 metų (426 atv.)</v>
      </c>
      <c r="N42" s="445"/>
      <c r="O42" s="445"/>
      <c r="P42" s="445"/>
      <c r="Q42" s="445"/>
      <c r="R42" s="445"/>
      <c r="S42" s="445"/>
      <c r="T42" s="80"/>
      <c r="U42" s="80"/>
      <c r="V42" s="332"/>
      <c r="W42" s="332" t="s">
        <v>442</v>
      </c>
      <c r="X42" s="332">
        <v>14</v>
      </c>
      <c r="Y42" s="333">
        <v>2.9106029106029108E-2</v>
      </c>
      <c r="Z42" s="332"/>
      <c r="AA42" s="332" t="s">
        <v>214</v>
      </c>
      <c r="AB42" s="332">
        <v>13</v>
      </c>
      <c r="AC42" s="333">
        <v>3.0516431924882629E-2</v>
      </c>
      <c r="AD42" s="332"/>
      <c r="AE42" s="332"/>
    </row>
    <row r="43" spans="1:31" ht="20.100000000000001" customHeight="1">
      <c r="A43" s="80"/>
      <c r="B43" s="80"/>
      <c r="C43" s="80"/>
      <c r="D43" s="80"/>
      <c r="E43" s="80"/>
      <c r="F43" s="80"/>
      <c r="G43" s="80"/>
      <c r="H43" s="80"/>
      <c r="I43" s="82" t="str">
        <f>W51</f>
        <v>Plaučių, trachėjos, bronchų</v>
      </c>
      <c r="J43" s="80"/>
      <c r="K43" s="80"/>
      <c r="L43" s="80"/>
      <c r="M43" s="80"/>
      <c r="N43" s="80"/>
      <c r="O43" s="80"/>
      <c r="P43" s="80"/>
      <c r="Q43" s="80"/>
      <c r="R43" s="80"/>
      <c r="S43" s="82" t="str">
        <f>AA51</f>
        <v>Krūties</v>
      </c>
      <c r="T43" s="80"/>
      <c r="U43" s="80"/>
      <c r="V43" s="332"/>
      <c r="W43" s="332" t="s">
        <v>213</v>
      </c>
      <c r="X43" s="332">
        <v>18</v>
      </c>
      <c r="Y43" s="333">
        <v>3.7422037422037424E-2</v>
      </c>
      <c r="Z43" s="332"/>
      <c r="AA43" s="332" t="s">
        <v>236</v>
      </c>
      <c r="AB43" s="332">
        <v>15</v>
      </c>
      <c r="AC43" s="333">
        <v>3.5211267605633804E-2</v>
      </c>
      <c r="AD43" s="332"/>
      <c r="AE43" s="332"/>
    </row>
    <row r="44" spans="1:31" ht="20.100000000000001" customHeight="1">
      <c r="A44" s="80"/>
      <c r="B44" s="80"/>
      <c r="C44" s="80"/>
      <c r="D44" s="80"/>
      <c r="E44" s="80"/>
      <c r="F44" s="80"/>
      <c r="G44" s="80"/>
      <c r="H44" s="80"/>
      <c r="I44" s="82" t="str">
        <f>W50</f>
        <v>Skrandžio</v>
      </c>
      <c r="J44" s="80"/>
      <c r="K44" s="80"/>
      <c r="L44" s="80"/>
      <c r="M44" s="80"/>
      <c r="N44" s="80"/>
      <c r="O44" s="80"/>
      <c r="P44" s="80"/>
      <c r="Q44" s="80"/>
      <c r="R44" s="80"/>
      <c r="S44" s="82" t="str">
        <f>AA50</f>
        <v>Gimdos kaklelio</v>
      </c>
      <c r="T44" s="80"/>
      <c r="U44" s="80"/>
      <c r="V44" s="332"/>
      <c r="W44" s="332" t="s">
        <v>236</v>
      </c>
      <c r="X44" s="332">
        <v>19</v>
      </c>
      <c r="Y44" s="333">
        <v>3.9501039501039503E-2</v>
      </c>
      <c r="Z44" s="332"/>
      <c r="AA44" s="332" t="s">
        <v>227</v>
      </c>
      <c r="AB44" s="332">
        <v>17</v>
      </c>
      <c r="AC44" s="333">
        <v>3.9906103286384977E-2</v>
      </c>
      <c r="AD44" s="332"/>
      <c r="AE44" s="332"/>
    </row>
    <row r="45" spans="1:31" ht="20.100000000000001" customHeight="1">
      <c r="A45" s="80"/>
      <c r="B45" s="80"/>
      <c r="C45" s="80"/>
      <c r="D45" s="80"/>
      <c r="E45" s="80"/>
      <c r="F45" s="80"/>
      <c r="G45" s="80"/>
      <c r="H45" s="80"/>
      <c r="I45" s="82" t="str">
        <f>W49</f>
        <v>Burnos ertmės ir ryklės</v>
      </c>
      <c r="J45" s="80"/>
      <c r="K45" s="80"/>
      <c r="L45" s="80"/>
      <c r="M45" s="80"/>
      <c r="N45" s="80"/>
      <c r="O45" s="80"/>
      <c r="P45" s="80"/>
      <c r="Q45" s="80"/>
      <c r="R45" s="80"/>
      <c r="S45" s="82" t="str">
        <f>AA49</f>
        <v>Kiaušidžių</v>
      </c>
      <c r="T45" s="80"/>
      <c r="U45" s="80"/>
      <c r="V45" s="332"/>
      <c r="W45" s="332" t="s">
        <v>230</v>
      </c>
      <c r="X45" s="332">
        <v>24</v>
      </c>
      <c r="Y45" s="333">
        <v>4.9896049896049899E-2</v>
      </c>
      <c r="Z45" s="332"/>
      <c r="AA45" s="332" t="s">
        <v>212</v>
      </c>
      <c r="AB45" s="332">
        <v>20</v>
      </c>
      <c r="AC45" s="333">
        <v>4.6948356807511735E-2</v>
      </c>
      <c r="AD45" s="332"/>
      <c r="AE45" s="332"/>
    </row>
    <row r="46" spans="1:31" ht="20.100000000000001" customHeight="1">
      <c r="A46" s="80"/>
      <c r="B46" s="80"/>
      <c r="C46" s="80"/>
      <c r="D46" s="80"/>
      <c r="E46" s="80"/>
      <c r="F46" s="80"/>
      <c r="G46" s="80"/>
      <c r="H46" s="80"/>
      <c r="I46" s="82" t="str">
        <f>W48</f>
        <v>Smegenų</v>
      </c>
      <c r="J46" s="80"/>
      <c r="K46" s="80"/>
      <c r="L46" s="80"/>
      <c r="M46" s="80"/>
      <c r="N46" s="80"/>
      <c r="O46" s="80"/>
      <c r="P46" s="80"/>
      <c r="Q46" s="80"/>
      <c r="R46" s="80"/>
      <c r="S46" s="82" t="str">
        <f>AA48</f>
        <v>Smegenų</v>
      </c>
      <c r="T46" s="80"/>
      <c r="U46" s="80"/>
      <c r="V46" s="332"/>
      <c r="W46" s="332" t="s">
        <v>422</v>
      </c>
      <c r="X46" s="332">
        <v>28</v>
      </c>
      <c r="Y46" s="333">
        <v>5.8212058212058215E-2</v>
      </c>
      <c r="Z46" s="332"/>
      <c r="AA46" s="332" t="s">
        <v>215</v>
      </c>
      <c r="AB46" s="332">
        <v>23</v>
      </c>
      <c r="AC46" s="333">
        <v>5.39906103286385E-2</v>
      </c>
      <c r="AD46" s="332"/>
      <c r="AE46" s="332"/>
    </row>
    <row r="47" spans="1:31" ht="20.100000000000001" customHeight="1">
      <c r="A47" s="80"/>
      <c r="B47" s="80"/>
      <c r="C47" s="80"/>
      <c r="D47" s="80"/>
      <c r="E47" s="80"/>
      <c r="F47" s="80"/>
      <c r="G47" s="80"/>
      <c r="H47" s="80"/>
      <c r="I47" s="82" t="str">
        <f>W47</f>
        <v>Kasos</v>
      </c>
      <c r="J47" s="80"/>
      <c r="K47" s="80"/>
      <c r="L47" s="80"/>
      <c r="M47" s="80"/>
      <c r="N47" s="80"/>
      <c r="O47" s="80"/>
      <c r="P47" s="80"/>
      <c r="Q47" s="80"/>
      <c r="R47" s="80"/>
      <c r="S47" s="82" t="str">
        <f>AA47</f>
        <v>Plaučių, trachėjos, bronchų</v>
      </c>
      <c r="T47" s="80"/>
      <c r="U47" s="80"/>
      <c r="V47" s="332"/>
      <c r="W47" s="332" t="s">
        <v>219</v>
      </c>
      <c r="X47" s="332">
        <v>33</v>
      </c>
      <c r="Y47" s="333">
        <v>6.8607068607068611E-2</v>
      </c>
      <c r="Z47" s="332"/>
      <c r="AA47" s="332" t="s">
        <v>217</v>
      </c>
      <c r="AB47" s="332">
        <v>24</v>
      </c>
      <c r="AC47" s="333">
        <v>5.6338028169014086E-2</v>
      </c>
      <c r="AD47" s="332"/>
      <c r="AE47" s="332"/>
    </row>
    <row r="48" spans="1:31" ht="20.100000000000001" customHeight="1">
      <c r="A48" s="80"/>
      <c r="B48" s="80"/>
      <c r="C48" s="80"/>
      <c r="D48" s="80"/>
      <c r="E48" s="80"/>
      <c r="F48" s="80"/>
      <c r="G48" s="80"/>
      <c r="H48" s="80"/>
      <c r="I48" s="82" t="str">
        <f>W46</f>
        <v>Stemplės</v>
      </c>
      <c r="J48" s="80"/>
      <c r="K48" s="80"/>
      <c r="L48" s="80"/>
      <c r="M48" s="80"/>
      <c r="N48" s="80"/>
      <c r="O48" s="80"/>
      <c r="P48" s="80"/>
      <c r="Q48" s="80"/>
      <c r="R48" s="80"/>
      <c r="S48" s="82" t="str">
        <f>AA46</f>
        <v>Skrandžio</v>
      </c>
      <c r="T48" s="80"/>
      <c r="U48" s="80"/>
      <c r="V48" s="332"/>
      <c r="W48" s="332" t="s">
        <v>225</v>
      </c>
      <c r="X48" s="332">
        <v>35</v>
      </c>
      <c r="Y48" s="333">
        <v>7.2765072765072769E-2</v>
      </c>
      <c r="Z48" s="332"/>
      <c r="AA48" s="332" t="s">
        <v>225</v>
      </c>
      <c r="AB48" s="332">
        <v>32</v>
      </c>
      <c r="AC48" s="333">
        <v>7.5117370892018781E-2</v>
      </c>
      <c r="AD48" s="332"/>
      <c r="AE48" s="332"/>
    </row>
    <row r="49" spans="1:31" ht="20.100000000000001" customHeight="1">
      <c r="A49" s="80"/>
      <c r="B49" s="80"/>
      <c r="C49" s="80"/>
      <c r="D49" s="80"/>
      <c r="E49" s="80"/>
      <c r="F49" s="80"/>
      <c r="G49" s="80"/>
      <c r="H49" s="80"/>
      <c r="I49" s="82" t="str">
        <f>W45</f>
        <v>Gerklų</v>
      </c>
      <c r="J49" s="80"/>
      <c r="K49" s="80"/>
      <c r="L49" s="80"/>
      <c r="M49" s="80"/>
      <c r="N49" s="80"/>
      <c r="O49" s="80"/>
      <c r="P49" s="80"/>
      <c r="Q49" s="80"/>
      <c r="R49" s="80"/>
      <c r="S49" s="82" t="str">
        <f>AA45</f>
        <v>Tiesiosios žarnos, išangės</v>
      </c>
      <c r="T49" s="80"/>
      <c r="U49" s="80"/>
      <c r="V49" s="332"/>
      <c r="W49" s="332" t="s">
        <v>211</v>
      </c>
      <c r="X49" s="332">
        <v>44</v>
      </c>
      <c r="Y49" s="333">
        <v>9.1476091476091481E-2</v>
      </c>
      <c r="Z49" s="332"/>
      <c r="AA49" s="332" t="s">
        <v>231</v>
      </c>
      <c r="AB49" s="332">
        <v>49</v>
      </c>
      <c r="AC49" s="333">
        <v>0.11502347417840375</v>
      </c>
      <c r="AD49" s="332"/>
      <c r="AE49" s="332"/>
    </row>
    <row r="50" spans="1:31" ht="20.100000000000001" customHeight="1">
      <c r="A50" s="80"/>
      <c r="B50" s="80"/>
      <c r="C50" s="80"/>
      <c r="D50" s="80"/>
      <c r="E50" s="80"/>
      <c r="F50" s="80"/>
      <c r="G50" s="80"/>
      <c r="H50" s="80"/>
      <c r="I50" s="82" t="str">
        <f>W44</f>
        <v>Nepatikslintos lokalizacijos</v>
      </c>
      <c r="J50" s="80"/>
      <c r="K50" s="80"/>
      <c r="L50" s="80"/>
      <c r="M50" s="80"/>
      <c r="N50" s="80"/>
      <c r="O50" s="80"/>
      <c r="P50" s="80"/>
      <c r="Q50" s="80"/>
      <c r="R50" s="80"/>
      <c r="S50" s="82" t="str">
        <f>AA44</f>
        <v>Leukemijos</v>
      </c>
      <c r="T50" s="80"/>
      <c r="U50" s="80"/>
      <c r="V50" s="332"/>
      <c r="W50" s="332" t="s">
        <v>215</v>
      </c>
      <c r="X50" s="332">
        <v>67</v>
      </c>
      <c r="Y50" s="333">
        <v>0.1392931392931393</v>
      </c>
      <c r="Z50" s="332"/>
      <c r="AA50" s="332" t="s">
        <v>232</v>
      </c>
      <c r="AB50" s="332">
        <v>62</v>
      </c>
      <c r="AC50" s="333">
        <v>0.14553990610328638</v>
      </c>
      <c r="AD50" s="332"/>
      <c r="AE50" s="332"/>
    </row>
    <row r="51" spans="1:31" ht="20.100000000000001" customHeight="1">
      <c r="A51" s="80"/>
      <c r="B51" s="80"/>
      <c r="C51" s="80"/>
      <c r="D51" s="80"/>
      <c r="E51" s="80"/>
      <c r="F51" s="80"/>
      <c r="G51" s="80"/>
      <c r="H51" s="80"/>
      <c r="I51" s="82" t="str">
        <f>W43</f>
        <v>Inkstų</v>
      </c>
      <c r="J51" s="80"/>
      <c r="K51" s="80"/>
      <c r="L51" s="80"/>
      <c r="M51" s="80"/>
      <c r="N51" s="80"/>
      <c r="O51" s="80"/>
      <c r="P51" s="80"/>
      <c r="Q51" s="80"/>
      <c r="R51" s="80"/>
      <c r="S51" s="82" t="str">
        <f>AA43</f>
        <v>Nepatikslintos lokalizacijos</v>
      </c>
      <c r="T51" s="80"/>
      <c r="U51" s="80"/>
      <c r="V51" s="332"/>
      <c r="W51" s="332" t="s">
        <v>217</v>
      </c>
      <c r="X51" s="332">
        <v>89</v>
      </c>
      <c r="Y51" s="333">
        <v>0.18503118503118504</v>
      </c>
      <c r="Z51" s="332"/>
      <c r="AA51" s="332" t="s">
        <v>234</v>
      </c>
      <c r="AB51" s="332">
        <v>93</v>
      </c>
      <c r="AC51" s="333">
        <v>0.21830985915492956</v>
      </c>
      <c r="AD51" s="332"/>
      <c r="AE51" s="332"/>
    </row>
    <row r="52" spans="1:31" ht="20.100000000000001" customHeight="1">
      <c r="A52" s="80"/>
      <c r="B52" s="80"/>
      <c r="C52" s="80"/>
      <c r="D52" s="80"/>
      <c r="E52" s="80"/>
      <c r="F52" s="80"/>
      <c r="G52" s="80"/>
      <c r="H52" s="80"/>
      <c r="I52" s="82" t="str">
        <f>W42</f>
        <v>Kepenų</v>
      </c>
      <c r="J52" s="80"/>
      <c r="K52" s="80"/>
      <c r="L52" s="80"/>
      <c r="M52" s="80"/>
      <c r="N52" s="80"/>
      <c r="O52" s="80"/>
      <c r="P52" s="80"/>
      <c r="Q52" s="80"/>
      <c r="R52" s="80"/>
      <c r="S52" s="82" t="str">
        <f>AA42</f>
        <v>Gaubtinės žarnos</v>
      </c>
      <c r="T52" s="80"/>
      <c r="U52" s="80"/>
      <c r="V52" s="332"/>
      <c r="W52" s="334" t="s">
        <v>210</v>
      </c>
      <c r="X52" s="332">
        <v>481</v>
      </c>
      <c r="Y52" s="333">
        <v>1</v>
      </c>
      <c r="Z52" s="332"/>
      <c r="AA52" s="334" t="s">
        <v>210</v>
      </c>
      <c r="AB52" s="332">
        <v>426</v>
      </c>
      <c r="AC52" s="333">
        <v>1</v>
      </c>
      <c r="AD52" s="332"/>
      <c r="AE52" s="332"/>
    </row>
    <row r="53" spans="1:31" ht="20.100000000000001" customHeight="1">
      <c r="A53" s="80"/>
      <c r="B53" s="80"/>
      <c r="C53" s="80"/>
      <c r="D53" s="80"/>
      <c r="E53" s="80"/>
      <c r="F53" s="80"/>
      <c r="G53" s="80"/>
      <c r="H53" s="80"/>
      <c r="I53" s="82" t="str">
        <f>W41</f>
        <v>Kiti</v>
      </c>
      <c r="J53" s="80"/>
      <c r="K53" s="80"/>
      <c r="L53" s="80"/>
      <c r="M53" s="80"/>
      <c r="N53" s="80"/>
      <c r="O53" s="80"/>
      <c r="P53" s="80"/>
      <c r="Q53" s="80"/>
      <c r="R53" s="80"/>
      <c r="S53" s="82" t="str">
        <f>AA41</f>
        <v>Kiti</v>
      </c>
      <c r="T53" s="80"/>
      <c r="U53" s="80"/>
      <c r="V53" s="332"/>
      <c r="W53" s="444" t="s">
        <v>471</v>
      </c>
      <c r="X53" s="444"/>
      <c r="Y53" s="444"/>
      <c r="Z53" s="332"/>
      <c r="AA53" s="444" t="s">
        <v>475</v>
      </c>
      <c r="AB53" s="444"/>
      <c r="AC53" s="444"/>
      <c r="AD53" s="332"/>
      <c r="AE53" s="332"/>
    </row>
    <row r="54" spans="1:31" ht="24.95" customHeight="1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332"/>
      <c r="W54" s="332" t="s">
        <v>26</v>
      </c>
      <c r="X54" s="332">
        <v>444</v>
      </c>
      <c r="Y54" s="333">
        <v>0.19388646288209607</v>
      </c>
      <c r="Z54" s="332"/>
      <c r="AA54" s="332" t="s">
        <v>26</v>
      </c>
      <c r="AB54" s="332">
        <v>389</v>
      </c>
      <c r="AC54" s="333">
        <v>0.27202797202797202</v>
      </c>
      <c r="AD54" s="332"/>
      <c r="AE54" s="332"/>
    </row>
    <row r="55" spans="1:31" ht="24.95" customHeight="1">
      <c r="A55" s="80"/>
      <c r="B55" s="80"/>
      <c r="C55" s="445" t="str">
        <f>W53</f>
        <v>Vyrai, 55-74 metų (2290 atv.)</v>
      </c>
      <c r="D55" s="445"/>
      <c r="E55" s="445"/>
      <c r="F55" s="445"/>
      <c r="G55" s="445"/>
      <c r="H55" s="445"/>
      <c r="I55" s="445"/>
      <c r="J55" s="80"/>
      <c r="K55" s="80"/>
      <c r="L55" s="80"/>
      <c r="M55" s="445" t="str">
        <f>AA53</f>
        <v>Moterys, 55-74 metų (1430 atv.)</v>
      </c>
      <c r="N55" s="445"/>
      <c r="O55" s="445"/>
      <c r="P55" s="445"/>
      <c r="Q55" s="445"/>
      <c r="R55" s="445"/>
      <c r="S55" s="445"/>
      <c r="T55" s="80"/>
      <c r="U55" s="80"/>
      <c r="V55" s="332"/>
      <c r="W55" s="332" t="s">
        <v>213</v>
      </c>
      <c r="X55" s="332">
        <v>86</v>
      </c>
      <c r="Y55" s="333">
        <v>3.7554585152838431E-2</v>
      </c>
      <c r="Z55" s="332"/>
      <c r="AA55" s="332" t="s">
        <v>232</v>
      </c>
      <c r="AB55" s="332">
        <v>71</v>
      </c>
      <c r="AC55" s="333">
        <v>4.9650349650349652E-2</v>
      </c>
      <c r="AD55" s="332"/>
      <c r="AE55" s="332"/>
    </row>
    <row r="56" spans="1:31" ht="20.100000000000001" customHeight="1">
      <c r="A56" s="80"/>
      <c r="B56" s="80"/>
      <c r="C56" s="80"/>
      <c r="D56" s="80"/>
      <c r="E56" s="80"/>
      <c r="F56" s="80"/>
      <c r="G56" s="80"/>
      <c r="H56" s="80"/>
      <c r="I56" s="82" t="str">
        <f>W64</f>
        <v>Plaučių, trachėjos, bronchų</v>
      </c>
      <c r="J56" s="80"/>
      <c r="K56" s="80"/>
      <c r="L56" s="80"/>
      <c r="M56" s="80"/>
      <c r="N56" s="80"/>
      <c r="O56" s="80"/>
      <c r="P56" s="80"/>
      <c r="Q56" s="80"/>
      <c r="R56" s="80"/>
      <c r="S56" s="82" t="str">
        <f>AA64</f>
        <v>Krūties</v>
      </c>
      <c r="T56" s="80"/>
      <c r="U56" s="80"/>
      <c r="V56" s="332"/>
      <c r="W56" s="332" t="s">
        <v>422</v>
      </c>
      <c r="X56" s="332">
        <v>102</v>
      </c>
      <c r="Y56" s="333">
        <v>4.4541484716157202E-2</v>
      </c>
      <c r="Z56" s="332"/>
      <c r="AA56" s="332" t="s">
        <v>212</v>
      </c>
      <c r="AB56" s="332">
        <v>73</v>
      </c>
      <c r="AC56" s="333">
        <v>5.1048951048951047E-2</v>
      </c>
      <c r="AD56" s="332"/>
      <c r="AE56" s="332"/>
    </row>
    <row r="57" spans="1:31" ht="20.100000000000001" customHeight="1">
      <c r="A57" s="80"/>
      <c r="B57" s="80"/>
      <c r="C57" s="80"/>
      <c r="D57" s="80"/>
      <c r="E57" s="80"/>
      <c r="F57" s="80"/>
      <c r="G57" s="80"/>
      <c r="H57" s="80"/>
      <c r="I57" s="82" t="str">
        <f>W63</f>
        <v>Skrandžio</v>
      </c>
      <c r="J57" s="80"/>
      <c r="K57" s="80"/>
      <c r="L57" s="80"/>
      <c r="M57" s="80"/>
      <c r="N57" s="80"/>
      <c r="O57" s="80"/>
      <c r="P57" s="80"/>
      <c r="Q57" s="80"/>
      <c r="R57" s="80"/>
      <c r="S57" s="82" t="str">
        <f>AA63</f>
        <v>Plaučių, trachėjos, bronchų</v>
      </c>
      <c r="T57" s="80"/>
      <c r="U57" s="80"/>
      <c r="V57" s="332"/>
      <c r="W57" s="332" t="s">
        <v>236</v>
      </c>
      <c r="X57" s="332">
        <v>105</v>
      </c>
      <c r="Y57" s="333">
        <v>4.5851528384279479E-2</v>
      </c>
      <c r="Z57" s="332"/>
      <c r="AA57" s="332" t="s">
        <v>236</v>
      </c>
      <c r="AB57" s="332">
        <v>74</v>
      </c>
      <c r="AC57" s="333">
        <v>5.1748251748251747E-2</v>
      </c>
      <c r="AD57" s="332"/>
      <c r="AE57" s="332"/>
    </row>
    <row r="58" spans="1:31" ht="20.100000000000001" customHeight="1">
      <c r="A58" s="80"/>
      <c r="B58" s="80"/>
      <c r="C58" s="80"/>
      <c r="D58" s="80"/>
      <c r="E58" s="80"/>
      <c r="F58" s="80"/>
      <c r="G58" s="80"/>
      <c r="H58" s="80"/>
      <c r="I58" s="82" t="str">
        <f>W62</f>
        <v>Priešinės liaukos</v>
      </c>
      <c r="J58" s="80"/>
      <c r="K58" s="80"/>
      <c r="L58" s="80"/>
      <c r="M58" s="80"/>
      <c r="N58" s="80"/>
      <c r="O58" s="80"/>
      <c r="P58" s="80"/>
      <c r="Q58" s="80"/>
      <c r="R58" s="80"/>
      <c r="S58" s="82" t="str">
        <f>AA62</f>
        <v>Kiaušidžių</v>
      </c>
      <c r="T58" s="80"/>
      <c r="U58" s="80"/>
      <c r="V58" s="332"/>
      <c r="W58" s="332" t="s">
        <v>212</v>
      </c>
      <c r="X58" s="332">
        <v>106</v>
      </c>
      <c r="Y58" s="333">
        <v>4.6288209606986902E-2</v>
      </c>
      <c r="Z58" s="332"/>
      <c r="AA58" s="332" t="s">
        <v>233</v>
      </c>
      <c r="AB58" s="332">
        <v>79</v>
      </c>
      <c r="AC58" s="333">
        <v>5.5244755244755243E-2</v>
      </c>
      <c r="AD58" s="332"/>
      <c r="AE58" s="332"/>
    </row>
    <row r="59" spans="1:31" ht="20.100000000000001" customHeight="1">
      <c r="A59" s="80"/>
      <c r="B59" s="80"/>
      <c r="C59" s="80"/>
      <c r="D59" s="80"/>
      <c r="E59" s="80"/>
      <c r="F59" s="80"/>
      <c r="G59" s="80"/>
      <c r="H59" s="80"/>
      <c r="I59" s="82" t="str">
        <f>W61</f>
        <v>Burnos ertmės ir ryklės</v>
      </c>
      <c r="J59" s="80"/>
      <c r="K59" s="80"/>
      <c r="L59" s="80"/>
      <c r="M59" s="80"/>
      <c r="N59" s="80"/>
      <c r="O59" s="80"/>
      <c r="P59" s="80"/>
      <c r="Q59" s="80"/>
      <c r="R59" s="80"/>
      <c r="S59" s="82" t="str">
        <f>AA61</f>
        <v>Kasos</v>
      </c>
      <c r="T59" s="80"/>
      <c r="U59" s="80"/>
      <c r="V59" s="332"/>
      <c r="W59" s="332" t="s">
        <v>214</v>
      </c>
      <c r="X59" s="332">
        <v>118</v>
      </c>
      <c r="Y59" s="333">
        <v>5.1528384279475981E-2</v>
      </c>
      <c r="Z59" s="332"/>
      <c r="AA59" s="332" t="s">
        <v>215</v>
      </c>
      <c r="AB59" s="332">
        <v>80</v>
      </c>
      <c r="AC59" s="333">
        <v>5.5944055944055944E-2</v>
      </c>
      <c r="AD59" s="332"/>
      <c r="AE59" s="332"/>
    </row>
    <row r="60" spans="1:31" ht="20.100000000000001" customHeight="1">
      <c r="A60" s="80"/>
      <c r="B60" s="80"/>
      <c r="C60" s="80"/>
      <c r="D60" s="80"/>
      <c r="E60" s="80"/>
      <c r="F60" s="80"/>
      <c r="G60" s="80"/>
      <c r="H60" s="80"/>
      <c r="I60" s="82" t="str">
        <f>W60</f>
        <v>Kasos</v>
      </c>
      <c r="J60" s="80"/>
      <c r="K60" s="80"/>
      <c r="L60" s="80"/>
      <c r="M60" s="80"/>
      <c r="N60" s="80"/>
      <c r="O60" s="80"/>
      <c r="P60" s="80"/>
      <c r="Q60" s="80"/>
      <c r="R60" s="80"/>
      <c r="S60" s="82" t="str">
        <f>AA60</f>
        <v>Gaubtinės žarnos</v>
      </c>
      <c r="T60" s="80"/>
      <c r="U60" s="80"/>
      <c r="V60" s="332"/>
      <c r="W60" s="332" t="s">
        <v>219</v>
      </c>
      <c r="X60" s="332">
        <v>125</v>
      </c>
      <c r="Y60" s="333">
        <v>5.458515283842795E-2</v>
      </c>
      <c r="Z60" s="332"/>
      <c r="AA60" s="332" t="s">
        <v>214</v>
      </c>
      <c r="AB60" s="332">
        <v>82</v>
      </c>
      <c r="AC60" s="333">
        <v>5.7342657342657345E-2</v>
      </c>
      <c r="AD60" s="332"/>
      <c r="AE60" s="332"/>
    </row>
    <row r="61" spans="1:31" ht="20.100000000000001" customHeight="1">
      <c r="A61" s="80"/>
      <c r="B61" s="80"/>
      <c r="C61" s="80"/>
      <c r="D61" s="80"/>
      <c r="E61" s="80"/>
      <c r="F61" s="80"/>
      <c r="G61" s="80"/>
      <c r="H61" s="80"/>
      <c r="I61" s="82" t="str">
        <f>W59</f>
        <v>Gaubtinės žarnos</v>
      </c>
      <c r="J61" s="80"/>
      <c r="K61" s="80"/>
      <c r="L61" s="80"/>
      <c r="M61" s="80"/>
      <c r="N61" s="80"/>
      <c r="O61" s="80"/>
      <c r="P61" s="80"/>
      <c r="Q61" s="80"/>
      <c r="R61" s="80"/>
      <c r="S61" s="82" t="str">
        <f>AA59</f>
        <v>Skrandžio</v>
      </c>
      <c r="T61" s="80"/>
      <c r="U61" s="80"/>
      <c r="V61" s="332"/>
      <c r="W61" s="332" t="s">
        <v>211</v>
      </c>
      <c r="X61" s="332">
        <v>141</v>
      </c>
      <c r="Y61" s="333">
        <v>6.1572052401746728E-2</v>
      </c>
      <c r="Z61" s="332"/>
      <c r="AA61" s="332" t="s">
        <v>219</v>
      </c>
      <c r="AB61" s="332">
        <v>97</v>
      </c>
      <c r="AC61" s="333">
        <v>6.7832167832167833E-2</v>
      </c>
      <c r="AD61" s="332"/>
      <c r="AE61" s="332"/>
    </row>
    <row r="62" spans="1:31" ht="20.100000000000001" customHeight="1">
      <c r="A62" s="80"/>
      <c r="B62" s="80"/>
      <c r="C62" s="80"/>
      <c r="D62" s="80"/>
      <c r="E62" s="80"/>
      <c r="F62" s="80"/>
      <c r="G62" s="80"/>
      <c r="H62" s="80"/>
      <c r="I62" s="82" t="str">
        <f>W58</f>
        <v>Tiesiosios žarnos, išangės</v>
      </c>
      <c r="J62" s="80"/>
      <c r="K62" s="80"/>
      <c r="L62" s="80"/>
      <c r="M62" s="80"/>
      <c r="N62" s="80"/>
      <c r="O62" s="80"/>
      <c r="P62" s="80"/>
      <c r="Q62" s="80"/>
      <c r="R62" s="80"/>
      <c r="S62" s="82" t="str">
        <f>AA58</f>
        <v>Gimdos kūno</v>
      </c>
      <c r="T62" s="80"/>
      <c r="U62" s="80"/>
      <c r="V62" s="332"/>
      <c r="W62" s="332" t="s">
        <v>218</v>
      </c>
      <c r="X62" s="332">
        <v>192</v>
      </c>
      <c r="Y62" s="333">
        <v>8.3842794759825326E-2</v>
      </c>
      <c r="Z62" s="332"/>
      <c r="AA62" s="332" t="s">
        <v>231</v>
      </c>
      <c r="AB62" s="332">
        <v>112</v>
      </c>
      <c r="AC62" s="333">
        <v>7.8321678321678329E-2</v>
      </c>
      <c r="AD62" s="332"/>
      <c r="AE62" s="332"/>
    </row>
    <row r="63" spans="1:31" ht="20.100000000000001" customHeight="1">
      <c r="A63" s="80"/>
      <c r="B63" s="80"/>
      <c r="C63" s="80"/>
      <c r="D63" s="80"/>
      <c r="E63" s="80"/>
      <c r="F63" s="80"/>
      <c r="G63" s="80"/>
      <c r="H63" s="80"/>
      <c r="I63" s="82" t="str">
        <f>W57</f>
        <v>Nepatikslintos lokalizacijos</v>
      </c>
      <c r="J63" s="80"/>
      <c r="K63" s="80"/>
      <c r="L63" s="80"/>
      <c r="M63" s="80"/>
      <c r="N63" s="80"/>
      <c r="O63" s="80"/>
      <c r="P63" s="80"/>
      <c r="Q63" s="80"/>
      <c r="R63" s="80"/>
      <c r="S63" s="82" t="str">
        <f>AA57</f>
        <v>Nepatikslintos lokalizacijos</v>
      </c>
      <c r="T63" s="80"/>
      <c r="U63" s="80"/>
      <c r="V63" s="332"/>
      <c r="W63" s="332" t="s">
        <v>215</v>
      </c>
      <c r="X63" s="332">
        <v>194</v>
      </c>
      <c r="Y63" s="333">
        <v>8.4716157205240172E-2</v>
      </c>
      <c r="Z63" s="332"/>
      <c r="AA63" s="332" t="s">
        <v>217</v>
      </c>
      <c r="AB63" s="332">
        <v>125</v>
      </c>
      <c r="AC63" s="333">
        <v>8.7412587412587409E-2</v>
      </c>
      <c r="AD63" s="332"/>
      <c r="AE63" s="332"/>
    </row>
    <row r="64" spans="1:31" ht="20.100000000000001" customHeight="1">
      <c r="A64" s="80"/>
      <c r="B64" s="80"/>
      <c r="C64" s="80"/>
      <c r="D64" s="80"/>
      <c r="E64" s="80"/>
      <c r="F64" s="80"/>
      <c r="G64" s="80"/>
      <c r="H64" s="80"/>
      <c r="I64" s="82" t="str">
        <f>W56</f>
        <v>Stemplės</v>
      </c>
      <c r="J64" s="80"/>
      <c r="K64" s="80"/>
      <c r="L64" s="80"/>
      <c r="M64" s="80"/>
      <c r="N64" s="80"/>
      <c r="O64" s="80"/>
      <c r="P64" s="80"/>
      <c r="Q64" s="80"/>
      <c r="R64" s="80"/>
      <c r="S64" s="82" t="str">
        <f>AA56</f>
        <v>Tiesiosios žarnos, išangės</v>
      </c>
      <c r="T64" s="80"/>
      <c r="U64" s="80"/>
      <c r="V64" s="332"/>
      <c r="W64" s="332" t="s">
        <v>217</v>
      </c>
      <c r="X64" s="332">
        <v>677</v>
      </c>
      <c r="Y64" s="333">
        <v>0.29563318777292574</v>
      </c>
      <c r="Z64" s="332"/>
      <c r="AA64" s="332" t="s">
        <v>234</v>
      </c>
      <c r="AB64" s="332">
        <v>248</v>
      </c>
      <c r="AC64" s="333">
        <v>0.17342657342657342</v>
      </c>
      <c r="AD64" s="332"/>
      <c r="AE64" s="332"/>
    </row>
    <row r="65" spans="1:31" ht="20.100000000000001" customHeight="1">
      <c r="A65" s="80"/>
      <c r="B65" s="80"/>
      <c r="C65" s="80"/>
      <c r="D65" s="80"/>
      <c r="E65" s="80"/>
      <c r="F65" s="80"/>
      <c r="G65" s="80"/>
      <c r="H65" s="80"/>
      <c r="I65" s="82" t="str">
        <f>W55</f>
        <v>Inkstų</v>
      </c>
      <c r="J65" s="80"/>
      <c r="K65" s="80"/>
      <c r="L65" s="80"/>
      <c r="M65" s="80"/>
      <c r="N65" s="80"/>
      <c r="O65" s="80"/>
      <c r="P65" s="80"/>
      <c r="Q65" s="80"/>
      <c r="R65" s="80"/>
      <c r="S65" s="82" t="str">
        <f>AA55</f>
        <v>Gimdos kaklelio</v>
      </c>
      <c r="T65" s="80"/>
      <c r="U65" s="80"/>
      <c r="V65" s="332"/>
      <c r="W65" s="334" t="s">
        <v>210</v>
      </c>
      <c r="X65" s="332">
        <v>2290</v>
      </c>
      <c r="Y65" s="333">
        <v>1</v>
      </c>
      <c r="Z65" s="332"/>
      <c r="AA65" s="334" t="s">
        <v>210</v>
      </c>
      <c r="AB65" s="332">
        <v>1430</v>
      </c>
      <c r="AC65" s="333">
        <v>1</v>
      </c>
      <c r="AD65" s="332"/>
      <c r="AE65" s="332"/>
    </row>
    <row r="66" spans="1:31" ht="20.100000000000001" customHeight="1">
      <c r="A66" s="80"/>
      <c r="B66" s="80"/>
      <c r="C66" s="80"/>
      <c r="D66" s="80"/>
      <c r="E66" s="80"/>
      <c r="F66" s="80"/>
      <c r="G66" s="80"/>
      <c r="H66" s="80"/>
      <c r="I66" s="82" t="str">
        <f>W54</f>
        <v>Kiti</v>
      </c>
      <c r="J66" s="80"/>
      <c r="K66" s="80"/>
      <c r="L66" s="80"/>
      <c r="M66" s="80"/>
      <c r="N66" s="80"/>
      <c r="O66" s="80"/>
      <c r="P66" s="80"/>
      <c r="Q66" s="80"/>
      <c r="R66" s="80"/>
      <c r="S66" s="82" t="str">
        <f>AA54</f>
        <v>Kiti</v>
      </c>
      <c r="T66" s="80"/>
      <c r="U66" s="80"/>
      <c r="V66" s="332"/>
      <c r="W66" s="444" t="s">
        <v>472</v>
      </c>
      <c r="X66" s="444"/>
      <c r="Y66" s="444"/>
      <c r="Z66" s="332"/>
      <c r="AA66" s="444" t="s">
        <v>476</v>
      </c>
      <c r="AB66" s="444"/>
      <c r="AC66" s="444"/>
      <c r="AD66" s="332"/>
      <c r="AE66" s="332"/>
    </row>
    <row r="67" spans="1:31" ht="24.95" customHeight="1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332"/>
      <c r="W67" s="332" t="s">
        <v>26</v>
      </c>
      <c r="X67" s="332">
        <v>239</v>
      </c>
      <c r="Y67" s="333">
        <v>0.15549772283669486</v>
      </c>
      <c r="Z67" s="332"/>
      <c r="AA67" s="332" t="s">
        <v>26</v>
      </c>
      <c r="AB67" s="332">
        <v>489</v>
      </c>
      <c r="AC67" s="333">
        <v>0.29457831325301204</v>
      </c>
      <c r="AD67" s="332"/>
      <c r="AE67" s="332"/>
    </row>
    <row r="68" spans="1:31" ht="24.95" customHeight="1">
      <c r="A68" s="80"/>
      <c r="B68" s="80"/>
      <c r="C68" s="445" t="str">
        <f>W66</f>
        <v>Vyrai, 75 ir daugiau metų (1537 atv.)</v>
      </c>
      <c r="D68" s="445"/>
      <c r="E68" s="445"/>
      <c r="F68" s="445"/>
      <c r="G68" s="445"/>
      <c r="H68" s="445"/>
      <c r="I68" s="445"/>
      <c r="J68" s="80"/>
      <c r="K68" s="80"/>
      <c r="L68" s="80"/>
      <c r="M68" s="445" t="str">
        <f>AA66</f>
        <v>Moterys, 75 ir daugiau metų (1660 atv.)</v>
      </c>
      <c r="N68" s="445"/>
      <c r="O68" s="445"/>
      <c r="P68" s="445"/>
      <c r="Q68" s="445"/>
      <c r="R68" s="445"/>
      <c r="S68" s="445"/>
      <c r="T68" s="80"/>
      <c r="U68" s="80"/>
      <c r="V68" s="332"/>
      <c r="W68" s="332" t="s">
        <v>227</v>
      </c>
      <c r="X68" s="332">
        <v>50</v>
      </c>
      <c r="Y68" s="333">
        <v>3.2530904359141181E-2</v>
      </c>
      <c r="Z68" s="332"/>
      <c r="AA68" s="332" t="s">
        <v>233</v>
      </c>
      <c r="AB68" s="332">
        <v>68</v>
      </c>
      <c r="AC68" s="333">
        <v>4.0963855421686748E-2</v>
      </c>
      <c r="AD68" s="332"/>
      <c r="AE68" s="332"/>
    </row>
    <row r="69" spans="1:31" ht="20.100000000000001" customHeight="1">
      <c r="A69" s="80"/>
      <c r="B69" s="80"/>
      <c r="C69" s="80"/>
      <c r="D69" s="80"/>
      <c r="E69" s="80"/>
      <c r="F69" s="80"/>
      <c r="G69" s="80"/>
      <c r="H69" s="80"/>
      <c r="I69" s="82" t="str">
        <f>W77</f>
        <v>Priešinės liaukos</v>
      </c>
      <c r="J69" s="80"/>
      <c r="K69" s="80"/>
      <c r="L69" s="80"/>
      <c r="M69" s="80"/>
      <c r="N69" s="80"/>
      <c r="O69" s="80"/>
      <c r="P69" s="80"/>
      <c r="Q69" s="80"/>
      <c r="R69" s="80"/>
      <c r="S69" s="82" t="str">
        <f>AA77</f>
        <v>Krūties</v>
      </c>
      <c r="T69" s="80"/>
      <c r="U69" s="80"/>
      <c r="V69" s="332"/>
      <c r="W69" s="332" t="s">
        <v>213</v>
      </c>
      <c r="X69" s="332">
        <v>60</v>
      </c>
      <c r="Y69" s="333">
        <v>3.9037085230969423E-2</v>
      </c>
      <c r="Z69" s="332"/>
      <c r="AA69" s="332" t="s">
        <v>227</v>
      </c>
      <c r="AB69" s="332">
        <v>70</v>
      </c>
      <c r="AC69" s="333">
        <v>4.2168674698795178E-2</v>
      </c>
      <c r="AD69" s="332"/>
      <c r="AE69" s="332"/>
    </row>
    <row r="70" spans="1:31" ht="20.100000000000001" customHeight="1">
      <c r="A70" s="80"/>
      <c r="B70" s="80"/>
      <c r="C70" s="80"/>
      <c r="D70" s="80"/>
      <c r="E70" s="80"/>
      <c r="F70" s="80"/>
      <c r="G70" s="80"/>
      <c r="H70" s="80"/>
      <c r="I70" s="82" t="str">
        <f>W76</f>
        <v>Plaučių, trachėjos, bronchų</v>
      </c>
      <c r="J70" s="80"/>
      <c r="K70" s="80"/>
      <c r="L70" s="80"/>
      <c r="M70" s="80"/>
      <c r="N70" s="80"/>
      <c r="O70" s="80"/>
      <c r="P70" s="80"/>
      <c r="Q70" s="80"/>
      <c r="R70" s="80"/>
      <c r="S70" s="82" t="str">
        <f>AA76</f>
        <v>Gaubtinės žarnos</v>
      </c>
      <c r="T70" s="80"/>
      <c r="U70" s="80"/>
      <c r="V70" s="332"/>
      <c r="W70" s="332" t="s">
        <v>236</v>
      </c>
      <c r="X70" s="332">
        <v>65</v>
      </c>
      <c r="Y70" s="333">
        <v>4.2290175666883541E-2</v>
      </c>
      <c r="Z70" s="332"/>
      <c r="AA70" s="332" t="s">
        <v>231</v>
      </c>
      <c r="AB70" s="332">
        <v>88</v>
      </c>
      <c r="AC70" s="333">
        <v>5.3012048192771083E-2</v>
      </c>
      <c r="AD70" s="332"/>
      <c r="AE70" s="332"/>
    </row>
    <row r="71" spans="1:31" ht="20.100000000000001" customHeight="1">
      <c r="A71" s="80"/>
      <c r="B71" s="80"/>
      <c r="C71" s="80"/>
      <c r="D71" s="80"/>
      <c r="E71" s="80"/>
      <c r="F71" s="80"/>
      <c r="G71" s="80"/>
      <c r="H71" s="80"/>
      <c r="I71" s="82" t="str">
        <f>W75</f>
        <v>Skrandžio</v>
      </c>
      <c r="J71" s="80"/>
      <c r="K71" s="80"/>
      <c r="L71" s="80"/>
      <c r="M71" s="80"/>
      <c r="N71" s="80"/>
      <c r="O71" s="80"/>
      <c r="P71" s="80"/>
      <c r="Q71" s="80"/>
      <c r="R71" s="80"/>
      <c r="S71" s="82" t="str">
        <f>AA75</f>
        <v>Skrandžio</v>
      </c>
      <c r="T71" s="80"/>
      <c r="U71" s="80"/>
      <c r="V71" s="332"/>
      <c r="W71" s="332" t="s">
        <v>219</v>
      </c>
      <c r="X71" s="332">
        <v>69</v>
      </c>
      <c r="Y71" s="333">
        <v>4.4892648015614836E-2</v>
      </c>
      <c r="Z71" s="332"/>
      <c r="AA71" s="332" t="s">
        <v>217</v>
      </c>
      <c r="AB71" s="332">
        <v>100</v>
      </c>
      <c r="AC71" s="333">
        <v>6.0240963855421686E-2</v>
      </c>
      <c r="AD71" s="332"/>
      <c r="AE71" s="332"/>
    </row>
    <row r="72" spans="1:31" ht="20.100000000000001" customHeight="1">
      <c r="A72" s="80"/>
      <c r="B72" s="80"/>
      <c r="C72" s="80"/>
      <c r="D72" s="80"/>
      <c r="E72" s="80"/>
      <c r="F72" s="80"/>
      <c r="G72" s="80"/>
      <c r="H72" s="80"/>
      <c r="I72" s="82" t="str">
        <f>W74</f>
        <v>Gaubtinės žarnos</v>
      </c>
      <c r="J72" s="80"/>
      <c r="K72" s="80"/>
      <c r="L72" s="80"/>
      <c r="M72" s="80"/>
      <c r="N72" s="80"/>
      <c r="O72" s="80"/>
      <c r="P72" s="80"/>
      <c r="Q72" s="80"/>
      <c r="R72" s="80"/>
      <c r="S72" s="82" t="str">
        <f>AA74</f>
        <v>Tiesiosios žarnos, išangės</v>
      </c>
      <c r="T72" s="80"/>
      <c r="U72" s="80"/>
      <c r="V72" s="332"/>
      <c r="W72" s="332" t="s">
        <v>220</v>
      </c>
      <c r="X72" s="332">
        <v>75</v>
      </c>
      <c r="Y72" s="333">
        <v>4.8796356538711776E-2</v>
      </c>
      <c r="Z72" s="332"/>
      <c r="AA72" s="332" t="s">
        <v>236</v>
      </c>
      <c r="AB72" s="332">
        <v>104</v>
      </c>
      <c r="AC72" s="333">
        <v>6.2650602409638559E-2</v>
      </c>
      <c r="AD72" s="332"/>
      <c r="AE72" s="332"/>
    </row>
    <row r="73" spans="1:31" ht="20.100000000000001" customHeight="1">
      <c r="A73" s="80"/>
      <c r="B73" s="80"/>
      <c r="C73" s="80"/>
      <c r="D73" s="80"/>
      <c r="E73" s="80"/>
      <c r="F73" s="80"/>
      <c r="G73" s="80"/>
      <c r="H73" s="80"/>
      <c r="I73" s="82" t="str">
        <f>W73</f>
        <v>Tiesiosios žarnos, išangės</v>
      </c>
      <c r="J73" s="80"/>
      <c r="K73" s="80"/>
      <c r="L73" s="80"/>
      <c r="M73" s="80"/>
      <c r="N73" s="80"/>
      <c r="O73" s="80"/>
      <c r="P73" s="80"/>
      <c r="Q73" s="80"/>
      <c r="R73" s="80"/>
      <c r="S73" s="82" t="str">
        <f>AA73</f>
        <v>Kasos</v>
      </c>
      <c r="T73" s="80"/>
      <c r="U73" s="80"/>
      <c r="V73" s="332"/>
      <c r="W73" s="332" t="s">
        <v>212</v>
      </c>
      <c r="X73" s="332">
        <v>106</v>
      </c>
      <c r="Y73" s="333">
        <v>6.8965517241379309E-2</v>
      </c>
      <c r="Z73" s="332"/>
      <c r="AA73" s="332" t="s">
        <v>219</v>
      </c>
      <c r="AB73" s="332">
        <v>107</v>
      </c>
      <c r="AC73" s="333">
        <v>6.445783132530121E-2</v>
      </c>
      <c r="AD73" s="332"/>
      <c r="AE73" s="332"/>
    </row>
    <row r="74" spans="1:31" ht="20.100000000000001" customHeight="1">
      <c r="A74" s="80"/>
      <c r="B74" s="80"/>
      <c r="C74" s="80"/>
      <c r="D74" s="80"/>
      <c r="E74" s="80"/>
      <c r="F74" s="80"/>
      <c r="G74" s="80"/>
      <c r="H74" s="80"/>
      <c r="I74" s="82" t="str">
        <f>W72</f>
        <v>Šlapimo pūslės</v>
      </c>
      <c r="J74" s="80"/>
      <c r="K74" s="80"/>
      <c r="L74" s="80"/>
      <c r="M74" s="80"/>
      <c r="N74" s="80"/>
      <c r="O74" s="80"/>
      <c r="P74" s="80"/>
      <c r="Q74" s="80"/>
      <c r="R74" s="80"/>
      <c r="S74" s="82" t="str">
        <f>AA72</f>
        <v>Nepatikslintos lokalizacijos</v>
      </c>
      <c r="T74" s="80"/>
      <c r="U74" s="80"/>
      <c r="V74" s="332"/>
      <c r="W74" s="332" t="s">
        <v>214</v>
      </c>
      <c r="X74" s="332">
        <v>120</v>
      </c>
      <c r="Y74" s="333">
        <v>7.8074170461938847E-2</v>
      </c>
      <c r="Z74" s="332"/>
      <c r="AA74" s="332" t="s">
        <v>212</v>
      </c>
      <c r="AB74" s="332">
        <v>110</v>
      </c>
      <c r="AC74" s="333">
        <v>6.6265060240963861E-2</v>
      </c>
      <c r="AD74" s="332"/>
      <c r="AE74" s="332"/>
    </row>
    <row r="75" spans="1:31" ht="20.100000000000001" customHeight="1">
      <c r="A75" s="80"/>
      <c r="B75" s="80"/>
      <c r="C75" s="80"/>
      <c r="D75" s="80"/>
      <c r="E75" s="80"/>
      <c r="F75" s="80"/>
      <c r="G75" s="80"/>
      <c r="H75" s="80"/>
      <c r="I75" s="82" t="str">
        <f>W71</f>
        <v>Kasos</v>
      </c>
      <c r="J75" s="80"/>
      <c r="K75" s="80"/>
      <c r="L75" s="80"/>
      <c r="M75" s="80"/>
      <c r="N75" s="80"/>
      <c r="O75" s="80"/>
      <c r="P75" s="80"/>
      <c r="Q75" s="80"/>
      <c r="R75" s="80"/>
      <c r="S75" s="82" t="str">
        <f>AA71</f>
        <v>Plaučių, trachėjos, bronchų</v>
      </c>
      <c r="T75" s="80"/>
      <c r="U75" s="80"/>
      <c r="V75" s="332"/>
      <c r="W75" s="332" t="s">
        <v>215</v>
      </c>
      <c r="X75" s="332">
        <v>133</v>
      </c>
      <c r="Y75" s="333">
        <v>8.6532205595315548E-2</v>
      </c>
      <c r="Z75" s="332"/>
      <c r="AA75" s="332" t="s">
        <v>215</v>
      </c>
      <c r="AB75" s="332">
        <v>142</v>
      </c>
      <c r="AC75" s="333">
        <v>8.5542168674698799E-2</v>
      </c>
      <c r="AD75" s="332"/>
      <c r="AE75" s="332"/>
    </row>
    <row r="76" spans="1:31" ht="20.100000000000001" customHeight="1">
      <c r="A76" s="80"/>
      <c r="B76" s="80"/>
      <c r="C76" s="80"/>
      <c r="D76" s="80"/>
      <c r="E76" s="80"/>
      <c r="F76" s="80"/>
      <c r="G76" s="80"/>
      <c r="H76" s="80"/>
      <c r="I76" s="82" t="str">
        <f>W70</f>
        <v>Nepatikslintos lokalizacijos</v>
      </c>
      <c r="J76" s="80"/>
      <c r="K76" s="80"/>
      <c r="L76" s="80"/>
      <c r="M76" s="80"/>
      <c r="N76" s="80"/>
      <c r="O76" s="80"/>
      <c r="P76" s="80"/>
      <c r="Q76" s="80"/>
      <c r="R76" s="80"/>
      <c r="S76" s="82" t="str">
        <f>AA70</f>
        <v>Kiaušidžių</v>
      </c>
      <c r="T76" s="80"/>
      <c r="U76" s="80"/>
      <c r="V76" s="332"/>
      <c r="W76" s="332" t="s">
        <v>217</v>
      </c>
      <c r="X76" s="332">
        <v>291</v>
      </c>
      <c r="Y76" s="333">
        <v>0.18932986337020169</v>
      </c>
      <c r="Z76" s="332"/>
      <c r="AA76" s="332" t="s">
        <v>214</v>
      </c>
      <c r="AB76" s="332">
        <v>159</v>
      </c>
      <c r="AC76" s="333">
        <v>9.5783132530120482E-2</v>
      </c>
      <c r="AD76" s="332"/>
      <c r="AE76" s="332"/>
    </row>
    <row r="77" spans="1:31" ht="20.100000000000001" customHeight="1">
      <c r="A77" s="80"/>
      <c r="B77" s="80"/>
      <c r="C77" s="80"/>
      <c r="D77" s="80"/>
      <c r="E77" s="80"/>
      <c r="F77" s="80"/>
      <c r="G77" s="80"/>
      <c r="H77" s="80"/>
      <c r="I77" s="82" t="str">
        <f>W69</f>
        <v>Inkstų</v>
      </c>
      <c r="J77" s="80"/>
      <c r="K77" s="80"/>
      <c r="L77" s="80"/>
      <c r="M77" s="80"/>
      <c r="N77" s="80"/>
      <c r="O77" s="80"/>
      <c r="P77" s="80"/>
      <c r="Q77" s="80"/>
      <c r="R77" s="80"/>
      <c r="S77" s="82" t="str">
        <f>AA69</f>
        <v>Leukemijos</v>
      </c>
      <c r="T77" s="80"/>
      <c r="U77" s="80"/>
      <c r="V77" s="332"/>
      <c r="W77" s="332" t="s">
        <v>218</v>
      </c>
      <c r="X77" s="332">
        <v>329</v>
      </c>
      <c r="Y77" s="333">
        <v>0.21405335068314899</v>
      </c>
      <c r="Z77" s="332"/>
      <c r="AA77" s="332" t="s">
        <v>234</v>
      </c>
      <c r="AB77" s="332">
        <v>223</v>
      </c>
      <c r="AC77" s="333">
        <v>0.13433734939759037</v>
      </c>
      <c r="AD77" s="332"/>
      <c r="AE77" s="332"/>
    </row>
    <row r="78" spans="1:31" ht="20.100000000000001" customHeight="1">
      <c r="A78" s="80"/>
      <c r="B78" s="80"/>
      <c r="C78" s="80"/>
      <c r="D78" s="80"/>
      <c r="E78" s="80"/>
      <c r="F78" s="80"/>
      <c r="G78" s="80"/>
      <c r="H78" s="80"/>
      <c r="I78" s="82" t="str">
        <f>W68</f>
        <v>Leukemijos</v>
      </c>
      <c r="J78" s="80"/>
      <c r="K78" s="80"/>
      <c r="L78" s="80"/>
      <c r="M78" s="80"/>
      <c r="N78" s="80"/>
      <c r="O78" s="80"/>
      <c r="P78" s="80"/>
      <c r="Q78" s="80"/>
      <c r="R78" s="80"/>
      <c r="S78" s="82" t="str">
        <f>AA68</f>
        <v>Gimdos kūno</v>
      </c>
      <c r="T78" s="80"/>
      <c r="U78" s="80"/>
      <c r="V78" s="332"/>
      <c r="W78" s="334" t="s">
        <v>210</v>
      </c>
      <c r="X78" s="332">
        <v>1537</v>
      </c>
      <c r="Y78" s="333">
        <v>1</v>
      </c>
      <c r="Z78" s="332"/>
      <c r="AA78" s="334" t="s">
        <v>210</v>
      </c>
      <c r="AB78" s="332">
        <v>1660</v>
      </c>
      <c r="AC78" s="333">
        <v>1</v>
      </c>
      <c r="AD78" s="332"/>
      <c r="AE78" s="332"/>
    </row>
    <row r="79" spans="1:31" ht="20.100000000000001" customHeight="1">
      <c r="A79" s="80"/>
      <c r="B79" s="80"/>
      <c r="C79" s="80"/>
      <c r="D79" s="80"/>
      <c r="E79" s="80"/>
      <c r="F79" s="80"/>
      <c r="G79" s="80"/>
      <c r="H79" s="80"/>
      <c r="I79" s="82" t="str">
        <f>W67</f>
        <v>Kiti</v>
      </c>
      <c r="J79" s="80"/>
      <c r="K79" s="80"/>
      <c r="L79" s="80"/>
      <c r="M79" s="80"/>
      <c r="N79" s="80"/>
      <c r="O79" s="80"/>
      <c r="P79" s="80"/>
      <c r="Q79" s="80"/>
      <c r="R79" s="80"/>
      <c r="S79" s="82" t="str">
        <f>AA67</f>
        <v>Kiti</v>
      </c>
      <c r="T79" s="80"/>
      <c r="U79" s="80"/>
      <c r="V79" s="332"/>
      <c r="W79" s="332"/>
      <c r="X79" s="332"/>
      <c r="Y79" s="332"/>
      <c r="Z79" s="332"/>
      <c r="AA79" s="332"/>
      <c r="AB79" s="332"/>
      <c r="AC79" s="332"/>
      <c r="AD79" s="332"/>
      <c r="AE79" s="332"/>
    </row>
    <row r="80" spans="1:31" ht="20.100000000000001" customHeight="1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332"/>
      <c r="W80" s="332"/>
      <c r="X80" s="332"/>
      <c r="Y80" s="332"/>
      <c r="Z80" s="332"/>
      <c r="AA80" s="332"/>
      <c r="AB80" s="332"/>
      <c r="AC80" s="332"/>
      <c r="AD80" s="332"/>
      <c r="AE80" s="332"/>
    </row>
    <row r="81" spans="1:31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332"/>
      <c r="W81" s="332"/>
      <c r="X81" s="332"/>
      <c r="Y81" s="332"/>
      <c r="Z81" s="332"/>
      <c r="AA81" s="332"/>
      <c r="AB81" s="332"/>
      <c r="AC81" s="332"/>
      <c r="AD81" s="332"/>
      <c r="AE81" s="332"/>
    </row>
  </sheetData>
  <mergeCells count="24">
    <mergeCell ref="C55:I55"/>
    <mergeCell ref="M55:S55"/>
    <mergeCell ref="W66:Y66"/>
    <mergeCell ref="AA66:AC66"/>
    <mergeCell ref="C68:I68"/>
    <mergeCell ref="M68:S68"/>
    <mergeCell ref="W40:Y40"/>
    <mergeCell ref="AA40:AC40"/>
    <mergeCell ref="C42:I42"/>
    <mergeCell ref="M42:S42"/>
    <mergeCell ref="W53:Y53"/>
    <mergeCell ref="AA53:AC53"/>
    <mergeCell ref="C16:I16"/>
    <mergeCell ref="M16:S16"/>
    <mergeCell ref="W27:Y27"/>
    <mergeCell ref="AA27:AC27"/>
    <mergeCell ref="C29:I29"/>
    <mergeCell ref="M29:S29"/>
    <mergeCell ref="W1:Y1"/>
    <mergeCell ref="AA1:AC1"/>
    <mergeCell ref="C3:I3"/>
    <mergeCell ref="M3:S3"/>
    <mergeCell ref="W14:Y14"/>
    <mergeCell ref="AA14:AC1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C000"/>
  </sheetPr>
  <dimension ref="A1:NX145"/>
  <sheetViews>
    <sheetView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style="206" customWidth="1"/>
    <col min="9" max="16" width="0.85546875" style="206" customWidth="1"/>
    <col min="17" max="17" width="9.42578125" style="206" customWidth="1"/>
    <col min="18" max="18" width="32.42578125" bestFit="1" customWidth="1"/>
    <col min="19" max="19" width="7.85546875" bestFit="1" customWidth="1"/>
    <col min="20" max="23" width="6.140625" bestFit="1" customWidth="1"/>
    <col min="24" max="24" width="6.85546875" bestFit="1" customWidth="1"/>
    <col min="25" max="25" width="6.42578125" bestFit="1" customWidth="1"/>
    <col min="26" max="29" width="6.140625" bestFit="1" customWidth="1"/>
    <col min="30" max="37" width="7" bestFit="1" customWidth="1"/>
    <col min="38" max="38" width="32.42578125" bestFit="1" customWidth="1"/>
    <col min="39" max="39" width="7.85546875" bestFit="1" customWidth="1"/>
    <col min="40" max="43" width="6.140625" bestFit="1" customWidth="1"/>
    <col min="44" max="44" width="6.85546875" bestFit="1" customWidth="1"/>
    <col min="45" max="45" width="7.5703125" bestFit="1" customWidth="1"/>
    <col min="46" max="49" width="6.140625" bestFit="1" customWidth="1"/>
    <col min="50" max="55" width="7" bestFit="1" customWidth="1"/>
    <col min="56" max="57" width="6.140625" bestFit="1" customWidth="1"/>
  </cols>
  <sheetData>
    <row r="1" spans="1:58" ht="15">
      <c r="A1" s="30"/>
      <c r="B1" s="463" t="s">
        <v>401</v>
      </c>
      <c r="C1" s="463"/>
      <c r="D1" s="463"/>
      <c r="E1" s="464"/>
      <c r="F1" s="465"/>
      <c r="G1" s="465"/>
      <c r="H1" s="56"/>
      <c r="I1" s="56"/>
      <c r="J1" s="56"/>
      <c r="K1" s="56"/>
      <c r="L1" s="56"/>
      <c r="M1" s="56"/>
      <c r="N1" s="56"/>
      <c r="O1" s="56"/>
      <c r="P1" s="56"/>
      <c r="Q1" s="307"/>
      <c r="R1" s="446" t="s">
        <v>413</v>
      </c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446" t="s">
        <v>414</v>
      </c>
      <c r="AM1" s="308"/>
      <c r="AN1" s="308"/>
      <c r="AO1" s="308"/>
      <c r="AP1" s="308"/>
      <c r="AQ1" s="308"/>
      <c r="AR1" s="308"/>
      <c r="AS1" s="308"/>
      <c r="AT1" s="30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</row>
    <row r="2" spans="1:58" ht="12.6" customHeight="1">
      <c r="A2" s="30"/>
      <c r="B2" s="465" t="str">
        <f>"Mirtingumas nuo piktybinių navikų Lietuvoje  " &amp; GrafikaiSerg!A1 &amp; " metais. Vyrai ir moterys"</f>
        <v>Mirtingumas nuo piktybinių navikų Lietuvoje  2013 metais. Vyrai ir moterys</v>
      </c>
      <c r="C2" s="465"/>
      <c r="D2" s="465"/>
      <c r="E2" s="467"/>
      <c r="F2" s="465"/>
      <c r="G2" s="465"/>
      <c r="H2" s="56"/>
      <c r="I2" s="56"/>
      <c r="J2" s="56"/>
      <c r="K2" s="56"/>
      <c r="L2" s="56"/>
      <c r="M2" s="56"/>
      <c r="N2" s="56"/>
      <c r="O2" s="56"/>
      <c r="P2" s="56"/>
      <c r="Q2" s="307"/>
      <c r="R2" s="446"/>
      <c r="S2" s="309" t="s">
        <v>353</v>
      </c>
      <c r="T2" s="447" t="s">
        <v>357</v>
      </c>
      <c r="U2" s="447"/>
      <c r="V2" s="447"/>
      <c r="W2" s="310">
        <f>GrafikaiSerg!A1</f>
        <v>2013</v>
      </c>
      <c r="X2" s="308" t="s">
        <v>356</v>
      </c>
      <c r="Y2" s="323" t="str">
        <f>CONCATENATE("pop",RIGHT(W2,2),"m")</f>
        <v>pop13m</v>
      </c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446"/>
      <c r="AM2" s="309" t="s">
        <v>353</v>
      </c>
      <c r="AN2" s="447" t="s">
        <v>357</v>
      </c>
      <c r="AO2" s="447"/>
      <c r="AP2" s="447"/>
      <c r="AQ2" s="310">
        <f>W2</f>
        <v>2013</v>
      </c>
      <c r="AR2" s="308" t="s">
        <v>356</v>
      </c>
      <c r="AS2" s="308" t="str">
        <f>CONCATENATE("pop",RIGHT(AQ2,2),"m")</f>
        <v>pop13m</v>
      </c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</row>
    <row r="3" spans="1:58" ht="12.6" customHeight="1">
      <c r="A3" s="30"/>
      <c r="B3" s="465"/>
      <c r="C3" s="465"/>
      <c r="D3" s="465"/>
      <c r="E3" s="465"/>
      <c r="F3" s="465"/>
      <c r="G3" s="465"/>
      <c r="H3" s="56"/>
      <c r="I3" s="56"/>
      <c r="J3" s="56"/>
      <c r="K3" s="56"/>
      <c r="L3" s="56"/>
      <c r="M3" s="56"/>
      <c r="N3" s="56"/>
      <c r="O3" s="56"/>
      <c r="P3" s="56"/>
      <c r="Q3" s="312"/>
      <c r="R3" s="324" t="s">
        <v>407</v>
      </c>
      <c r="S3" s="325">
        <f>SUM(T3:AK3)</f>
        <v>100000</v>
      </c>
      <c r="T3" s="326">
        <v>8000</v>
      </c>
      <c r="U3" s="326">
        <v>7000</v>
      </c>
      <c r="V3" s="326">
        <v>7000</v>
      </c>
      <c r="W3" s="326">
        <v>7000</v>
      </c>
      <c r="X3" s="326">
        <v>7000</v>
      </c>
      <c r="Y3" s="326">
        <v>7000</v>
      </c>
      <c r="Z3" s="326">
        <v>7000</v>
      </c>
      <c r="AA3" s="326">
        <v>7000</v>
      </c>
      <c r="AB3" s="326">
        <v>7000</v>
      </c>
      <c r="AC3" s="326">
        <v>7000</v>
      </c>
      <c r="AD3" s="326">
        <v>7000</v>
      </c>
      <c r="AE3" s="326">
        <v>6000</v>
      </c>
      <c r="AF3" s="326">
        <v>5000</v>
      </c>
      <c r="AG3" s="326">
        <v>4000</v>
      </c>
      <c r="AH3" s="326">
        <v>3000</v>
      </c>
      <c r="AI3" s="326">
        <v>2000</v>
      </c>
      <c r="AJ3" s="326">
        <v>1000</v>
      </c>
      <c r="AK3" s="326">
        <v>1000</v>
      </c>
      <c r="AL3" s="324" t="s">
        <v>408</v>
      </c>
      <c r="AM3" s="325">
        <f>SUM(AN3:BE3)</f>
        <v>100000</v>
      </c>
      <c r="AN3" s="323">
        <v>12000</v>
      </c>
      <c r="AO3" s="323">
        <v>10000</v>
      </c>
      <c r="AP3" s="323">
        <v>9000</v>
      </c>
      <c r="AQ3" s="323">
        <v>9000</v>
      </c>
      <c r="AR3" s="323">
        <v>8000</v>
      </c>
      <c r="AS3" s="323">
        <v>8000</v>
      </c>
      <c r="AT3" s="323">
        <v>6000</v>
      </c>
      <c r="AU3" s="323">
        <v>6000</v>
      </c>
      <c r="AV3" s="323">
        <v>6000</v>
      </c>
      <c r="AW3" s="323">
        <v>6000</v>
      </c>
      <c r="AX3" s="323">
        <v>5000</v>
      </c>
      <c r="AY3" s="323">
        <v>4000</v>
      </c>
      <c r="AZ3" s="323">
        <v>4000</v>
      </c>
      <c r="BA3" s="323">
        <v>3000</v>
      </c>
      <c r="BB3" s="323">
        <v>2000</v>
      </c>
      <c r="BC3" s="323">
        <v>1000</v>
      </c>
      <c r="BD3" s="323">
        <v>500</v>
      </c>
      <c r="BE3" s="323">
        <v>500</v>
      </c>
    </row>
    <row r="4" spans="1:58" ht="12.6" customHeight="1">
      <c r="A4" s="30"/>
      <c r="B4" s="61" t="s">
        <v>647</v>
      </c>
      <c r="C4" s="30"/>
      <c r="D4" s="30"/>
      <c r="E4" s="30"/>
      <c r="F4" s="55"/>
      <c r="G4" s="55"/>
      <c r="H4" s="56"/>
      <c r="I4" s="56"/>
      <c r="J4" s="56"/>
      <c r="K4" s="56"/>
      <c r="L4" s="56"/>
      <c r="M4" s="56"/>
      <c r="N4" s="56"/>
      <c r="O4" s="56"/>
      <c r="P4" s="56"/>
      <c r="Q4" s="312"/>
      <c r="R4" s="324" t="s">
        <v>415</v>
      </c>
      <c r="S4" s="325">
        <f>SUM(T4:AK4)</f>
        <v>1362443</v>
      </c>
      <c r="T4" s="326">
        <f>HLOOKUP($Y$2,Populiacija!$B$1:$BB$20,2,FALSE)</f>
        <v>77450</v>
      </c>
      <c r="U4" s="326">
        <f>HLOOKUP($Y$2,Populiacija!$B$1:$BB$20,3,FALSE)</f>
        <v>69004</v>
      </c>
      <c r="V4" s="326">
        <f>HLOOKUP($Y$2,Populiacija!$B$1:$BB$20,4,FALSE)</f>
        <v>75796</v>
      </c>
      <c r="W4" s="326">
        <f>HLOOKUP($Y$2,Populiacija!$B$1:$BB$20,5,FALSE)</f>
        <v>93604</v>
      </c>
      <c r="X4" s="326">
        <f>HLOOKUP($Y$2,Populiacija!$B$1:$BB$20,6,FALSE)</f>
        <v>110043</v>
      </c>
      <c r="Y4" s="326">
        <f>HLOOKUP($Y$2,Populiacija!$B$1:$BB$20,7,FALSE)</f>
        <v>99495</v>
      </c>
      <c r="Z4" s="326">
        <f>HLOOKUP($Y$2,Populiacija!$B$1:$BB$20,8,FALSE)</f>
        <v>88515</v>
      </c>
      <c r="AA4" s="326">
        <f>HLOOKUP($Y$2,Populiacija!$B$1:$BB$20,9,FALSE)</f>
        <v>91233</v>
      </c>
      <c r="AB4" s="326">
        <f>HLOOKUP($Y$2,Populiacija!$B$1:$BB$20,10,FALSE)</f>
        <v>101097</v>
      </c>
      <c r="AC4" s="326">
        <f>HLOOKUP($Y$2,Populiacija!$B$1:$BB$20,11,FALSE)</f>
        <v>102448</v>
      </c>
      <c r="AD4" s="326">
        <f>HLOOKUP($Y$2,Populiacija!$B$1:$BB$20,12,FALSE)</f>
        <v>110413</v>
      </c>
      <c r="AE4" s="326">
        <f>HLOOKUP($Y$2,Populiacija!$B$1:$BB$20,13,FALSE)</f>
        <v>88386</v>
      </c>
      <c r="AF4" s="326">
        <f>HLOOKUP($Y$2,Populiacija!$B$1:$BB$20,14,FALSE)</f>
        <v>72515</v>
      </c>
      <c r="AG4" s="326">
        <f>HLOOKUP($Y$2,Populiacija!$B$1:$BB$20,15,FALSE)</f>
        <v>53668</v>
      </c>
      <c r="AH4" s="326">
        <f>HLOOKUP($Y$2,Populiacija!$B$1:$BB$20,16,FALSE)</f>
        <v>51266</v>
      </c>
      <c r="AI4" s="326">
        <f>HLOOKUP($Y$2,Populiacija!$B$1:$BB$20,17,FALSE)</f>
        <v>39045</v>
      </c>
      <c r="AJ4" s="326">
        <f>HLOOKUP($Y$2,Populiacija!$B$1:$BB$20,18,FALSE)</f>
        <v>25056</v>
      </c>
      <c r="AK4" s="326">
        <f>HLOOKUP($Y$2,Populiacija!$B$1:$BB$20,19,FALSE)</f>
        <v>13409</v>
      </c>
      <c r="AL4" s="324" t="s">
        <v>415</v>
      </c>
      <c r="AM4" s="325">
        <f>SUM(AN4:BE4)</f>
        <v>1362443</v>
      </c>
      <c r="AN4" s="323">
        <f>HLOOKUP($Y$2,Populiacija!$B$1:$BB$20,2,FALSE)</f>
        <v>77450</v>
      </c>
      <c r="AO4" s="323">
        <f>HLOOKUP($Y$2,Populiacija!$B$1:$BB$20,3,FALSE)</f>
        <v>69004</v>
      </c>
      <c r="AP4" s="323">
        <f>HLOOKUP($Y$2,Populiacija!$B$1:$BB$20,4,FALSE)</f>
        <v>75796</v>
      </c>
      <c r="AQ4" s="323">
        <f>HLOOKUP($Y$2,Populiacija!$B$1:$BB$20,5,FALSE)</f>
        <v>93604</v>
      </c>
      <c r="AR4" s="323">
        <f>HLOOKUP($Y$2,Populiacija!$B$1:$BB$20,6,FALSE)</f>
        <v>110043</v>
      </c>
      <c r="AS4" s="323">
        <f>HLOOKUP($Y$2,Populiacija!$B$1:$BB$20,7,FALSE)</f>
        <v>99495</v>
      </c>
      <c r="AT4" s="323">
        <f>HLOOKUP($Y$2,Populiacija!$B$1:$BB$20,8,FALSE)</f>
        <v>88515</v>
      </c>
      <c r="AU4" s="323">
        <f>HLOOKUP($Y$2,Populiacija!$B$1:$BB$20,9,FALSE)</f>
        <v>91233</v>
      </c>
      <c r="AV4" s="323">
        <f>HLOOKUP($Y$2,Populiacija!$B$1:$BB$20,10,FALSE)</f>
        <v>101097</v>
      </c>
      <c r="AW4" s="323">
        <f>HLOOKUP($Y$2,Populiacija!$B$1:$BB$20,11,FALSE)</f>
        <v>102448</v>
      </c>
      <c r="AX4" s="323">
        <f>HLOOKUP($Y$2,Populiacija!$B$1:$BB$20,12,FALSE)</f>
        <v>110413</v>
      </c>
      <c r="AY4" s="323">
        <f>HLOOKUP($Y$2,Populiacija!$B$1:$BB$20,13,FALSE)</f>
        <v>88386</v>
      </c>
      <c r="AZ4" s="323">
        <f>HLOOKUP($Y$2,Populiacija!$B$1:$BB$20,14,FALSE)</f>
        <v>72515</v>
      </c>
      <c r="BA4" s="323">
        <f>HLOOKUP($Y$2,Populiacija!$B$1:$BB$20,15,FALSE)</f>
        <v>53668</v>
      </c>
      <c r="BB4" s="323">
        <f>HLOOKUP($Y$2,Populiacija!$B$1:$BB$20,16,FALSE)</f>
        <v>51266</v>
      </c>
      <c r="BC4" s="323">
        <f>HLOOKUP($Y$2,Populiacija!$B$1:$BB$20,17,FALSE)</f>
        <v>39045</v>
      </c>
      <c r="BD4" s="323">
        <f>HLOOKUP($Y$2,Populiacija!$B$1:$BB$20,18,FALSE)</f>
        <v>25056</v>
      </c>
      <c r="BE4" s="323">
        <f>HLOOKUP($Y$2,Populiacija!$B$1:$BB$20,19,FALSE)</f>
        <v>13409</v>
      </c>
    </row>
    <row r="5" spans="1:58" ht="12.6" customHeight="1">
      <c r="A5" s="30"/>
      <c r="B5" s="30"/>
      <c r="C5" s="30"/>
      <c r="D5" s="30"/>
      <c r="E5" s="30"/>
      <c r="F5" s="55"/>
      <c r="G5" s="55"/>
      <c r="H5" s="56"/>
      <c r="I5" s="56"/>
      <c r="J5" s="56"/>
      <c r="K5" s="56"/>
      <c r="L5" s="56"/>
      <c r="M5" s="56"/>
      <c r="N5" s="56"/>
      <c r="O5" s="56"/>
      <c r="P5" s="56"/>
      <c r="Q5" s="312"/>
      <c r="R5" s="324" t="s">
        <v>452</v>
      </c>
      <c r="S5" s="537">
        <f>SUM(T5:AK5)</f>
        <v>1595246</v>
      </c>
      <c r="T5" s="538">
        <f>HLOOKUP($Y$2,Populiacija!$B$1:$BB$40,23,FALSE)</f>
        <v>73612</v>
      </c>
      <c r="U5" s="538">
        <f>HLOOKUP($Y$2,Populiacija!$B$1:$BB$40,24,FALSE)</f>
        <v>65974</v>
      </c>
      <c r="V5" s="538">
        <f>HLOOKUP($Y$2,Populiacija!$B$1:$BB$40,25,FALSE)</f>
        <v>71497</v>
      </c>
      <c r="W5" s="538">
        <f>HLOOKUP($Y$2,Populiacija!$B$1:$BB$40,26,FALSE)</f>
        <v>88846</v>
      </c>
      <c r="X5" s="538">
        <f>HLOOKUP($Y$2,Populiacija!$B$1:$BB$40,27,FALSE)</f>
        <v>103926</v>
      </c>
      <c r="Y5" s="538">
        <f>HLOOKUP($Y$2,Populiacija!$B$1:$BB$40,28,FALSE)</f>
        <v>95057</v>
      </c>
      <c r="Z5" s="538">
        <f>HLOOKUP($Y$2,Populiacija!$B$1:$BB$40,29,FALSE)</f>
        <v>87387</v>
      </c>
      <c r="AA5" s="538">
        <f>HLOOKUP($Y$2,Populiacija!$B$1:$BB$40,30,FALSE)</f>
        <v>95336</v>
      </c>
      <c r="AB5" s="538">
        <f>HLOOKUP($Y$2,Populiacija!$B$1:$BB$40,31,FALSE)</f>
        <v>108432</v>
      </c>
      <c r="AC5" s="538">
        <f>HLOOKUP($Y$2,Populiacija!$B$1:$BB$40,32,FALSE)</f>
        <v>112259</v>
      </c>
      <c r="AD5" s="538">
        <f>HLOOKUP($Y$2,Populiacija!$B$1:$BB$40,33,FALSE)</f>
        <v>126113</v>
      </c>
      <c r="AE5" s="538">
        <f>HLOOKUP($Y$2,Populiacija!$B$1:$BB$40,34,FALSE)</f>
        <v>107867</v>
      </c>
      <c r="AF5" s="538">
        <f>HLOOKUP($Y$2,Populiacija!$B$1:$BB$40,35,FALSE)</f>
        <v>98916</v>
      </c>
      <c r="AG5" s="538">
        <f>HLOOKUP($Y$2,Populiacija!$B$1:$BB$40,36,FALSE)</f>
        <v>83247</v>
      </c>
      <c r="AH5" s="538">
        <f>HLOOKUP($Y$2,Populiacija!$B$1:$BB$40,37,FALSE)</f>
        <v>90066</v>
      </c>
      <c r="AI5" s="538">
        <f>HLOOKUP($Y$2,Populiacija!$B$1:$BB$40,38,FALSE)</f>
        <v>80494</v>
      </c>
      <c r="AJ5" s="538">
        <f>HLOOKUP($Y$2,Populiacija!$B$1:$BB$40,39,FALSE)</f>
        <v>60795</v>
      </c>
      <c r="AK5" s="538">
        <f>HLOOKUP($Y$2,Populiacija!$B$1:$BB$40,40,FALSE)</f>
        <v>45422</v>
      </c>
      <c r="AL5" s="539" t="s">
        <v>452</v>
      </c>
      <c r="AM5" s="537">
        <f>SUM(AN5:BE5)</f>
        <v>1595246</v>
      </c>
      <c r="AN5" s="540">
        <f>HLOOKUP($Y$2,Populiacija!$B$1:$BB$40,23,FALSE)</f>
        <v>73612</v>
      </c>
      <c r="AO5" s="540">
        <f>HLOOKUP($Y$2,Populiacija!$B$1:$BB$40,24,FALSE)</f>
        <v>65974</v>
      </c>
      <c r="AP5" s="540">
        <f>HLOOKUP($Y$2,Populiacija!$B$1:$BB$40,25,FALSE)</f>
        <v>71497</v>
      </c>
      <c r="AQ5" s="540">
        <f>HLOOKUP($Y$2,Populiacija!$B$1:$BB$40,26,FALSE)</f>
        <v>88846</v>
      </c>
      <c r="AR5" s="540">
        <f>HLOOKUP($Y$2,Populiacija!$B$1:$BB$40,27,FALSE)</f>
        <v>103926</v>
      </c>
      <c r="AS5" s="540">
        <f>HLOOKUP($Y$2,Populiacija!$B$1:$BB$40,28,FALSE)</f>
        <v>95057</v>
      </c>
      <c r="AT5" s="540">
        <f>HLOOKUP($Y$2,Populiacija!$B$1:$BB$40,29,FALSE)</f>
        <v>87387</v>
      </c>
      <c r="AU5" s="540">
        <f>HLOOKUP($Y$2,Populiacija!$B$1:$BB$40,30,FALSE)</f>
        <v>95336</v>
      </c>
      <c r="AV5" s="540">
        <f>HLOOKUP($Y$2,Populiacija!$B$1:$BB$40,31,FALSE)</f>
        <v>108432</v>
      </c>
      <c r="AW5" s="540">
        <f>HLOOKUP($Y$2,Populiacija!$B$1:$BB$40,32,FALSE)</f>
        <v>112259</v>
      </c>
      <c r="AX5" s="540">
        <f>HLOOKUP($Y$2,Populiacija!$B$1:$BB$40,33,FALSE)</f>
        <v>126113</v>
      </c>
      <c r="AY5" s="540">
        <f>HLOOKUP($Y$2,Populiacija!$B$1:$BB$40,34,FALSE)</f>
        <v>107867</v>
      </c>
      <c r="AZ5" s="540">
        <f>HLOOKUP($Y$2,Populiacija!$B$1:$BB$40,35,FALSE)</f>
        <v>98916</v>
      </c>
      <c r="BA5" s="540">
        <f>HLOOKUP($Y$2,Populiacija!$B$1:$BB$40,36,FALSE)</f>
        <v>83247</v>
      </c>
      <c r="BB5" s="540">
        <f>HLOOKUP($Y$2,Populiacija!$B$1:$BB$40,37,FALSE)</f>
        <v>90066</v>
      </c>
      <c r="BC5" s="540">
        <f>HLOOKUP($Y$2,Populiacija!$B$1:$BB$40,38,FALSE)</f>
        <v>80494</v>
      </c>
      <c r="BD5" s="540">
        <f>HLOOKUP($Y$2,Populiacija!$B$1:$BB$40,39,FALSE)</f>
        <v>60795</v>
      </c>
      <c r="BE5" s="540">
        <f>HLOOKUP($Y$2,Populiacija!$B$1:$BB$40,40,FALSE)</f>
        <v>45422</v>
      </c>
      <c r="BF5" s="477"/>
    </row>
    <row r="6" spans="1:58" ht="12.95" customHeight="1">
      <c r="A6" s="30"/>
      <c r="B6" s="448" t="s">
        <v>350</v>
      </c>
      <c r="C6" s="448" t="s">
        <v>243</v>
      </c>
      <c r="D6" s="450" t="s">
        <v>267</v>
      </c>
      <c r="E6" s="452" t="s">
        <v>354</v>
      </c>
      <c r="F6" s="431" t="s">
        <v>358</v>
      </c>
      <c r="G6" s="431"/>
      <c r="H6" s="56"/>
      <c r="I6" s="56"/>
      <c r="J6" s="56"/>
      <c r="K6" s="56"/>
      <c r="L6" s="56"/>
      <c r="M6" s="56"/>
      <c r="N6" s="56"/>
      <c r="O6" s="56"/>
      <c r="P6" s="56"/>
      <c r="Q6" s="316"/>
      <c r="R6" s="323" t="s">
        <v>453</v>
      </c>
      <c r="S6" s="537">
        <f>SUM(T6:AK6)</f>
        <v>2957689</v>
      </c>
      <c r="T6" s="541">
        <f>SUM(T4:T5)</f>
        <v>151062</v>
      </c>
      <c r="U6" s="541">
        <f t="shared" ref="U6:AK6" si="0">SUM(U4:U5)</f>
        <v>134978</v>
      </c>
      <c r="V6" s="541">
        <f t="shared" si="0"/>
        <v>147293</v>
      </c>
      <c r="W6" s="541">
        <f t="shared" si="0"/>
        <v>182450</v>
      </c>
      <c r="X6" s="541">
        <f t="shared" si="0"/>
        <v>213969</v>
      </c>
      <c r="Y6" s="541">
        <f t="shared" si="0"/>
        <v>194552</v>
      </c>
      <c r="Z6" s="541">
        <f t="shared" si="0"/>
        <v>175902</v>
      </c>
      <c r="AA6" s="541">
        <f t="shared" si="0"/>
        <v>186569</v>
      </c>
      <c r="AB6" s="541">
        <f t="shared" si="0"/>
        <v>209529</v>
      </c>
      <c r="AC6" s="541">
        <f t="shared" si="0"/>
        <v>214707</v>
      </c>
      <c r="AD6" s="541">
        <f t="shared" si="0"/>
        <v>236526</v>
      </c>
      <c r="AE6" s="541">
        <f t="shared" si="0"/>
        <v>196253</v>
      </c>
      <c r="AF6" s="541">
        <f t="shared" si="0"/>
        <v>171431</v>
      </c>
      <c r="AG6" s="541">
        <f t="shared" si="0"/>
        <v>136915</v>
      </c>
      <c r="AH6" s="541">
        <f t="shared" si="0"/>
        <v>141332</v>
      </c>
      <c r="AI6" s="541">
        <f t="shared" si="0"/>
        <v>119539</v>
      </c>
      <c r="AJ6" s="541">
        <f t="shared" si="0"/>
        <v>85851</v>
      </c>
      <c r="AK6" s="541">
        <f t="shared" si="0"/>
        <v>58831</v>
      </c>
      <c r="AL6" s="540" t="s">
        <v>453</v>
      </c>
      <c r="AM6" s="537">
        <f>SUM(AN6:BE6)</f>
        <v>2957689</v>
      </c>
      <c r="AN6" s="541">
        <f>SUM(AN4:AN5)</f>
        <v>151062</v>
      </c>
      <c r="AO6" s="541">
        <f t="shared" ref="AO6:BE6" si="1">SUM(AO4:AO5)</f>
        <v>134978</v>
      </c>
      <c r="AP6" s="541">
        <f t="shared" si="1"/>
        <v>147293</v>
      </c>
      <c r="AQ6" s="541">
        <f t="shared" si="1"/>
        <v>182450</v>
      </c>
      <c r="AR6" s="541">
        <f t="shared" si="1"/>
        <v>213969</v>
      </c>
      <c r="AS6" s="541">
        <f t="shared" si="1"/>
        <v>194552</v>
      </c>
      <c r="AT6" s="541">
        <f t="shared" si="1"/>
        <v>175902</v>
      </c>
      <c r="AU6" s="541">
        <f t="shared" si="1"/>
        <v>186569</v>
      </c>
      <c r="AV6" s="541">
        <f t="shared" si="1"/>
        <v>209529</v>
      </c>
      <c r="AW6" s="541">
        <f t="shared" si="1"/>
        <v>214707</v>
      </c>
      <c r="AX6" s="541">
        <f t="shared" si="1"/>
        <v>236526</v>
      </c>
      <c r="AY6" s="541">
        <f t="shared" si="1"/>
        <v>196253</v>
      </c>
      <c r="AZ6" s="541">
        <f t="shared" si="1"/>
        <v>171431</v>
      </c>
      <c r="BA6" s="541">
        <f t="shared" si="1"/>
        <v>136915</v>
      </c>
      <c r="BB6" s="541">
        <f t="shared" si="1"/>
        <v>141332</v>
      </c>
      <c r="BC6" s="541">
        <f t="shared" si="1"/>
        <v>119539</v>
      </c>
      <c r="BD6" s="541">
        <f t="shared" si="1"/>
        <v>85851</v>
      </c>
      <c r="BE6" s="541">
        <f t="shared" si="1"/>
        <v>58831</v>
      </c>
      <c r="BF6" s="477"/>
    </row>
    <row r="7" spans="1:58" ht="12.95" customHeight="1" thickBot="1">
      <c r="A7" s="30"/>
      <c r="B7" s="449"/>
      <c r="C7" s="449"/>
      <c r="D7" s="451"/>
      <c r="E7" s="453"/>
      <c r="F7" s="138" t="s">
        <v>426</v>
      </c>
      <c r="G7" s="138" t="s">
        <v>427</v>
      </c>
      <c r="H7" s="57"/>
      <c r="I7" s="57"/>
      <c r="J7" s="57"/>
      <c r="K7" s="57"/>
      <c r="L7" s="57"/>
      <c r="M7" s="57"/>
      <c r="N7" s="57"/>
      <c r="O7" s="57"/>
      <c r="P7" s="58"/>
      <c r="Q7" s="318"/>
      <c r="R7" s="323" t="s">
        <v>351</v>
      </c>
      <c r="S7" s="542"/>
      <c r="T7" s="543" t="s">
        <v>13</v>
      </c>
      <c r="U7" s="544" t="s">
        <v>11</v>
      </c>
      <c r="V7" s="544" t="s">
        <v>12</v>
      </c>
      <c r="W7" s="543" t="s">
        <v>14</v>
      </c>
      <c r="X7" s="543" t="s">
        <v>15</v>
      </c>
      <c r="Y7" s="543" t="s">
        <v>16</v>
      </c>
      <c r="Z7" s="543" t="s">
        <v>158</v>
      </c>
      <c r="AA7" s="543" t="s">
        <v>17</v>
      </c>
      <c r="AB7" s="543" t="s">
        <v>18</v>
      </c>
      <c r="AC7" s="543" t="s">
        <v>19</v>
      </c>
      <c r="AD7" s="543" t="s">
        <v>20</v>
      </c>
      <c r="AE7" s="543" t="s">
        <v>21</v>
      </c>
      <c r="AF7" s="543" t="s">
        <v>159</v>
      </c>
      <c r="AG7" s="543" t="s">
        <v>160</v>
      </c>
      <c r="AH7" s="543" t="s">
        <v>161</v>
      </c>
      <c r="AI7" s="543" t="s">
        <v>162</v>
      </c>
      <c r="AJ7" s="543" t="s">
        <v>22</v>
      </c>
      <c r="AK7" s="543" t="s">
        <v>23</v>
      </c>
      <c r="AL7" s="540" t="s">
        <v>351</v>
      </c>
      <c r="AM7" s="542"/>
      <c r="AN7" s="543" t="s">
        <v>13</v>
      </c>
      <c r="AO7" s="544" t="s">
        <v>11</v>
      </c>
      <c r="AP7" s="544" t="s">
        <v>12</v>
      </c>
      <c r="AQ7" s="543" t="s">
        <v>14</v>
      </c>
      <c r="AR7" s="543" t="s">
        <v>15</v>
      </c>
      <c r="AS7" s="543" t="s">
        <v>16</v>
      </c>
      <c r="AT7" s="543" t="s">
        <v>158</v>
      </c>
      <c r="AU7" s="543" t="s">
        <v>17</v>
      </c>
      <c r="AV7" s="543" t="s">
        <v>18</v>
      </c>
      <c r="AW7" s="543" t="s">
        <v>19</v>
      </c>
      <c r="AX7" s="543" t="s">
        <v>20</v>
      </c>
      <c r="AY7" s="543" t="s">
        <v>21</v>
      </c>
      <c r="AZ7" s="543" t="s">
        <v>159</v>
      </c>
      <c r="BA7" s="543" t="s">
        <v>160</v>
      </c>
      <c r="BB7" s="543" t="s">
        <v>161</v>
      </c>
      <c r="BC7" s="543" t="s">
        <v>162</v>
      </c>
      <c r="BD7" s="543" t="s">
        <v>22</v>
      </c>
      <c r="BE7" s="543" t="s">
        <v>23</v>
      </c>
      <c r="BF7" s="477"/>
    </row>
    <row r="8" spans="1:58" ht="12" customHeight="1" thickTop="1">
      <c r="A8" s="30"/>
      <c r="B8" s="144" t="str">
        <f>UPPER(LEFT(TRIM(Data!B5),1)) &amp; MID(TRIM(Data!B5),2,50)</f>
        <v>Piktybiniai navikai</v>
      </c>
      <c r="C8" s="123" t="str">
        <f>Data!C5</f>
        <v>C00-C96</v>
      </c>
      <c r="D8" s="136">
        <f>Data!E5+Data!BR5</f>
        <v>7871</v>
      </c>
      <c r="E8" s="125">
        <f t="shared" ref="E8:E48" si="2">D8/$S$6*100000</f>
        <v>266.11993350213629</v>
      </c>
      <c r="F8" s="126">
        <f t="shared" ref="F8:F48" si="3">S8/$S$3</f>
        <v>178.51619819300055</v>
      </c>
      <c r="G8" s="127">
        <f>AM8/$AM$3</f>
        <v>121.31154970419686</v>
      </c>
      <c r="H8" s="57"/>
      <c r="I8" s="57"/>
      <c r="J8" s="57"/>
      <c r="K8" s="57"/>
      <c r="L8" s="57"/>
      <c r="M8" s="57"/>
      <c r="N8" s="57"/>
      <c r="O8" s="57"/>
      <c r="P8" s="58"/>
      <c r="Q8" s="321"/>
      <c r="R8" s="327" t="s">
        <v>352</v>
      </c>
      <c r="S8" s="537">
        <f t="shared" ref="S8:S55" si="4">SUM(T8:AK8)</f>
        <v>17851619.819300056</v>
      </c>
      <c r="T8" s="537">
        <f>(Data!AN5+Data!DA5)/T$6*100000*T$3</f>
        <v>15887.516384001272</v>
      </c>
      <c r="U8" s="537">
        <f>(Data!AO5+Data!DB5)/U$6*100000*U$3</f>
        <v>15558.090948154513</v>
      </c>
      <c r="V8" s="537">
        <f>(Data!AP5+Data!DC5)/V$6*100000*V$3</f>
        <v>28514.593361531097</v>
      </c>
      <c r="W8" s="537">
        <f>(Data!AQ5+Data!DD5)/W$6*100000*W$3</f>
        <v>23020.005480953685</v>
      </c>
      <c r="X8" s="537">
        <f>(Data!AR5+Data!DE5)/X$6*100000*X$3</f>
        <v>39258.023358523897</v>
      </c>
      <c r="Y8" s="537">
        <f>(Data!AS5+Data!DF5)/Y$6*100000*Y$3</f>
        <v>61166.166371972526</v>
      </c>
      <c r="Z8" s="537">
        <f>(Data!AT5+Data!DG5)/Z$6*100000*Z$3</f>
        <v>115405.16878716559</v>
      </c>
      <c r="AA8" s="537">
        <f>(Data!AU5+Data!DH5)/AA$6*100000*AA$3</f>
        <v>240125.63716373031</v>
      </c>
      <c r="AB8" s="537">
        <f>(Data!AV5+Data!DI5)/AB$6*100000*AB$3</f>
        <v>414262.46486166591</v>
      </c>
      <c r="AC8" s="537">
        <f>(Data!AW5+Data!DJ5)/AC$6*100000*AC$3</f>
        <v>802023.22234486998</v>
      </c>
      <c r="AD8" s="537">
        <f>(Data!AX5+Data!DK5)/AD$6*100000*AD$3</f>
        <v>1314020.4459552015</v>
      </c>
      <c r="AE8" s="537">
        <f>(Data!AY5+Data!DL5)/AE$6*100000*AE$3</f>
        <v>2103407.3364483602</v>
      </c>
      <c r="AF8" s="537">
        <f>(Data!AZ5+Data!DM5)/AF$6*100000*AF$3</f>
        <v>2630796.0637224307</v>
      </c>
      <c r="AG8" s="537">
        <f>(Data!BA5+Data!DN5)/AG$6*100000*AG$3</f>
        <v>2588467.2972282073</v>
      </c>
      <c r="AH8" s="537">
        <f>(Data!BB5+Data!DO5)/AH$6*100000*AH$3</f>
        <v>2640590.9489712166</v>
      </c>
      <c r="AI8" s="537">
        <f>(Data!BC5+Data!DP5)/AI$6*100000*AI$3</f>
        <v>2138214.3066279623</v>
      </c>
      <c r="AJ8" s="537">
        <f>(Data!BD5+Data!DQ5)/AJ$6*100000*AJ$3</f>
        <v>1264982.3531467309</v>
      </c>
      <c r="AK8" s="537">
        <f>(Data!BE5+Data!DR5)/AK$6*100000*AK$3</f>
        <v>1415920.1781373764</v>
      </c>
      <c r="AL8" s="545" t="s">
        <v>352</v>
      </c>
      <c r="AM8" s="537">
        <f t="shared" ref="AM8:AM55" si="5">SUM(AN8:BE8)</f>
        <v>12131154.970419686</v>
      </c>
      <c r="AN8" s="537">
        <f>(Data!AN5+Data!DA5)/AN$6*100000*AN$3</f>
        <v>23831.274576001906</v>
      </c>
      <c r="AO8" s="537">
        <f>(Data!AO5+Data!DB5)/AO$6*100000*AO$3</f>
        <v>22225.844211649302</v>
      </c>
      <c r="AP8" s="537">
        <f>(Data!AP5+Data!DC5)/AP$6*100000*AP$3</f>
        <v>36661.620036254266</v>
      </c>
      <c r="AQ8" s="537">
        <f>(Data!AQ5+Data!DD5)/AQ$6*100000*AQ$3</f>
        <v>29597.149904083308</v>
      </c>
      <c r="AR8" s="537">
        <f>(Data!AR5+Data!DE5)/AR$6*100000*AR$3</f>
        <v>44866.312409741593</v>
      </c>
      <c r="AS8" s="537">
        <f>(Data!AS5+Data!DF5)/AS$6*100000*AS$3</f>
        <v>69904.190139397178</v>
      </c>
      <c r="AT8" s="537">
        <f>(Data!AT5+Data!DG5)/AT$6*100000*AT$3</f>
        <v>98918.716103284794</v>
      </c>
      <c r="AU8" s="537">
        <f>(Data!AU5+Data!DH5)/AU$6*100000*AU$3</f>
        <v>205821.97471176882</v>
      </c>
      <c r="AV8" s="537">
        <f>(Data!AV5+Data!DI5)/AV$6*100000*AV$3</f>
        <v>355082.11273857078</v>
      </c>
      <c r="AW8" s="537">
        <f>(Data!AW5+Data!DJ5)/AW$6*100000*AW$3</f>
        <v>687448.47629560286</v>
      </c>
      <c r="AX8" s="537">
        <f>(Data!AX5+Data!DK5)/AX$6*100000*AX$3</f>
        <v>938586.03282514389</v>
      </c>
      <c r="AY8" s="537">
        <f>(Data!AY5+Data!DL5)/AY$6*100000*AY$3</f>
        <v>1402271.55763224</v>
      </c>
      <c r="AZ8" s="537">
        <f>(Data!AZ5+Data!DM5)/AZ$6*100000*AZ$3</f>
        <v>2104636.8509779447</v>
      </c>
      <c r="BA8" s="537">
        <f>(Data!BA5+Data!DN5)/BA$6*100000*BA$3</f>
        <v>1941350.4729211556</v>
      </c>
      <c r="BB8" s="537">
        <f>(Data!BB5+Data!DO5)/BB$6*100000*BB$3</f>
        <v>1760393.9659808108</v>
      </c>
      <c r="BC8" s="537">
        <f>(Data!BC5+Data!DP5)/BC$6*100000*BC$3</f>
        <v>1069107.1533139811</v>
      </c>
      <c r="BD8" s="537">
        <f>(Data!BD5+Data!DQ5)/BD$6*100000*BD$3</f>
        <v>632491.17657336546</v>
      </c>
      <c r="BE8" s="537">
        <f>(Data!BE5+Data!DR5)/BE$6*100000*BE$3</f>
        <v>707960.08906868822</v>
      </c>
      <c r="BF8" s="477"/>
    </row>
    <row r="9" spans="1:58" ht="12" customHeight="1">
      <c r="A9" s="30"/>
      <c r="B9" s="144" t="str">
        <f>UPPER(LEFT(TRIM(Data!B6),1)) &amp; MID(TRIM(Data!B6),2,50)</f>
        <v>Lūpos</v>
      </c>
      <c r="C9" s="123" t="str">
        <f>Data!C6</f>
        <v>C00</v>
      </c>
      <c r="D9" s="136">
        <f>Data!E6+Data!BR6</f>
        <v>7</v>
      </c>
      <c r="E9" s="125">
        <f t="shared" ref="E9:E46" si="6">D9/$S$6*100000</f>
        <v>0.23667126597826885</v>
      </c>
      <c r="F9" s="126">
        <f t="shared" ref="F9:F46" si="7">S9/$S$3</f>
        <v>0.12361054237908577</v>
      </c>
      <c r="G9" s="127">
        <f t="shared" ref="G9:G46" si="8">AM9/$AM$3</f>
        <v>7.6184611266766566E-2</v>
      </c>
      <c r="H9" s="57"/>
      <c r="I9" s="57"/>
      <c r="J9" s="57"/>
      <c r="K9" s="57"/>
      <c r="L9" s="57"/>
      <c r="M9" s="57"/>
      <c r="N9" s="57"/>
      <c r="O9" s="57"/>
      <c r="P9" s="58"/>
      <c r="Q9" s="321"/>
      <c r="R9" s="327" t="s">
        <v>352</v>
      </c>
      <c r="S9" s="537">
        <f t="shared" si="4"/>
        <v>12361.054237908576</v>
      </c>
      <c r="T9" s="537">
        <f>(Data!AN6+Data!DA6)/T$6*100000*T$3</f>
        <v>0</v>
      </c>
      <c r="U9" s="537">
        <f>(Data!AO6+Data!DB6)/U$6*100000*U$3</f>
        <v>0</v>
      </c>
      <c r="V9" s="537">
        <f>(Data!AP6+Data!DC6)/V$6*100000*V$3</f>
        <v>0</v>
      </c>
      <c r="W9" s="537">
        <f>(Data!AQ6+Data!DD6)/W$6*100000*W$3</f>
        <v>0</v>
      </c>
      <c r="X9" s="537">
        <f>(Data!AR6+Data!DE6)/X$6*100000*X$3</f>
        <v>0</v>
      </c>
      <c r="Y9" s="537">
        <f>(Data!AS6+Data!DF6)/Y$6*100000*Y$3</f>
        <v>0</v>
      </c>
      <c r="Z9" s="537">
        <f>(Data!AT6+Data!DG6)/Z$6*100000*Z$3</f>
        <v>0</v>
      </c>
      <c r="AA9" s="537">
        <f>(Data!AU6+Data!DH6)/AA$6*100000*AA$3</f>
        <v>0</v>
      </c>
      <c r="AB9" s="537">
        <f>(Data!AV6+Data!DI6)/AB$6*100000*AB$3</f>
        <v>0</v>
      </c>
      <c r="AC9" s="537">
        <f>(Data!AW6+Data!DJ6)/AC$6*100000*AC$3</f>
        <v>0</v>
      </c>
      <c r="AD9" s="537">
        <f>(Data!AX6+Data!DK6)/AD$6*100000*AD$3</f>
        <v>0</v>
      </c>
      <c r="AE9" s="537">
        <f>(Data!AY6+Data!DL6)/AE$6*100000*AE$3</f>
        <v>0</v>
      </c>
      <c r="AF9" s="537">
        <f>(Data!AZ6+Data!DM6)/AF$6*100000*AF$3</f>
        <v>0</v>
      </c>
      <c r="AG9" s="537">
        <f>(Data!BA6+Data!DN6)/AG$6*100000*AG$3</f>
        <v>2921.520651499105</v>
      </c>
      <c r="AH9" s="537">
        <f>(Data!BB6+Data!DO6)/AH$6*100000*AH$3</f>
        <v>4245.3230690855571</v>
      </c>
      <c r="AI9" s="537">
        <f>(Data!BC6+Data!DP6)/AI$6*100000*AI$3</f>
        <v>0</v>
      </c>
      <c r="AJ9" s="537">
        <f>(Data!BD6+Data!DQ6)/AJ$6*100000*AJ$3</f>
        <v>3494.4263899080961</v>
      </c>
      <c r="AK9" s="537">
        <f>(Data!BE6+Data!DR6)/AK$6*100000*AK$3</f>
        <v>1699.7841274158184</v>
      </c>
      <c r="AL9" s="545" t="s">
        <v>352</v>
      </c>
      <c r="AM9" s="537">
        <f t="shared" si="5"/>
        <v>7618.4611266766569</v>
      </c>
      <c r="AN9" s="537">
        <f>(Data!AN6+Data!DA6)/AN$6*100000*AN$3</f>
        <v>0</v>
      </c>
      <c r="AO9" s="537">
        <f>(Data!AO6+Data!DB6)/AO$6*100000*AO$3</f>
        <v>0</v>
      </c>
      <c r="AP9" s="537">
        <f>(Data!AP6+Data!DC6)/AP$6*100000*AP$3</f>
        <v>0</v>
      </c>
      <c r="AQ9" s="537">
        <f>(Data!AQ6+Data!DD6)/AQ$6*100000*AQ$3</f>
        <v>0</v>
      </c>
      <c r="AR9" s="537">
        <f>(Data!AR6+Data!DE6)/AR$6*100000*AR$3</f>
        <v>0</v>
      </c>
      <c r="AS9" s="537">
        <f>(Data!AS6+Data!DF6)/AS$6*100000*AS$3</f>
        <v>0</v>
      </c>
      <c r="AT9" s="537">
        <f>(Data!AT6+Data!DG6)/AT$6*100000*AT$3</f>
        <v>0</v>
      </c>
      <c r="AU9" s="537">
        <f>(Data!AU6+Data!DH6)/AU$6*100000*AU$3</f>
        <v>0</v>
      </c>
      <c r="AV9" s="537">
        <f>(Data!AV6+Data!DI6)/AV$6*100000*AV$3</f>
        <v>0</v>
      </c>
      <c r="AW9" s="537">
        <f>(Data!AW6+Data!DJ6)/AW$6*100000*AW$3</f>
        <v>0</v>
      </c>
      <c r="AX9" s="537">
        <f>(Data!AX6+Data!DK6)/AX$6*100000*AX$3</f>
        <v>0</v>
      </c>
      <c r="AY9" s="537">
        <f>(Data!AY6+Data!DL6)/AY$6*100000*AY$3</f>
        <v>0</v>
      </c>
      <c r="AZ9" s="537">
        <f>(Data!AZ6+Data!DM6)/AZ$6*100000*AZ$3</f>
        <v>0</v>
      </c>
      <c r="BA9" s="537">
        <f>(Data!BA6+Data!DN6)/BA$6*100000*BA$3</f>
        <v>2191.1404886243286</v>
      </c>
      <c r="BB9" s="537">
        <f>(Data!BB6+Data!DO6)/BB$6*100000*BB$3</f>
        <v>2830.2153793903717</v>
      </c>
      <c r="BC9" s="537">
        <f>(Data!BC6+Data!DP6)/BC$6*100000*BC$3</f>
        <v>0</v>
      </c>
      <c r="BD9" s="537">
        <f>(Data!BD6+Data!DQ6)/BD$6*100000*BD$3</f>
        <v>1747.213194954048</v>
      </c>
      <c r="BE9" s="537">
        <f>(Data!BE6+Data!DR6)/BE$6*100000*BE$3</f>
        <v>849.89206370790919</v>
      </c>
      <c r="BF9" s="477"/>
    </row>
    <row r="10" spans="1:58" ht="12" customHeight="1">
      <c r="A10" s="30"/>
      <c r="B10" s="144" t="str">
        <f>UPPER(LEFT(TRIM(Data!B7),1)) &amp; MID(TRIM(Data!B7),2,50)</f>
        <v>Burnos ertmės ir ryklės</v>
      </c>
      <c r="C10" s="123" t="str">
        <f>Data!C7</f>
        <v>C01-C14</v>
      </c>
      <c r="D10" s="136">
        <f>Data!E7+Data!BR7</f>
        <v>247</v>
      </c>
      <c r="E10" s="125">
        <f t="shared" si="6"/>
        <v>8.3511146709474851</v>
      </c>
      <c r="F10" s="126">
        <f t="shared" si="7"/>
        <v>6.7097100544588342</v>
      </c>
      <c r="G10" s="127">
        <f t="shared" si="8"/>
        <v>4.8481143886626707</v>
      </c>
      <c r="H10" s="57"/>
      <c r="I10" s="57"/>
      <c r="J10" s="57"/>
      <c r="K10" s="57"/>
      <c r="L10" s="57"/>
      <c r="M10" s="57"/>
      <c r="N10" s="57"/>
      <c r="O10" s="57"/>
      <c r="P10" s="58"/>
      <c r="Q10" s="307"/>
      <c r="R10" s="327" t="s">
        <v>352</v>
      </c>
      <c r="S10" s="537">
        <f t="shared" si="4"/>
        <v>670971.00544588338</v>
      </c>
      <c r="T10" s="537">
        <f>(Data!AN7+Data!DA7)/T$6*100000*T$3</f>
        <v>0</v>
      </c>
      <c r="U10" s="537">
        <f>(Data!AO7+Data!DB7)/U$6*100000*U$3</f>
        <v>0</v>
      </c>
      <c r="V10" s="537">
        <f>(Data!AP7+Data!DC7)/V$6*100000*V$3</f>
        <v>0</v>
      </c>
      <c r="W10" s="537">
        <f>(Data!AQ7+Data!DD7)/W$6*100000*W$3</f>
        <v>0</v>
      </c>
      <c r="X10" s="537">
        <f>(Data!AR7+Data!DE7)/X$6*100000*X$3</f>
        <v>0</v>
      </c>
      <c r="Y10" s="537">
        <f>(Data!AS7+Data!DF7)/Y$6*100000*Y$3</f>
        <v>0</v>
      </c>
      <c r="Z10" s="537">
        <f>(Data!AT7+Data!DG7)/Z$6*100000*Z$3</f>
        <v>0</v>
      </c>
      <c r="AA10" s="537">
        <f>(Data!AU7+Data!DH7)/AA$6*100000*AA$3</f>
        <v>22511.778484099719</v>
      </c>
      <c r="AB10" s="537">
        <f>(Data!AV7+Data!DI7)/AB$6*100000*AB$3</f>
        <v>16704.131647647821</v>
      </c>
      <c r="AC10" s="537">
        <f>(Data!AW7+Data!DJ7)/AC$6*100000*AC$3</f>
        <v>45643.598019626741</v>
      </c>
      <c r="AD10" s="537">
        <f>(Data!AX7+Data!DK7)/AD$6*100000*AD$3</f>
        <v>79906.648740519027</v>
      </c>
      <c r="AE10" s="537">
        <f>(Data!AY7+Data!DL7)/AE$6*100000*AE$3</f>
        <v>149806.62715983961</v>
      </c>
      <c r="AF10" s="537">
        <f>(Data!AZ7+Data!DM7)/AF$6*100000*AF$3</f>
        <v>142914.64204257104</v>
      </c>
      <c r="AG10" s="537">
        <f>(Data!BA7+Data!DN7)/AG$6*100000*AG$3</f>
        <v>102253.22280246868</v>
      </c>
      <c r="AH10" s="537">
        <f>(Data!BB7+Data!DO7)/AH$6*100000*AH$3</f>
        <v>50943.876829026689</v>
      </c>
      <c r="AI10" s="537">
        <f>(Data!BC7+Data!DP7)/AI$6*100000*AI$3</f>
        <v>35134.976869473561</v>
      </c>
      <c r="AJ10" s="537">
        <f>(Data!BD7+Data!DQ7)/AJ$6*100000*AJ$3</f>
        <v>8153.6615764522257</v>
      </c>
      <c r="AK10" s="537">
        <f>(Data!BE7+Data!DR7)/AK$6*100000*AK$3</f>
        <v>16997.841274158181</v>
      </c>
      <c r="AL10" s="545" t="s">
        <v>352</v>
      </c>
      <c r="AM10" s="537">
        <f t="shared" si="5"/>
        <v>484811.4388662671</v>
      </c>
      <c r="AN10" s="537">
        <f>(Data!AN7+Data!DA7)/AN$6*100000*AN$3</f>
        <v>0</v>
      </c>
      <c r="AO10" s="537">
        <f>(Data!AO7+Data!DB7)/AO$6*100000*AO$3</f>
        <v>0</v>
      </c>
      <c r="AP10" s="537">
        <f>(Data!AP7+Data!DC7)/AP$6*100000*AP$3</f>
        <v>0</v>
      </c>
      <c r="AQ10" s="537">
        <f>(Data!AQ7+Data!DD7)/AQ$6*100000*AQ$3</f>
        <v>0</v>
      </c>
      <c r="AR10" s="537">
        <f>(Data!AR7+Data!DE7)/AR$6*100000*AR$3</f>
        <v>0</v>
      </c>
      <c r="AS10" s="537">
        <f>(Data!AS7+Data!DF7)/AS$6*100000*AS$3</f>
        <v>0</v>
      </c>
      <c r="AT10" s="537">
        <f>(Data!AT7+Data!DG7)/AT$6*100000*AT$3</f>
        <v>0</v>
      </c>
      <c r="AU10" s="537">
        <f>(Data!AU7+Data!DH7)/AU$6*100000*AU$3</f>
        <v>19295.810129228332</v>
      </c>
      <c r="AV10" s="537">
        <f>(Data!AV7+Data!DI7)/AV$6*100000*AV$3</f>
        <v>14317.827126555274</v>
      </c>
      <c r="AW10" s="537">
        <f>(Data!AW7+Data!DJ7)/AW$6*100000*AW$3</f>
        <v>39123.084016822926</v>
      </c>
      <c r="AX10" s="537">
        <f>(Data!AX7+Data!DK7)/AX$6*100000*AX$3</f>
        <v>57076.177671799305</v>
      </c>
      <c r="AY10" s="537">
        <f>(Data!AY7+Data!DL7)/AY$6*100000*AY$3</f>
        <v>99871.084773226394</v>
      </c>
      <c r="AZ10" s="537">
        <f>(Data!AZ7+Data!DM7)/AZ$6*100000*AZ$3</f>
        <v>114331.71363405684</v>
      </c>
      <c r="BA10" s="537">
        <f>(Data!BA7+Data!DN7)/BA$6*100000*BA$3</f>
        <v>76689.917101851519</v>
      </c>
      <c r="BB10" s="537">
        <f>(Data!BB7+Data!DO7)/BB$6*100000*BB$3</f>
        <v>33962.584552684464</v>
      </c>
      <c r="BC10" s="537">
        <f>(Data!BC7+Data!DP7)/BC$6*100000*BC$3</f>
        <v>17567.488434736781</v>
      </c>
      <c r="BD10" s="537">
        <f>(Data!BD7+Data!DQ7)/BD$6*100000*BD$3</f>
        <v>4076.8307882261129</v>
      </c>
      <c r="BE10" s="537">
        <f>(Data!BE7+Data!DR7)/BE$6*100000*BE$3</f>
        <v>8498.9206370790907</v>
      </c>
      <c r="BF10" s="477"/>
    </row>
    <row r="11" spans="1:58" ht="12" customHeight="1">
      <c r="A11" s="30"/>
      <c r="B11" s="144" t="str">
        <f>UPPER(LEFT(TRIM(Data!B8),1)) &amp; MID(TRIM(Data!B8),2,50)</f>
        <v>Stemplės</v>
      </c>
      <c r="C11" s="123" t="str">
        <f>Data!C8</f>
        <v>C15</v>
      </c>
      <c r="D11" s="136">
        <f>Data!E8+Data!BR8</f>
        <v>175</v>
      </c>
      <c r="E11" s="125">
        <f t="shared" si="6"/>
        <v>5.9167816494567216</v>
      </c>
      <c r="F11" s="126">
        <f t="shared" si="7"/>
        <v>4.5487866992811652</v>
      </c>
      <c r="G11" s="127">
        <f t="shared" si="8"/>
        <v>3.2351916455873777</v>
      </c>
      <c r="H11" s="57"/>
      <c r="I11" s="57"/>
      <c r="J11" s="57"/>
      <c r="K11" s="57"/>
      <c r="L11" s="57"/>
      <c r="M11" s="57"/>
      <c r="N11" s="57"/>
      <c r="O11" s="57"/>
      <c r="P11" s="58"/>
      <c r="Q11" s="307"/>
      <c r="R11" s="327" t="s">
        <v>352</v>
      </c>
      <c r="S11" s="537">
        <f t="shared" si="4"/>
        <v>454878.66992811649</v>
      </c>
      <c r="T11" s="537">
        <f>(Data!AN8+Data!DA8)/T$6*100000*T$3</f>
        <v>0</v>
      </c>
      <c r="U11" s="537">
        <f>(Data!AO8+Data!DB8)/U$6*100000*U$3</f>
        <v>0</v>
      </c>
      <c r="V11" s="537">
        <f>(Data!AP8+Data!DC8)/V$6*100000*V$3</f>
        <v>0</v>
      </c>
      <c r="W11" s="537">
        <f>(Data!AQ8+Data!DD8)/W$6*100000*W$3</f>
        <v>0</v>
      </c>
      <c r="X11" s="537">
        <f>(Data!AR8+Data!DE8)/X$6*100000*X$3</f>
        <v>0</v>
      </c>
      <c r="Y11" s="537">
        <f>(Data!AS8+Data!DF8)/Y$6*100000*Y$3</f>
        <v>0</v>
      </c>
      <c r="Z11" s="537">
        <f>(Data!AT8+Data!DG8)/Z$6*100000*Z$3</f>
        <v>0</v>
      </c>
      <c r="AA11" s="537">
        <f>(Data!AU8+Data!DH8)/AA$6*100000*AA$3</f>
        <v>7503.9261613665722</v>
      </c>
      <c r="AB11" s="537">
        <f>(Data!AV8+Data!DI8)/AB$6*100000*AB$3</f>
        <v>6681.6526590591284</v>
      </c>
      <c r="AC11" s="537">
        <f>(Data!AW8+Data!DJ8)/AC$6*100000*AC$3</f>
        <v>29342.313012617193</v>
      </c>
      <c r="AD11" s="537">
        <f>(Data!AX8+Data!DK8)/AD$6*100000*AD$3</f>
        <v>53271.099160346006</v>
      </c>
      <c r="AE11" s="537">
        <f>(Data!AY8+Data!DL8)/AE$6*100000*AE$3</f>
        <v>97832.899369691164</v>
      </c>
      <c r="AF11" s="537">
        <f>(Data!AZ8+Data!DM8)/AF$6*100000*AF$3</f>
        <v>90415.385782034748</v>
      </c>
      <c r="AG11" s="537">
        <f>(Data!BA8+Data!DN8)/AG$6*100000*AG$3</f>
        <v>73038.016287477629</v>
      </c>
      <c r="AH11" s="537">
        <f>(Data!BB8+Data!DO8)/AH$6*100000*AH$3</f>
        <v>44575.892225398355</v>
      </c>
      <c r="AI11" s="537">
        <f>(Data!BC8+Data!DP8)/AI$6*100000*AI$3</f>
        <v>20077.129639699175</v>
      </c>
      <c r="AJ11" s="537">
        <f>(Data!BD8+Data!DQ8)/AJ$6*100000*AJ$3</f>
        <v>15142.514356268417</v>
      </c>
      <c r="AK11" s="537">
        <f>(Data!BE8+Data!DR8)/AK$6*100000*AK$3</f>
        <v>16997.841274158181</v>
      </c>
      <c r="AL11" s="545" t="s">
        <v>352</v>
      </c>
      <c r="AM11" s="537">
        <f t="shared" si="5"/>
        <v>323519.16455873777</v>
      </c>
      <c r="AN11" s="537">
        <f>(Data!AN8+Data!DA8)/AN$6*100000*AN$3</f>
        <v>0</v>
      </c>
      <c r="AO11" s="537">
        <f>(Data!AO8+Data!DB8)/AO$6*100000*AO$3</f>
        <v>0</v>
      </c>
      <c r="AP11" s="537">
        <f>(Data!AP8+Data!DC8)/AP$6*100000*AP$3</f>
        <v>0</v>
      </c>
      <c r="AQ11" s="537">
        <f>(Data!AQ8+Data!DD8)/AQ$6*100000*AQ$3</f>
        <v>0</v>
      </c>
      <c r="AR11" s="537">
        <f>(Data!AR8+Data!DE8)/AR$6*100000*AR$3</f>
        <v>0</v>
      </c>
      <c r="AS11" s="537">
        <f>(Data!AS8+Data!DF8)/AS$6*100000*AS$3</f>
        <v>0</v>
      </c>
      <c r="AT11" s="537">
        <f>(Data!AT8+Data!DG8)/AT$6*100000*AT$3</f>
        <v>0</v>
      </c>
      <c r="AU11" s="537">
        <f>(Data!AU8+Data!DH8)/AU$6*100000*AU$3</f>
        <v>6431.9367097427757</v>
      </c>
      <c r="AV11" s="537">
        <f>(Data!AV8+Data!DI8)/AV$6*100000*AV$3</f>
        <v>5727.1308506221094</v>
      </c>
      <c r="AW11" s="537">
        <f>(Data!AW8+Data!DJ8)/AW$6*100000*AW$3</f>
        <v>25150.554010814736</v>
      </c>
      <c r="AX11" s="537">
        <f>(Data!AX8+Data!DK8)/AX$6*100000*AX$3</f>
        <v>38050.78511453286</v>
      </c>
      <c r="AY11" s="537">
        <f>(Data!AY8+Data!DL8)/AY$6*100000*AY$3</f>
        <v>65221.93291312745</v>
      </c>
      <c r="AZ11" s="537">
        <f>(Data!AZ8+Data!DM8)/AZ$6*100000*AZ$3</f>
        <v>72332.308625627804</v>
      </c>
      <c r="BA11" s="537">
        <f>(Data!BA8+Data!DN8)/BA$6*100000*BA$3</f>
        <v>54778.512215608222</v>
      </c>
      <c r="BB11" s="537">
        <f>(Data!BB8+Data!DO8)/BB$6*100000*BB$3</f>
        <v>29717.261483598904</v>
      </c>
      <c r="BC11" s="537">
        <f>(Data!BC8+Data!DP8)/BC$6*100000*BC$3</f>
        <v>10038.564819849587</v>
      </c>
      <c r="BD11" s="537">
        <f>(Data!BD8+Data!DQ8)/BD$6*100000*BD$3</f>
        <v>7571.2571781342085</v>
      </c>
      <c r="BE11" s="537">
        <f>(Data!BE8+Data!DR8)/BE$6*100000*BE$3</f>
        <v>8498.9206370790907</v>
      </c>
      <c r="BF11" s="477"/>
    </row>
    <row r="12" spans="1:58" ht="12" customHeight="1">
      <c r="A12" s="30"/>
      <c r="B12" s="144" t="str">
        <f>UPPER(LEFT(TRIM(Data!B9),1)) &amp; MID(TRIM(Data!B9),2,50)</f>
        <v>Skrandžio</v>
      </c>
      <c r="C12" s="123" t="str">
        <f>Data!C9</f>
        <v>C16</v>
      </c>
      <c r="D12" s="136">
        <f>Data!E9+Data!BR9</f>
        <v>642</v>
      </c>
      <c r="E12" s="125">
        <f t="shared" si="6"/>
        <v>21.706136108292657</v>
      </c>
      <c r="F12" s="126">
        <f t="shared" si="7"/>
        <v>14.330135051494652</v>
      </c>
      <c r="G12" s="127">
        <f t="shared" si="8"/>
        <v>9.6791831745552042</v>
      </c>
      <c r="H12" s="57"/>
      <c r="I12" s="57"/>
      <c r="J12" s="57"/>
      <c r="K12" s="57"/>
      <c r="L12" s="57"/>
      <c r="M12" s="57"/>
      <c r="N12" s="57"/>
      <c r="O12" s="57"/>
      <c r="P12" s="58"/>
      <c r="Q12" s="307"/>
      <c r="R12" s="327" t="s">
        <v>352</v>
      </c>
      <c r="S12" s="537">
        <f t="shared" si="4"/>
        <v>1433013.5051494653</v>
      </c>
      <c r="T12" s="537">
        <f>(Data!AN9+Data!DA9)/T$6*100000*T$3</f>
        <v>0</v>
      </c>
      <c r="U12" s="537">
        <f>(Data!AO9+Data!DB9)/U$6*100000*U$3</f>
        <v>0</v>
      </c>
      <c r="V12" s="537">
        <f>(Data!AP9+Data!DC9)/V$6*100000*V$3</f>
        <v>0</v>
      </c>
      <c r="W12" s="537">
        <f>(Data!AQ9+Data!DD9)/W$6*100000*W$3</f>
        <v>0</v>
      </c>
      <c r="X12" s="537">
        <f>(Data!AR9+Data!DE9)/X$6*100000*X$3</f>
        <v>6543.003893087317</v>
      </c>
      <c r="Y12" s="537">
        <f>(Data!AS9+Data!DF9)/Y$6*100000*Y$3</f>
        <v>3598.0097865866192</v>
      </c>
      <c r="Z12" s="537">
        <f>(Data!AT9+Data!DG9)/Z$6*100000*Z$3</f>
        <v>7958.9771577355559</v>
      </c>
      <c r="AA12" s="537">
        <f>(Data!AU9+Data!DH9)/AA$6*100000*AA$3</f>
        <v>30015.704645466289</v>
      </c>
      <c r="AB12" s="537">
        <f>(Data!AV9+Data!DI9)/AB$6*100000*AB$3</f>
        <v>43430.742283884334</v>
      </c>
      <c r="AC12" s="537">
        <f>(Data!AW9+Data!DJ9)/AC$6*100000*AC$3</f>
        <v>74985.911032243937</v>
      </c>
      <c r="AD12" s="537">
        <f>(Data!AX9+Data!DK9)/AD$6*100000*AD$3</f>
        <v>130218.2423919569</v>
      </c>
      <c r="AE12" s="537">
        <f>(Data!AY9+Data!DL9)/AE$6*100000*AE$3</f>
        <v>134520.23663332537</v>
      </c>
      <c r="AF12" s="537">
        <f>(Data!AZ9+Data!DM9)/AF$6*100000*AF$3</f>
        <v>169164.27017283923</v>
      </c>
      <c r="AG12" s="537">
        <f>(Data!BA9+Data!DN9)/AG$6*100000*AG$3</f>
        <v>210349.48690793558</v>
      </c>
      <c r="AH12" s="537">
        <f>(Data!BB9+Data!DO9)/AH$6*100000*AH$3</f>
        <v>212266.15345427787</v>
      </c>
      <c r="AI12" s="537">
        <f>(Data!BC9+Data!DP9)/AI$6*100000*AI$3</f>
        <v>148905.37816110224</v>
      </c>
      <c r="AJ12" s="537">
        <f>(Data!BD9+Data!DQ9)/AJ$6*100000*AJ$3</f>
        <v>119975.30605351132</v>
      </c>
      <c r="AK12" s="537">
        <f>(Data!BE9+Data!DR9)/AK$6*100000*AK$3</f>
        <v>141082.0825755129</v>
      </c>
      <c r="AL12" s="545" t="s">
        <v>352</v>
      </c>
      <c r="AM12" s="537">
        <f t="shared" si="5"/>
        <v>967918.31745552039</v>
      </c>
      <c r="AN12" s="537">
        <f>(Data!AN9+Data!DA9)/AN$6*100000*AN$3</f>
        <v>0</v>
      </c>
      <c r="AO12" s="537">
        <f>(Data!AO9+Data!DB9)/AO$6*100000*AO$3</f>
        <v>0</v>
      </c>
      <c r="AP12" s="537">
        <f>(Data!AP9+Data!DC9)/AP$6*100000*AP$3</f>
        <v>0</v>
      </c>
      <c r="AQ12" s="537">
        <f>(Data!AQ9+Data!DD9)/AQ$6*100000*AQ$3</f>
        <v>0</v>
      </c>
      <c r="AR12" s="537">
        <f>(Data!AR9+Data!DE9)/AR$6*100000*AR$3</f>
        <v>7477.718734956934</v>
      </c>
      <c r="AS12" s="537">
        <f>(Data!AS9+Data!DF9)/AS$6*100000*AS$3</f>
        <v>4112.0111846704222</v>
      </c>
      <c r="AT12" s="537">
        <f>(Data!AT9+Data!DG9)/AT$6*100000*AT$3</f>
        <v>6821.9804209161912</v>
      </c>
      <c r="AU12" s="537">
        <f>(Data!AU9+Data!DH9)/AU$6*100000*AU$3</f>
        <v>25727.746838971103</v>
      </c>
      <c r="AV12" s="537">
        <f>(Data!AV9+Data!DI9)/AV$6*100000*AV$3</f>
        <v>37226.350529043717</v>
      </c>
      <c r="AW12" s="537">
        <f>(Data!AW9+Data!DJ9)/AW$6*100000*AW$3</f>
        <v>64273.638027637666</v>
      </c>
      <c r="AX12" s="537">
        <f>(Data!AX9+Data!DK9)/AX$6*100000*AX$3</f>
        <v>93013.030279969214</v>
      </c>
      <c r="AY12" s="537">
        <f>(Data!AY9+Data!DL9)/AY$6*100000*AY$3</f>
        <v>89680.157755550244</v>
      </c>
      <c r="AZ12" s="537">
        <f>(Data!AZ9+Data!DM9)/AZ$6*100000*AZ$3</f>
        <v>135331.41613827139</v>
      </c>
      <c r="BA12" s="537">
        <f>(Data!BA9+Data!DN9)/BA$6*100000*BA$3</f>
        <v>157762.11518095169</v>
      </c>
      <c r="BB12" s="537">
        <f>(Data!BB9+Data!DO9)/BB$6*100000*BB$3</f>
        <v>141510.76896951857</v>
      </c>
      <c r="BC12" s="537">
        <f>(Data!BC9+Data!DP9)/BC$6*100000*BC$3</f>
        <v>74452.689080551121</v>
      </c>
      <c r="BD12" s="537">
        <f>(Data!BD9+Data!DQ9)/BD$6*100000*BD$3</f>
        <v>59987.653026755659</v>
      </c>
      <c r="BE12" s="537">
        <f>(Data!BE9+Data!DR9)/BE$6*100000*BE$3</f>
        <v>70541.041287756452</v>
      </c>
      <c r="BF12" s="477"/>
    </row>
    <row r="13" spans="1:58" ht="12" customHeight="1">
      <c r="A13" s="30"/>
      <c r="B13" s="144" t="str">
        <f>UPPER(LEFT(TRIM(Data!B10),1)) &amp; MID(TRIM(Data!B10),2,50)</f>
        <v>Gaubtinės žarnos</v>
      </c>
      <c r="C13" s="123" t="str">
        <f>Data!C10</f>
        <v>C18</v>
      </c>
      <c r="D13" s="136">
        <f>Data!E10+Data!BR10</f>
        <v>504</v>
      </c>
      <c r="E13" s="125">
        <f t="shared" si="6"/>
        <v>17.040331150435357</v>
      </c>
      <c r="F13" s="126">
        <f t="shared" si="7"/>
        <v>10.217405193493327</v>
      </c>
      <c r="G13" s="127">
        <f t="shared" si="8"/>
        <v>6.52162884720678</v>
      </c>
      <c r="H13" s="57"/>
      <c r="I13" s="57"/>
      <c r="J13" s="57"/>
      <c r="K13" s="57"/>
      <c r="L13" s="57"/>
      <c r="M13" s="57"/>
      <c r="N13" s="57"/>
      <c r="O13" s="57"/>
      <c r="P13" s="58"/>
      <c r="Q13" s="307"/>
      <c r="R13" s="327" t="s">
        <v>352</v>
      </c>
      <c r="S13" s="537">
        <f t="shared" si="4"/>
        <v>1021740.5193493328</v>
      </c>
      <c r="T13" s="537">
        <f>(Data!AN10+Data!DA10)/T$6*100000*T$3</f>
        <v>0</v>
      </c>
      <c r="U13" s="537">
        <f>(Data!AO10+Data!DB10)/U$6*100000*U$3</f>
        <v>0</v>
      </c>
      <c r="V13" s="537">
        <f>(Data!AP10+Data!DC10)/V$6*100000*V$3</f>
        <v>0</v>
      </c>
      <c r="W13" s="537">
        <f>(Data!AQ10+Data!DD10)/W$6*100000*W$3</f>
        <v>0</v>
      </c>
      <c r="X13" s="537">
        <f>(Data!AR10+Data!DE10)/X$6*100000*X$3</f>
        <v>0</v>
      </c>
      <c r="Y13" s="537">
        <f>(Data!AS10+Data!DF10)/Y$6*100000*Y$3</f>
        <v>0</v>
      </c>
      <c r="Z13" s="537">
        <f>(Data!AT10+Data!DG10)/Z$6*100000*Z$3</f>
        <v>7958.9771577355559</v>
      </c>
      <c r="AA13" s="537">
        <f>(Data!AU10+Data!DH10)/AA$6*100000*AA$3</f>
        <v>3751.9630806832861</v>
      </c>
      <c r="AB13" s="537">
        <f>(Data!AV10+Data!DI10)/AB$6*100000*AB$3</f>
        <v>3340.8263295295642</v>
      </c>
      <c r="AC13" s="537">
        <f>(Data!AW10+Data!DJ10)/AC$6*100000*AC$3</f>
        <v>19561.542008411463</v>
      </c>
      <c r="AD13" s="537">
        <f>(Data!AX10+Data!DK10)/AD$6*100000*AD$3</f>
        <v>44392.582633621678</v>
      </c>
      <c r="AE13" s="537">
        <f>(Data!AY10+Data!DL10)/AE$6*100000*AE$3</f>
        <v>82546.508843176911</v>
      </c>
      <c r="AF13" s="537">
        <f>(Data!AZ10+Data!DM10)/AF$6*100000*AF$3</f>
        <v>137081.39134695593</v>
      </c>
      <c r="AG13" s="537">
        <f>(Data!BA10+Data!DN10)/AG$6*100000*AG$3</f>
        <v>154840.59452945256</v>
      </c>
      <c r="AH13" s="537">
        <f>(Data!BB10+Data!DO10)/AH$6*100000*AH$3</f>
        <v>154954.29202162285</v>
      </c>
      <c r="AI13" s="537">
        <f>(Data!BC10+Data!DP10)/AI$6*100000*AI$3</f>
        <v>163963.22539087664</v>
      </c>
      <c r="AJ13" s="537">
        <f>(Data!BD10+Data!DQ10)/AJ$6*100000*AJ$3</f>
        <v>126964.1588333275</v>
      </c>
      <c r="AK13" s="537">
        <f>(Data!BE10+Data!DR10)/AK$6*100000*AK$3</f>
        <v>122384.45717393891</v>
      </c>
      <c r="AL13" s="545" t="s">
        <v>352</v>
      </c>
      <c r="AM13" s="537">
        <f t="shared" si="5"/>
        <v>652162.88472067798</v>
      </c>
      <c r="AN13" s="537">
        <f>(Data!AN10+Data!DA10)/AN$6*100000*AN$3</f>
        <v>0</v>
      </c>
      <c r="AO13" s="537">
        <f>(Data!AO10+Data!DB10)/AO$6*100000*AO$3</f>
        <v>0</v>
      </c>
      <c r="AP13" s="537">
        <f>(Data!AP10+Data!DC10)/AP$6*100000*AP$3</f>
        <v>0</v>
      </c>
      <c r="AQ13" s="537">
        <f>(Data!AQ10+Data!DD10)/AQ$6*100000*AQ$3</f>
        <v>0</v>
      </c>
      <c r="AR13" s="537">
        <f>(Data!AR10+Data!DE10)/AR$6*100000*AR$3</f>
        <v>0</v>
      </c>
      <c r="AS13" s="537">
        <f>(Data!AS10+Data!DF10)/AS$6*100000*AS$3</f>
        <v>0</v>
      </c>
      <c r="AT13" s="537">
        <f>(Data!AT10+Data!DG10)/AT$6*100000*AT$3</f>
        <v>6821.9804209161912</v>
      </c>
      <c r="AU13" s="537">
        <f>(Data!AU10+Data!DH10)/AU$6*100000*AU$3</f>
        <v>3215.9683548713879</v>
      </c>
      <c r="AV13" s="537">
        <f>(Data!AV10+Data!DI10)/AV$6*100000*AV$3</f>
        <v>2863.5654253110547</v>
      </c>
      <c r="AW13" s="537">
        <f>(Data!AW10+Data!DJ10)/AW$6*100000*AW$3</f>
        <v>16767.036007209826</v>
      </c>
      <c r="AX13" s="537">
        <f>(Data!AX10+Data!DK10)/AX$6*100000*AX$3</f>
        <v>31708.987595444054</v>
      </c>
      <c r="AY13" s="537">
        <f>(Data!AY10+Data!DL10)/AY$6*100000*AY$3</f>
        <v>55031.005895451271</v>
      </c>
      <c r="AZ13" s="537">
        <f>(Data!AZ10+Data!DM10)/AZ$6*100000*AZ$3</f>
        <v>109665.11307756475</v>
      </c>
      <c r="BA13" s="537">
        <f>(Data!BA10+Data!DN10)/BA$6*100000*BA$3</f>
        <v>116130.44589708943</v>
      </c>
      <c r="BB13" s="537">
        <f>(Data!BB10+Data!DO10)/BB$6*100000*BB$3</f>
        <v>103302.86134774858</v>
      </c>
      <c r="BC13" s="537">
        <f>(Data!BC10+Data!DP10)/BC$6*100000*BC$3</f>
        <v>81981.612695438322</v>
      </c>
      <c r="BD13" s="537">
        <f>(Data!BD10+Data!DQ10)/BD$6*100000*BD$3</f>
        <v>63482.07941666375</v>
      </c>
      <c r="BE13" s="537">
        <f>(Data!BE10+Data!DR10)/BE$6*100000*BE$3</f>
        <v>61192.228586969453</v>
      </c>
      <c r="BF13" s="477"/>
    </row>
    <row r="14" spans="1:58" ht="12" customHeight="1">
      <c r="A14" s="30"/>
      <c r="B14" s="144" t="str">
        <f>UPPER(LEFT(TRIM(Data!B11),1)) &amp; MID(TRIM(Data!B11),2,50)</f>
        <v>Tiesiosios žarnos, išangės</v>
      </c>
      <c r="C14" s="123" t="str">
        <f>Data!C11</f>
        <v>C19-C21</v>
      </c>
      <c r="D14" s="136">
        <f>Data!E11+Data!BR11</f>
        <v>429</v>
      </c>
      <c r="E14" s="125">
        <f t="shared" si="6"/>
        <v>14.504567586382477</v>
      </c>
      <c r="F14" s="126">
        <f t="shared" si="7"/>
        <v>9.1262768621258594</v>
      </c>
      <c r="G14" s="127">
        <f t="shared" si="8"/>
        <v>5.9146513988351597</v>
      </c>
      <c r="H14" s="57"/>
      <c r="I14" s="57"/>
      <c r="J14" s="57"/>
      <c r="K14" s="57"/>
      <c r="L14" s="57"/>
      <c r="M14" s="57"/>
      <c r="N14" s="57"/>
      <c r="O14" s="57"/>
      <c r="P14" s="58"/>
      <c r="Q14" s="307"/>
      <c r="R14" s="327" t="s">
        <v>352</v>
      </c>
      <c r="S14" s="537">
        <f t="shared" si="4"/>
        <v>912627.68621258589</v>
      </c>
      <c r="T14" s="537">
        <f>(Data!AN11+Data!DA11)/T$6*100000*T$3</f>
        <v>0</v>
      </c>
      <c r="U14" s="537">
        <f>(Data!AO11+Data!DB11)/U$6*100000*U$3</f>
        <v>0</v>
      </c>
      <c r="V14" s="537">
        <f>(Data!AP11+Data!DC11)/V$6*100000*V$3</f>
        <v>0</v>
      </c>
      <c r="W14" s="537">
        <f>(Data!AQ11+Data!DD11)/W$6*100000*W$3</f>
        <v>0</v>
      </c>
      <c r="X14" s="537">
        <f>(Data!AR11+Data!DE11)/X$6*100000*X$3</f>
        <v>0</v>
      </c>
      <c r="Y14" s="537">
        <f>(Data!AS11+Data!DF11)/Y$6*100000*Y$3</f>
        <v>3598.0097865866192</v>
      </c>
      <c r="Z14" s="537">
        <f>(Data!AT11+Data!DG11)/Z$6*100000*Z$3</f>
        <v>7958.9771577355559</v>
      </c>
      <c r="AA14" s="537">
        <f>(Data!AU11+Data!DH11)/AA$6*100000*AA$3</f>
        <v>7503.9261613665722</v>
      </c>
      <c r="AB14" s="537">
        <f>(Data!AV11+Data!DI11)/AB$6*100000*AB$3</f>
        <v>16704.131647647821</v>
      </c>
      <c r="AC14" s="537">
        <f>(Data!AW11+Data!DJ11)/AC$6*100000*AC$3</f>
        <v>22821.799009813371</v>
      </c>
      <c r="AD14" s="537">
        <f>(Data!AX11+Data!DK11)/AD$6*100000*AD$3</f>
        <v>50311.593651437899</v>
      </c>
      <c r="AE14" s="537">
        <f>(Data!AY11+Data!DL11)/AE$6*100000*AE$3</f>
        <v>119233.84610681111</v>
      </c>
      <c r="AF14" s="537">
        <f>(Data!AZ11+Data!DM11)/AF$6*100000*AF$3</f>
        <v>96248.636477649896</v>
      </c>
      <c r="AG14" s="537">
        <f>(Data!BA11+Data!DN11)/AG$6*100000*AG$3</f>
        <v>122703.86736296242</v>
      </c>
      <c r="AH14" s="537">
        <f>(Data!BB11+Data!DO11)/AH$6*100000*AH$3</f>
        <v>137972.99974528063</v>
      </c>
      <c r="AI14" s="537">
        <f>(Data!BC11+Data!DP11)/AI$6*100000*AI$3</f>
        <v>133847.53093132787</v>
      </c>
      <c r="AJ14" s="537">
        <f>(Data!BD11+Data!DQ11)/AJ$6*100000*AJ$3</f>
        <v>81536.615764522256</v>
      </c>
      <c r="AK14" s="537">
        <f>(Data!BE11+Data!DR11)/AK$6*100000*AK$3</f>
        <v>112185.75240944399</v>
      </c>
      <c r="AL14" s="545" t="s">
        <v>352</v>
      </c>
      <c r="AM14" s="537">
        <f t="shared" si="5"/>
        <v>591465.13988351601</v>
      </c>
      <c r="AN14" s="537">
        <f>(Data!AN11+Data!DA11)/AN$6*100000*AN$3</f>
        <v>0</v>
      </c>
      <c r="AO14" s="537">
        <f>(Data!AO11+Data!DB11)/AO$6*100000*AO$3</f>
        <v>0</v>
      </c>
      <c r="AP14" s="537">
        <f>(Data!AP11+Data!DC11)/AP$6*100000*AP$3</f>
        <v>0</v>
      </c>
      <c r="AQ14" s="537">
        <f>(Data!AQ11+Data!DD11)/AQ$6*100000*AQ$3</f>
        <v>0</v>
      </c>
      <c r="AR14" s="537">
        <f>(Data!AR11+Data!DE11)/AR$6*100000*AR$3</f>
        <v>0</v>
      </c>
      <c r="AS14" s="537">
        <f>(Data!AS11+Data!DF11)/AS$6*100000*AS$3</f>
        <v>4112.0111846704222</v>
      </c>
      <c r="AT14" s="537">
        <f>(Data!AT11+Data!DG11)/AT$6*100000*AT$3</f>
        <v>6821.9804209161912</v>
      </c>
      <c r="AU14" s="537">
        <f>(Data!AU11+Data!DH11)/AU$6*100000*AU$3</f>
        <v>6431.9367097427757</v>
      </c>
      <c r="AV14" s="537">
        <f>(Data!AV11+Data!DI11)/AV$6*100000*AV$3</f>
        <v>14317.827126555274</v>
      </c>
      <c r="AW14" s="537">
        <f>(Data!AW11+Data!DJ11)/AW$6*100000*AW$3</f>
        <v>19561.542008411463</v>
      </c>
      <c r="AX14" s="537">
        <f>(Data!AX11+Data!DK11)/AX$6*100000*AX$3</f>
        <v>35936.852608169924</v>
      </c>
      <c r="AY14" s="537">
        <f>(Data!AY11+Data!DL11)/AY$6*100000*AY$3</f>
        <v>79489.230737874066</v>
      </c>
      <c r="AZ14" s="537">
        <f>(Data!AZ11+Data!DM11)/AZ$6*100000*AZ$3</f>
        <v>76998.909182119911</v>
      </c>
      <c r="BA14" s="537">
        <f>(Data!BA11+Data!DN11)/BA$6*100000*BA$3</f>
        <v>92027.900522221826</v>
      </c>
      <c r="BB14" s="537">
        <f>(Data!BB11+Data!DO11)/BB$6*100000*BB$3</f>
        <v>91981.99983018708</v>
      </c>
      <c r="BC14" s="537">
        <f>(Data!BC11+Data!DP11)/BC$6*100000*BC$3</f>
        <v>66923.765465663935</v>
      </c>
      <c r="BD14" s="537">
        <f>(Data!BD11+Data!DQ11)/BD$6*100000*BD$3</f>
        <v>40768.307882261128</v>
      </c>
      <c r="BE14" s="537">
        <f>(Data!BE11+Data!DR11)/BE$6*100000*BE$3</f>
        <v>56092.876204721993</v>
      </c>
      <c r="BF14" s="477"/>
    </row>
    <row r="15" spans="1:58" ht="12" customHeight="1">
      <c r="A15" s="30"/>
      <c r="B15" s="144" t="str">
        <f>UPPER(LEFT(TRIM(Data!B12),1)) &amp; MID(TRIM(Data!B12),2,50)</f>
        <v>Kepenų</v>
      </c>
      <c r="C15" s="123" t="str">
        <f>Data!C12</f>
        <v>C22</v>
      </c>
      <c r="D15" s="136">
        <f>Data!E12+Data!BR12</f>
        <v>157</v>
      </c>
      <c r="E15" s="125">
        <f t="shared" si="6"/>
        <v>5.3081983940840303</v>
      </c>
      <c r="F15" s="126">
        <f t="shared" si="7"/>
        <v>3.6863569444093329</v>
      </c>
      <c r="G15" s="127">
        <f t="shared" si="8"/>
        <v>2.6029333333818201</v>
      </c>
      <c r="H15" s="57"/>
      <c r="I15" s="57"/>
      <c r="J15" s="57"/>
      <c r="K15" s="57"/>
      <c r="L15" s="57"/>
      <c r="M15" s="57"/>
      <c r="N15" s="57"/>
      <c r="O15" s="57"/>
      <c r="P15" s="58"/>
      <c r="Q15" s="307"/>
      <c r="R15" s="327" t="s">
        <v>352</v>
      </c>
      <c r="S15" s="537">
        <f t="shared" si="4"/>
        <v>368635.69444093329</v>
      </c>
      <c r="T15" s="537">
        <f>(Data!AN12+Data!DA12)/T$6*100000*T$3</f>
        <v>5295.83879466709</v>
      </c>
      <c r="U15" s="537">
        <f>(Data!AO12+Data!DB12)/U$6*100000*U$3</f>
        <v>0</v>
      </c>
      <c r="V15" s="537">
        <f>(Data!AP12+Data!DC12)/V$6*100000*V$3</f>
        <v>9504.8644538437002</v>
      </c>
      <c r="W15" s="537">
        <f>(Data!AQ12+Data!DD12)/W$6*100000*W$3</f>
        <v>0</v>
      </c>
      <c r="X15" s="537">
        <f>(Data!AR12+Data!DE12)/X$6*100000*X$3</f>
        <v>0</v>
      </c>
      <c r="Y15" s="537">
        <f>(Data!AS12+Data!DF12)/Y$6*100000*Y$3</f>
        <v>0</v>
      </c>
      <c r="Z15" s="537">
        <f>(Data!AT12+Data!DG12)/Z$6*100000*Z$3</f>
        <v>0</v>
      </c>
      <c r="AA15" s="537">
        <f>(Data!AU12+Data!DH12)/AA$6*100000*AA$3</f>
        <v>0</v>
      </c>
      <c r="AB15" s="537">
        <f>(Data!AV12+Data!DI12)/AB$6*100000*AB$3</f>
        <v>10022.478988588691</v>
      </c>
      <c r="AC15" s="537">
        <f>(Data!AW12+Data!DJ12)/AC$6*100000*AC$3</f>
        <v>29342.313012617193</v>
      </c>
      <c r="AD15" s="537">
        <f>(Data!AX12+Data!DK12)/AD$6*100000*AD$3</f>
        <v>23676.044071264892</v>
      </c>
      <c r="AE15" s="537">
        <f>(Data!AY12+Data!DL12)/AE$6*100000*AE$3</f>
        <v>48916.449684845582</v>
      </c>
      <c r="AF15" s="537">
        <f>(Data!AZ12+Data!DM12)/AF$6*100000*AF$3</f>
        <v>52499.256260536313</v>
      </c>
      <c r="AG15" s="537">
        <f>(Data!BA12+Data!DN12)/AG$6*100000*AG$3</f>
        <v>46744.330423985681</v>
      </c>
      <c r="AH15" s="537">
        <f>(Data!BB12+Data!DO12)/AH$6*100000*AH$3</f>
        <v>50943.876829026689</v>
      </c>
      <c r="AI15" s="537">
        <f>(Data!BC12+Data!DP12)/AI$6*100000*AI$3</f>
        <v>41827.353416039958</v>
      </c>
      <c r="AJ15" s="537">
        <f>(Data!BD12+Data!DQ12)/AJ$6*100000*AJ$3</f>
        <v>20966.55833944858</v>
      </c>
      <c r="AK15" s="537">
        <f>(Data!BE12+Data!DR12)/AK$6*100000*AK$3</f>
        <v>28896.33016606891</v>
      </c>
      <c r="AL15" s="545" t="s">
        <v>352</v>
      </c>
      <c r="AM15" s="537">
        <f t="shared" si="5"/>
        <v>260293.33333818201</v>
      </c>
      <c r="AN15" s="537">
        <f>(Data!AN12+Data!DA12)/AN$6*100000*AN$3</f>
        <v>7943.7581920006351</v>
      </c>
      <c r="AO15" s="537">
        <f>(Data!AO12+Data!DB12)/AO$6*100000*AO$3</f>
        <v>0</v>
      </c>
      <c r="AP15" s="537">
        <f>(Data!AP12+Data!DC12)/AP$6*100000*AP$3</f>
        <v>12220.540012084757</v>
      </c>
      <c r="AQ15" s="537">
        <f>(Data!AQ12+Data!DD12)/AQ$6*100000*AQ$3</f>
        <v>0</v>
      </c>
      <c r="AR15" s="537">
        <f>(Data!AR12+Data!DE12)/AR$6*100000*AR$3</f>
        <v>0</v>
      </c>
      <c r="AS15" s="537">
        <f>(Data!AS12+Data!DF12)/AS$6*100000*AS$3</f>
        <v>0</v>
      </c>
      <c r="AT15" s="537">
        <f>(Data!AT12+Data!DG12)/AT$6*100000*AT$3</f>
        <v>0</v>
      </c>
      <c r="AU15" s="537">
        <f>(Data!AU12+Data!DH12)/AU$6*100000*AU$3</f>
        <v>0</v>
      </c>
      <c r="AV15" s="537">
        <f>(Data!AV12+Data!DI12)/AV$6*100000*AV$3</f>
        <v>8590.6962759331636</v>
      </c>
      <c r="AW15" s="537">
        <f>(Data!AW12+Data!DJ12)/AW$6*100000*AW$3</f>
        <v>25150.554010814736</v>
      </c>
      <c r="AX15" s="537">
        <f>(Data!AX12+Data!DK12)/AX$6*100000*AX$3</f>
        <v>16911.460050903494</v>
      </c>
      <c r="AY15" s="537">
        <f>(Data!AY12+Data!DL12)/AY$6*100000*AY$3</f>
        <v>32610.966456563725</v>
      </c>
      <c r="AZ15" s="537">
        <f>(Data!AZ12+Data!DM12)/AZ$6*100000*AZ$3</f>
        <v>41999.40500842905</v>
      </c>
      <c r="BA15" s="537">
        <f>(Data!BA12+Data!DN12)/BA$6*100000*BA$3</f>
        <v>35058.247817989257</v>
      </c>
      <c r="BB15" s="537">
        <f>(Data!BB12+Data!DO12)/BB$6*100000*BB$3</f>
        <v>33962.584552684464</v>
      </c>
      <c r="BC15" s="537">
        <f>(Data!BC12+Data!DP12)/BC$6*100000*BC$3</f>
        <v>20913.676708019979</v>
      </c>
      <c r="BD15" s="537">
        <f>(Data!BD12+Data!DQ12)/BD$6*100000*BD$3</f>
        <v>10483.27916972429</v>
      </c>
      <c r="BE15" s="537">
        <f>(Data!BE12+Data!DR12)/BE$6*100000*BE$3</f>
        <v>14448.165083034455</v>
      </c>
      <c r="BF15" s="477"/>
    </row>
    <row r="16" spans="1:58" ht="12" customHeight="1">
      <c r="A16" s="30"/>
      <c r="B16" s="144" t="str">
        <f>UPPER(LEFT(TRIM(Data!B13),1)) &amp; MID(TRIM(Data!B13),2,50)</f>
        <v>Tulžies pūslės, ekstrahepatinių takų</v>
      </c>
      <c r="C16" s="123" t="str">
        <f>Data!C13</f>
        <v>C23, C24</v>
      </c>
      <c r="D16" s="136">
        <f>Data!E13+Data!BR13</f>
        <v>96</v>
      </c>
      <c r="E16" s="125">
        <f t="shared" si="6"/>
        <v>3.2457773619876868</v>
      </c>
      <c r="F16" s="126">
        <f t="shared" si="7"/>
        <v>2.0782454429613479</v>
      </c>
      <c r="G16" s="127">
        <f t="shared" si="8"/>
        <v>1.3590931956843075</v>
      </c>
      <c r="H16" s="57"/>
      <c r="I16" s="57"/>
      <c r="J16" s="57"/>
      <c r="K16" s="57"/>
      <c r="L16" s="57"/>
      <c r="M16" s="57"/>
      <c r="N16" s="57"/>
      <c r="O16" s="57"/>
      <c r="P16" s="58"/>
      <c r="Q16" s="307"/>
      <c r="R16" s="327" t="s">
        <v>352</v>
      </c>
      <c r="S16" s="325">
        <f t="shared" si="4"/>
        <v>207824.54429613479</v>
      </c>
      <c r="T16" s="325">
        <f>(Data!AN13+Data!DA13)/T$6*100000*T$3</f>
        <v>0</v>
      </c>
      <c r="U16" s="325">
        <f>(Data!AO13+Data!DB13)/U$6*100000*U$3</f>
        <v>0</v>
      </c>
      <c r="V16" s="325">
        <f>(Data!AP13+Data!DC13)/V$6*100000*V$3</f>
        <v>0</v>
      </c>
      <c r="W16" s="325">
        <f>(Data!AQ13+Data!DD13)/W$6*100000*W$3</f>
        <v>0</v>
      </c>
      <c r="X16" s="325">
        <f>(Data!AR13+Data!DE13)/X$6*100000*X$3</f>
        <v>0</v>
      </c>
      <c r="Y16" s="325">
        <f>(Data!AS13+Data!DF13)/Y$6*100000*Y$3</f>
        <v>0</v>
      </c>
      <c r="Z16" s="325">
        <f>(Data!AT13+Data!DG13)/Z$6*100000*Z$3</f>
        <v>0</v>
      </c>
      <c r="AA16" s="325">
        <f>(Data!AU13+Data!DH13)/AA$6*100000*AA$3</f>
        <v>0</v>
      </c>
      <c r="AB16" s="325">
        <f>(Data!AV13+Data!DI13)/AB$6*100000*AB$3</f>
        <v>0</v>
      </c>
      <c r="AC16" s="325">
        <f>(Data!AW13+Data!DJ13)/AC$6*100000*AC$3</f>
        <v>3260.2570014019107</v>
      </c>
      <c r="AD16" s="325">
        <f>(Data!AX13+Data!DK13)/AD$6*100000*AD$3</f>
        <v>17757.033053448671</v>
      </c>
      <c r="AE16" s="325">
        <f>(Data!AY13+Data!DL13)/AE$6*100000*AE$3</f>
        <v>12229.112421211395</v>
      </c>
      <c r="AF16" s="325">
        <f>(Data!AZ13+Data!DM13)/AF$6*100000*AF$3</f>
        <v>29166.253478075727</v>
      </c>
      <c r="AG16" s="325">
        <f>(Data!BA13+Data!DN13)/AG$6*100000*AG$3</f>
        <v>40901.289120987472</v>
      </c>
      <c r="AH16" s="325">
        <f>(Data!BB13+Data!DO13)/AH$6*100000*AH$3</f>
        <v>36085.246087227235</v>
      </c>
      <c r="AI16" s="325">
        <f>(Data!BC13+Data!DP13)/AI$6*100000*AI$3</f>
        <v>30115.694459548766</v>
      </c>
      <c r="AJ16" s="325">
        <f>(Data!BD13+Data!DQ13)/AJ$6*100000*AJ$3</f>
        <v>12812.896762996354</v>
      </c>
      <c r="AK16" s="325">
        <f>(Data!BE13+Data!DR13)/AK$6*100000*AK$3</f>
        <v>25496.761911237274</v>
      </c>
      <c r="AL16" s="327" t="s">
        <v>352</v>
      </c>
      <c r="AM16" s="325">
        <f t="shared" si="5"/>
        <v>135909.31956843074</v>
      </c>
      <c r="AN16" s="325">
        <f>(Data!AN13+Data!DA13)/AN$6*100000*AN$3</f>
        <v>0</v>
      </c>
      <c r="AO16" s="325">
        <f>(Data!AO13+Data!DB13)/AO$6*100000*AO$3</f>
        <v>0</v>
      </c>
      <c r="AP16" s="325">
        <f>(Data!AP13+Data!DC13)/AP$6*100000*AP$3</f>
        <v>0</v>
      </c>
      <c r="AQ16" s="325">
        <f>(Data!AQ13+Data!DD13)/AQ$6*100000*AQ$3</f>
        <v>0</v>
      </c>
      <c r="AR16" s="325">
        <f>(Data!AR13+Data!DE13)/AR$6*100000*AR$3</f>
        <v>0</v>
      </c>
      <c r="AS16" s="325">
        <f>(Data!AS13+Data!DF13)/AS$6*100000*AS$3</f>
        <v>0</v>
      </c>
      <c r="AT16" s="325">
        <f>(Data!AT13+Data!DG13)/AT$6*100000*AT$3</f>
        <v>0</v>
      </c>
      <c r="AU16" s="325">
        <f>(Data!AU13+Data!DH13)/AU$6*100000*AU$3</f>
        <v>0</v>
      </c>
      <c r="AV16" s="325">
        <f>(Data!AV13+Data!DI13)/AV$6*100000*AV$3</f>
        <v>0</v>
      </c>
      <c r="AW16" s="325">
        <f>(Data!AW13+Data!DJ13)/AW$6*100000*AW$3</f>
        <v>2794.5060012016374</v>
      </c>
      <c r="AX16" s="325">
        <f>(Data!AX13+Data!DK13)/AX$6*100000*AX$3</f>
        <v>12683.595038177622</v>
      </c>
      <c r="AY16" s="325">
        <f>(Data!AY13+Data!DL13)/AY$6*100000*AY$3</f>
        <v>8152.7416141409312</v>
      </c>
      <c r="AZ16" s="325">
        <f>(Data!AZ13+Data!DM13)/AZ$6*100000*AZ$3</f>
        <v>23333.002782460582</v>
      </c>
      <c r="BA16" s="325">
        <f>(Data!BA13+Data!DN13)/BA$6*100000*BA$3</f>
        <v>30675.966840740602</v>
      </c>
      <c r="BB16" s="325">
        <f>(Data!BB13+Data!DO13)/BB$6*100000*BB$3</f>
        <v>24056.830724818159</v>
      </c>
      <c r="BC16" s="325">
        <f>(Data!BC13+Data!DP13)/BC$6*100000*BC$3</f>
        <v>15057.847229774383</v>
      </c>
      <c r="BD16" s="325">
        <f>(Data!BD13+Data!DQ13)/BD$6*100000*BD$3</f>
        <v>6406.4483814981768</v>
      </c>
      <c r="BE16" s="325">
        <f>(Data!BE13+Data!DR13)/BE$6*100000*BE$3</f>
        <v>12748.380955618637</v>
      </c>
    </row>
    <row r="17" spans="1:388" ht="12" customHeight="1">
      <c r="A17" s="30"/>
      <c r="B17" s="144" t="str">
        <f>UPPER(LEFT(TRIM(Data!B14),1)) &amp; MID(TRIM(Data!B14),2,50)</f>
        <v>Kasos</v>
      </c>
      <c r="C17" s="123" t="str">
        <f>Data!C14</f>
        <v>C25</v>
      </c>
      <c r="D17" s="136">
        <f>Data!E14+Data!BR14</f>
        <v>440</v>
      </c>
      <c r="E17" s="125">
        <f t="shared" si="6"/>
        <v>14.8764795757769</v>
      </c>
      <c r="F17" s="126">
        <f t="shared" si="7"/>
        <v>9.8091512190099639</v>
      </c>
      <c r="G17" s="127">
        <f t="shared" si="8"/>
        <v>6.570146337878227</v>
      </c>
      <c r="H17" s="57"/>
      <c r="I17" s="57"/>
      <c r="J17" s="57"/>
      <c r="K17" s="57"/>
      <c r="L17" s="57"/>
      <c r="M17" s="57"/>
      <c r="N17" s="57"/>
      <c r="O17" s="57"/>
      <c r="P17" s="58"/>
      <c r="Q17" s="307"/>
      <c r="R17" s="327" t="s">
        <v>352</v>
      </c>
      <c r="S17" s="325">
        <f t="shared" si="4"/>
        <v>980915.12190099643</v>
      </c>
      <c r="T17" s="325">
        <f>(Data!AN14+Data!DA14)/T$6*100000*T$3</f>
        <v>0</v>
      </c>
      <c r="U17" s="325">
        <f>(Data!AO14+Data!DB14)/U$6*100000*U$3</f>
        <v>0</v>
      </c>
      <c r="V17" s="325">
        <f>(Data!AP14+Data!DC14)/V$6*100000*V$3</f>
        <v>0</v>
      </c>
      <c r="W17" s="325">
        <f>(Data!AQ14+Data!DD14)/W$6*100000*W$3</f>
        <v>0</v>
      </c>
      <c r="X17" s="325">
        <f>(Data!AR14+Data!DE14)/X$6*100000*X$3</f>
        <v>0</v>
      </c>
      <c r="Y17" s="325">
        <f>(Data!AS14+Data!DF14)/Y$6*100000*Y$3</f>
        <v>0</v>
      </c>
      <c r="Z17" s="325">
        <f>(Data!AT14+Data!DG14)/Z$6*100000*Z$3</f>
        <v>11938.465736603335</v>
      </c>
      <c r="AA17" s="325">
        <f>(Data!AU14+Data!DH14)/AA$6*100000*AA$3</f>
        <v>3751.9630806832861</v>
      </c>
      <c r="AB17" s="325">
        <f>(Data!AV14+Data!DI14)/AB$6*100000*AB$3</f>
        <v>16704.131647647821</v>
      </c>
      <c r="AC17" s="325">
        <f>(Data!AW14+Data!DJ14)/AC$6*100000*AC$3</f>
        <v>29342.313012617193</v>
      </c>
      <c r="AD17" s="325">
        <f>(Data!AX14+Data!DK14)/AD$6*100000*AD$3</f>
        <v>71028.132213794685</v>
      </c>
      <c r="AE17" s="325">
        <f>(Data!AY14+Data!DL14)/AE$6*100000*AE$3</f>
        <v>107004.73368559971</v>
      </c>
      <c r="AF17" s="325">
        <f>(Data!AZ14+Data!DM14)/AF$6*100000*AF$3</f>
        <v>131248.14065134077</v>
      </c>
      <c r="AG17" s="325">
        <f>(Data!BA14+Data!DN14)/AG$6*100000*AG$3</f>
        <v>169448.19778694809</v>
      </c>
      <c r="AH17" s="325">
        <f>(Data!BB14+Data!DO14)/AH$6*100000*AH$3</f>
        <v>178303.56890159342</v>
      </c>
      <c r="AI17" s="325">
        <f>(Data!BC14+Data!DP14)/AI$6*100000*AI$3</f>
        <v>107078.02474506228</v>
      </c>
      <c r="AJ17" s="325">
        <f>(Data!BD14+Data!DQ14)/AJ$6*100000*AJ$3</f>
        <v>76877.380577978125</v>
      </c>
      <c r="AK17" s="325">
        <f>(Data!BE14+Data!DR14)/AK$6*100000*AK$3</f>
        <v>78190.069861127646</v>
      </c>
      <c r="AL17" s="327" t="s">
        <v>352</v>
      </c>
      <c r="AM17" s="325">
        <f t="shared" si="5"/>
        <v>657014.63378782268</v>
      </c>
      <c r="AN17" s="325">
        <f>(Data!AN14+Data!DA14)/AN$6*100000*AN$3</f>
        <v>0</v>
      </c>
      <c r="AO17" s="325">
        <f>(Data!AO14+Data!DB14)/AO$6*100000*AO$3</f>
        <v>0</v>
      </c>
      <c r="AP17" s="325">
        <f>(Data!AP14+Data!DC14)/AP$6*100000*AP$3</f>
        <v>0</v>
      </c>
      <c r="AQ17" s="325">
        <f>(Data!AQ14+Data!DD14)/AQ$6*100000*AQ$3</f>
        <v>0</v>
      </c>
      <c r="AR17" s="325">
        <f>(Data!AR14+Data!DE14)/AR$6*100000*AR$3</f>
        <v>0</v>
      </c>
      <c r="AS17" s="325">
        <f>(Data!AS14+Data!DF14)/AS$6*100000*AS$3</f>
        <v>0</v>
      </c>
      <c r="AT17" s="325">
        <f>(Data!AT14+Data!DG14)/AT$6*100000*AT$3</f>
        <v>10232.970631374288</v>
      </c>
      <c r="AU17" s="325">
        <f>(Data!AU14+Data!DH14)/AU$6*100000*AU$3</f>
        <v>3215.9683548713879</v>
      </c>
      <c r="AV17" s="325">
        <f>(Data!AV14+Data!DI14)/AV$6*100000*AV$3</f>
        <v>14317.827126555274</v>
      </c>
      <c r="AW17" s="325">
        <f>(Data!AW14+Data!DJ14)/AW$6*100000*AW$3</f>
        <v>25150.554010814736</v>
      </c>
      <c r="AX17" s="325">
        <f>(Data!AX14+Data!DK14)/AX$6*100000*AX$3</f>
        <v>50734.380152710488</v>
      </c>
      <c r="AY17" s="325">
        <f>(Data!AY14+Data!DL14)/AY$6*100000*AY$3</f>
        <v>71336.489123733147</v>
      </c>
      <c r="AZ17" s="325">
        <f>(Data!AZ14+Data!DM14)/AZ$6*100000*AZ$3</f>
        <v>104998.51252107261</v>
      </c>
      <c r="BA17" s="325">
        <f>(Data!BA14+Data!DN14)/BA$6*100000*BA$3</f>
        <v>127086.14834021108</v>
      </c>
      <c r="BB17" s="325">
        <f>(Data!BB14+Data!DO14)/BB$6*100000*BB$3</f>
        <v>118869.04593439562</v>
      </c>
      <c r="BC17" s="325">
        <f>(Data!BC14+Data!DP14)/BC$6*100000*BC$3</f>
        <v>53539.012372531142</v>
      </c>
      <c r="BD17" s="325">
        <f>(Data!BD14+Data!DQ14)/BD$6*100000*BD$3</f>
        <v>38438.690288989063</v>
      </c>
      <c r="BE17" s="325">
        <f>(Data!BE14+Data!DR14)/BE$6*100000*BE$3</f>
        <v>39095.034930563823</v>
      </c>
    </row>
    <row r="18" spans="1:388" ht="12" customHeight="1">
      <c r="A18" s="30"/>
      <c r="B18" s="144" t="str">
        <f>UPPER(LEFT(TRIM(Data!B15),1)) &amp; MID(TRIM(Data!B15),2,50)</f>
        <v>Kitų virškinimo sistemos organų</v>
      </c>
      <c r="C18" s="123" t="str">
        <f>Data!C15</f>
        <v>C17, C26, C48</v>
      </c>
      <c r="D18" s="136">
        <f>Data!E15+Data!BR15</f>
        <v>76</v>
      </c>
      <c r="E18" s="125">
        <f t="shared" si="6"/>
        <v>2.5695737449069189</v>
      </c>
      <c r="F18" s="126">
        <f t="shared" si="7"/>
        <v>1.7019595325448091</v>
      </c>
      <c r="G18" s="127">
        <f t="shared" si="8"/>
        <v>1.169770105193418</v>
      </c>
      <c r="H18" s="57"/>
      <c r="I18" s="57"/>
      <c r="J18" s="57"/>
      <c r="K18" s="57"/>
      <c r="L18" s="57"/>
      <c r="M18" s="57"/>
      <c r="N18" s="57"/>
      <c r="O18" s="57"/>
      <c r="P18" s="58"/>
      <c r="Q18" s="307"/>
      <c r="R18" s="327" t="s">
        <v>352</v>
      </c>
      <c r="S18" s="325">
        <f t="shared" si="4"/>
        <v>170195.9532544809</v>
      </c>
      <c r="T18" s="325">
        <f>(Data!AN15+Data!DA15)/T$6*100000*T$3</f>
        <v>5295.83879466709</v>
      </c>
      <c r="U18" s="325">
        <f>(Data!AO15+Data!DB15)/U$6*100000*U$3</f>
        <v>0</v>
      </c>
      <c r="V18" s="325">
        <f>(Data!AP15+Data!DC15)/V$6*100000*V$3</f>
        <v>0</v>
      </c>
      <c r="W18" s="325">
        <f>(Data!AQ15+Data!DD15)/W$6*100000*W$3</f>
        <v>0</v>
      </c>
      <c r="X18" s="325">
        <f>(Data!AR15+Data!DE15)/X$6*100000*X$3</f>
        <v>0</v>
      </c>
      <c r="Y18" s="325">
        <f>(Data!AS15+Data!DF15)/Y$6*100000*Y$3</f>
        <v>0</v>
      </c>
      <c r="Z18" s="325">
        <f>(Data!AT15+Data!DG15)/Z$6*100000*Z$3</f>
        <v>0</v>
      </c>
      <c r="AA18" s="325">
        <f>(Data!AU15+Data!DH15)/AA$6*100000*AA$3</f>
        <v>3751.9630806832861</v>
      </c>
      <c r="AB18" s="325">
        <f>(Data!AV15+Data!DI15)/AB$6*100000*AB$3</f>
        <v>3340.8263295295642</v>
      </c>
      <c r="AC18" s="325">
        <f>(Data!AW15+Data!DJ15)/AC$6*100000*AC$3</f>
        <v>13041.028005607643</v>
      </c>
      <c r="AD18" s="325">
        <f>(Data!AX15+Data!DK15)/AD$6*100000*AD$3</f>
        <v>8878.5165267243356</v>
      </c>
      <c r="AE18" s="325">
        <f>(Data!AY15+Data!DL15)/AE$6*100000*AE$3</f>
        <v>21400.946737119943</v>
      </c>
      <c r="AF18" s="325">
        <f>(Data!AZ15+Data!DM15)/AF$6*100000*AF$3</f>
        <v>17499.752086845438</v>
      </c>
      <c r="AG18" s="325">
        <f>(Data!BA15+Data!DN15)/AG$6*100000*AG$3</f>
        <v>23372.16521199284</v>
      </c>
      <c r="AH18" s="325">
        <f>(Data!BB15+Data!DO15)/AH$6*100000*AH$3</f>
        <v>16981.292276342228</v>
      </c>
      <c r="AI18" s="325">
        <f>(Data!BC15+Data!DP15)/AI$6*100000*AI$3</f>
        <v>23423.317912982373</v>
      </c>
      <c r="AJ18" s="325">
        <f>(Data!BD15+Data!DQ15)/AJ$6*100000*AJ$3</f>
        <v>12812.896762996354</v>
      </c>
      <c r="AK18" s="325">
        <f>(Data!BE15+Data!DR15)/AK$6*100000*AK$3</f>
        <v>20397.409528989818</v>
      </c>
      <c r="AL18" s="327" t="s">
        <v>352</v>
      </c>
      <c r="AM18" s="325">
        <f t="shared" si="5"/>
        <v>116977.0105193418</v>
      </c>
      <c r="AN18" s="325">
        <f>(Data!AN15+Data!DA15)/AN$6*100000*AN$3</f>
        <v>7943.7581920006351</v>
      </c>
      <c r="AO18" s="325">
        <f>(Data!AO15+Data!DB15)/AO$6*100000*AO$3</f>
        <v>0</v>
      </c>
      <c r="AP18" s="325">
        <f>(Data!AP15+Data!DC15)/AP$6*100000*AP$3</f>
        <v>0</v>
      </c>
      <c r="AQ18" s="325">
        <f>(Data!AQ15+Data!DD15)/AQ$6*100000*AQ$3</f>
        <v>0</v>
      </c>
      <c r="AR18" s="325">
        <f>(Data!AR15+Data!DE15)/AR$6*100000*AR$3</f>
        <v>0</v>
      </c>
      <c r="AS18" s="325">
        <f>(Data!AS15+Data!DF15)/AS$6*100000*AS$3</f>
        <v>0</v>
      </c>
      <c r="AT18" s="325">
        <f>(Data!AT15+Data!DG15)/AT$6*100000*AT$3</f>
        <v>0</v>
      </c>
      <c r="AU18" s="325">
        <f>(Data!AU15+Data!DH15)/AU$6*100000*AU$3</f>
        <v>3215.9683548713879</v>
      </c>
      <c r="AV18" s="325">
        <f>(Data!AV15+Data!DI15)/AV$6*100000*AV$3</f>
        <v>2863.5654253110547</v>
      </c>
      <c r="AW18" s="325">
        <f>(Data!AW15+Data!DJ15)/AW$6*100000*AW$3</f>
        <v>11178.02400480655</v>
      </c>
      <c r="AX18" s="325">
        <f>(Data!AX15+Data!DK15)/AX$6*100000*AX$3</f>
        <v>6341.797519088811</v>
      </c>
      <c r="AY18" s="325">
        <f>(Data!AY15+Data!DL15)/AY$6*100000*AY$3</f>
        <v>14267.297824746629</v>
      </c>
      <c r="AZ18" s="325">
        <f>(Data!AZ15+Data!DM15)/AZ$6*100000*AZ$3</f>
        <v>13999.80166947635</v>
      </c>
      <c r="BA18" s="325">
        <f>(Data!BA15+Data!DN15)/BA$6*100000*BA$3</f>
        <v>17529.123908994628</v>
      </c>
      <c r="BB18" s="325">
        <f>(Data!BB15+Data!DO15)/BB$6*100000*BB$3</f>
        <v>11320.861517561487</v>
      </c>
      <c r="BC18" s="325">
        <f>(Data!BC15+Data!DP15)/BC$6*100000*BC$3</f>
        <v>11711.658956491186</v>
      </c>
      <c r="BD18" s="325">
        <f>(Data!BD15+Data!DQ15)/BD$6*100000*BD$3</f>
        <v>6406.4483814981768</v>
      </c>
      <c r="BE18" s="325">
        <f>(Data!BE15+Data!DR15)/BE$6*100000*BE$3</f>
        <v>10198.704764494909</v>
      </c>
    </row>
    <row r="19" spans="1:388" ht="12" customHeight="1">
      <c r="A19" s="30"/>
      <c r="B19" s="144" t="str">
        <f>UPPER(LEFT(TRIM(Data!B16),1)) &amp; MID(TRIM(Data!B16),2,50)</f>
        <v>Nosies ertmės, vid.ausies ir ančių</v>
      </c>
      <c r="C19" s="123" t="str">
        <f>Data!C16</f>
        <v>C30, C31</v>
      </c>
      <c r="D19" s="136">
        <f>Data!E16+Data!BR16</f>
        <v>17</v>
      </c>
      <c r="E19" s="125">
        <f t="shared" si="6"/>
        <v>0.57477307451865289</v>
      </c>
      <c r="F19" s="126">
        <f t="shared" si="7"/>
        <v>0.38778681708548074</v>
      </c>
      <c r="G19" s="127">
        <f t="shared" si="8"/>
        <v>0.27884919820356352</v>
      </c>
      <c r="H19" s="57"/>
      <c r="I19" s="57"/>
      <c r="J19" s="57"/>
      <c r="K19" s="57"/>
      <c r="L19" s="57"/>
      <c r="M19" s="57"/>
      <c r="N19" s="57"/>
      <c r="O19" s="57"/>
      <c r="P19" s="58"/>
      <c r="Q19" s="307"/>
      <c r="R19" s="327" t="s">
        <v>352</v>
      </c>
      <c r="S19" s="325">
        <f t="shared" si="4"/>
        <v>38778.681708548072</v>
      </c>
      <c r="T19" s="325">
        <f>(Data!AN16+Data!DA16)/T$6*100000*T$3</f>
        <v>0</v>
      </c>
      <c r="U19" s="325">
        <f>(Data!AO16+Data!DB16)/U$6*100000*U$3</f>
        <v>0</v>
      </c>
      <c r="V19" s="325">
        <f>(Data!AP16+Data!DC16)/V$6*100000*V$3</f>
        <v>0</v>
      </c>
      <c r="W19" s="325">
        <f>(Data!AQ16+Data!DD16)/W$6*100000*W$3</f>
        <v>0</v>
      </c>
      <c r="X19" s="325">
        <f>(Data!AR16+Data!DE16)/X$6*100000*X$3</f>
        <v>0</v>
      </c>
      <c r="Y19" s="325">
        <f>(Data!AS16+Data!DF16)/Y$6*100000*Y$3</f>
        <v>0</v>
      </c>
      <c r="Z19" s="325">
        <f>(Data!AT16+Data!DG16)/Z$6*100000*Z$3</f>
        <v>0</v>
      </c>
      <c r="AA19" s="325">
        <f>(Data!AU16+Data!DH16)/AA$6*100000*AA$3</f>
        <v>0</v>
      </c>
      <c r="AB19" s="325">
        <f>(Data!AV16+Data!DI16)/AB$6*100000*AB$3</f>
        <v>0</v>
      </c>
      <c r="AC19" s="325">
        <f>(Data!AW16+Data!DJ16)/AC$6*100000*AC$3</f>
        <v>9780.7710042057315</v>
      </c>
      <c r="AD19" s="325">
        <f>(Data!AX16+Data!DK16)/AD$6*100000*AD$3</f>
        <v>0</v>
      </c>
      <c r="AE19" s="325">
        <f>(Data!AY16+Data!DL16)/AE$6*100000*AE$3</f>
        <v>0</v>
      </c>
      <c r="AF19" s="325">
        <f>(Data!AZ16+Data!DM16)/AF$6*100000*AF$3</f>
        <v>5833.2506956151456</v>
      </c>
      <c r="AG19" s="325">
        <f>(Data!BA16+Data!DN16)/AG$6*100000*AG$3</f>
        <v>8764.561954497316</v>
      </c>
      <c r="AH19" s="325">
        <f>(Data!BB16+Data!DO16)/AH$6*100000*AH$3</f>
        <v>6367.9846036283361</v>
      </c>
      <c r="AI19" s="325">
        <f>(Data!BC16+Data!DP16)/AI$6*100000*AI$3</f>
        <v>1673.0941366415982</v>
      </c>
      <c r="AJ19" s="325">
        <f>(Data!BD16+Data!DQ16)/AJ$6*100000*AJ$3</f>
        <v>4659.2351865441287</v>
      </c>
      <c r="AK19" s="325">
        <f>(Data!BE16+Data!DR16)/AK$6*100000*AK$3</f>
        <v>1699.7841274158184</v>
      </c>
      <c r="AL19" s="327" t="s">
        <v>352</v>
      </c>
      <c r="AM19" s="325">
        <f t="shared" si="5"/>
        <v>27884.91982035635</v>
      </c>
      <c r="AN19" s="325">
        <f>(Data!AN16+Data!DA16)/AN$6*100000*AN$3</f>
        <v>0</v>
      </c>
      <c r="AO19" s="325">
        <f>(Data!AO16+Data!DB16)/AO$6*100000*AO$3</f>
        <v>0</v>
      </c>
      <c r="AP19" s="325">
        <f>(Data!AP16+Data!DC16)/AP$6*100000*AP$3</f>
        <v>0</v>
      </c>
      <c r="AQ19" s="325">
        <f>(Data!AQ16+Data!DD16)/AQ$6*100000*AQ$3</f>
        <v>0</v>
      </c>
      <c r="AR19" s="325">
        <f>(Data!AR16+Data!DE16)/AR$6*100000*AR$3</f>
        <v>0</v>
      </c>
      <c r="AS19" s="325">
        <f>(Data!AS16+Data!DF16)/AS$6*100000*AS$3</f>
        <v>0</v>
      </c>
      <c r="AT19" s="325">
        <f>(Data!AT16+Data!DG16)/AT$6*100000*AT$3</f>
        <v>0</v>
      </c>
      <c r="AU19" s="325">
        <f>(Data!AU16+Data!DH16)/AU$6*100000*AU$3</f>
        <v>0</v>
      </c>
      <c r="AV19" s="325">
        <f>(Data!AV16+Data!DI16)/AV$6*100000*AV$3</f>
        <v>0</v>
      </c>
      <c r="AW19" s="325">
        <f>(Data!AW16+Data!DJ16)/AW$6*100000*AW$3</f>
        <v>8383.5180036049132</v>
      </c>
      <c r="AX19" s="325">
        <f>(Data!AX16+Data!DK16)/AX$6*100000*AX$3</f>
        <v>0</v>
      </c>
      <c r="AY19" s="325">
        <f>(Data!AY16+Data!DL16)/AY$6*100000*AY$3</f>
        <v>0</v>
      </c>
      <c r="AZ19" s="325">
        <f>(Data!AZ16+Data!DM16)/AZ$6*100000*AZ$3</f>
        <v>4666.6005564921161</v>
      </c>
      <c r="BA19" s="325">
        <f>(Data!BA16+Data!DN16)/BA$6*100000*BA$3</f>
        <v>6573.421465872987</v>
      </c>
      <c r="BB19" s="325">
        <f>(Data!BB16+Data!DO16)/BB$6*100000*BB$3</f>
        <v>4245.323069085558</v>
      </c>
      <c r="BC19" s="325">
        <f>(Data!BC16+Data!DP16)/BC$6*100000*BC$3</f>
        <v>836.5470683207991</v>
      </c>
      <c r="BD19" s="325">
        <f>(Data!BD16+Data!DQ16)/BD$6*100000*BD$3</f>
        <v>2329.6175932720644</v>
      </c>
      <c r="BE19" s="325">
        <f>(Data!BE16+Data!DR16)/BE$6*100000*BE$3</f>
        <v>849.89206370790919</v>
      </c>
    </row>
    <row r="20" spans="1:388" ht="12" customHeight="1">
      <c r="A20" s="30"/>
      <c r="B20" s="144" t="str">
        <f>UPPER(LEFT(TRIM(Data!B17),1)) &amp; MID(TRIM(Data!B17),2,50)</f>
        <v>Gerklų</v>
      </c>
      <c r="C20" s="123" t="str">
        <f>Data!C17</f>
        <v>C32</v>
      </c>
      <c r="D20" s="136">
        <f>Data!E17+Data!BR17</f>
        <v>110</v>
      </c>
      <c r="E20" s="125">
        <f t="shared" si="6"/>
        <v>3.7191198939442249</v>
      </c>
      <c r="F20" s="126">
        <f t="shared" si="7"/>
        <v>2.8786820526709773</v>
      </c>
      <c r="G20" s="127">
        <f t="shared" si="8"/>
        <v>2.0886218364915989</v>
      </c>
      <c r="H20" s="57"/>
      <c r="I20" s="57"/>
      <c r="J20" s="57"/>
      <c r="K20" s="57"/>
      <c r="L20" s="57"/>
      <c r="M20" s="57"/>
      <c r="N20" s="57"/>
      <c r="O20" s="57"/>
      <c r="P20" s="58"/>
      <c r="Q20" s="307"/>
      <c r="R20" s="327" t="s">
        <v>352</v>
      </c>
      <c r="S20" s="325">
        <f t="shared" si="4"/>
        <v>287868.20526709774</v>
      </c>
      <c r="T20" s="325">
        <f>(Data!AN17+Data!DA17)/T$6*100000*T$3</f>
        <v>0</v>
      </c>
      <c r="U20" s="325">
        <f>(Data!AO17+Data!DB17)/U$6*100000*U$3</f>
        <v>0</v>
      </c>
      <c r="V20" s="325">
        <f>(Data!AP17+Data!DC17)/V$6*100000*V$3</f>
        <v>0</v>
      </c>
      <c r="W20" s="325">
        <f>(Data!AQ17+Data!DD17)/W$6*100000*W$3</f>
        <v>0</v>
      </c>
      <c r="X20" s="325">
        <f>(Data!AR17+Data!DE17)/X$6*100000*X$3</f>
        <v>0</v>
      </c>
      <c r="Y20" s="325">
        <f>(Data!AS17+Data!DF17)/Y$6*100000*Y$3</f>
        <v>0</v>
      </c>
      <c r="Z20" s="325">
        <f>(Data!AT17+Data!DG17)/Z$6*100000*Z$3</f>
        <v>0</v>
      </c>
      <c r="AA20" s="325">
        <f>(Data!AU17+Data!DH17)/AA$6*100000*AA$3</f>
        <v>3751.9630806832861</v>
      </c>
      <c r="AB20" s="325">
        <f>(Data!AV17+Data!DI17)/AB$6*100000*AB$3</f>
        <v>13363.305318118257</v>
      </c>
      <c r="AC20" s="325">
        <f>(Data!AW17+Data!DJ17)/AC$6*100000*AC$3</f>
        <v>22821.799009813371</v>
      </c>
      <c r="AD20" s="325">
        <f>(Data!AX17+Data!DK17)/AD$6*100000*AD$3</f>
        <v>41433.077124713556</v>
      </c>
      <c r="AE20" s="325">
        <f>(Data!AY17+Data!DL17)/AE$6*100000*AE$3</f>
        <v>39744.615368937033</v>
      </c>
      <c r="AF20" s="325">
        <f>(Data!AZ17+Data!DM17)/AF$6*100000*AF$3</f>
        <v>69999.00834738175</v>
      </c>
      <c r="AG20" s="325">
        <f>(Data!BA17+Data!DN17)/AG$6*100000*AG$3</f>
        <v>46744.330423985681</v>
      </c>
      <c r="AH20" s="325">
        <f>(Data!BB17+Data!DO17)/AH$6*100000*AH$3</f>
        <v>14858.63074179945</v>
      </c>
      <c r="AI20" s="325">
        <f>(Data!BC17+Data!DP17)/AI$6*100000*AI$3</f>
        <v>18404.035503057581</v>
      </c>
      <c r="AJ20" s="325">
        <f>(Data!BD17+Data!DQ17)/AJ$6*100000*AJ$3</f>
        <v>11648.087966360323</v>
      </c>
      <c r="AK20" s="325">
        <f>(Data!BE17+Data!DR17)/AK$6*100000*AK$3</f>
        <v>5099.3523822474544</v>
      </c>
      <c r="AL20" s="327" t="s">
        <v>352</v>
      </c>
      <c r="AM20" s="325">
        <f t="shared" si="5"/>
        <v>208862.18364915988</v>
      </c>
      <c r="AN20" s="325">
        <f>(Data!AN17+Data!DA17)/AN$6*100000*AN$3</f>
        <v>0</v>
      </c>
      <c r="AO20" s="325">
        <f>(Data!AO17+Data!DB17)/AO$6*100000*AO$3</f>
        <v>0</v>
      </c>
      <c r="AP20" s="325">
        <f>(Data!AP17+Data!DC17)/AP$6*100000*AP$3</f>
        <v>0</v>
      </c>
      <c r="AQ20" s="325">
        <f>(Data!AQ17+Data!DD17)/AQ$6*100000*AQ$3</f>
        <v>0</v>
      </c>
      <c r="AR20" s="325">
        <f>(Data!AR17+Data!DE17)/AR$6*100000*AR$3</f>
        <v>0</v>
      </c>
      <c r="AS20" s="325">
        <f>(Data!AS17+Data!DF17)/AS$6*100000*AS$3</f>
        <v>0</v>
      </c>
      <c r="AT20" s="325">
        <f>(Data!AT17+Data!DG17)/AT$6*100000*AT$3</f>
        <v>0</v>
      </c>
      <c r="AU20" s="325">
        <f>(Data!AU17+Data!DH17)/AU$6*100000*AU$3</f>
        <v>3215.9683548713879</v>
      </c>
      <c r="AV20" s="325">
        <f>(Data!AV17+Data!DI17)/AV$6*100000*AV$3</f>
        <v>11454.261701244219</v>
      </c>
      <c r="AW20" s="325">
        <f>(Data!AW17+Data!DJ17)/AW$6*100000*AW$3</f>
        <v>19561.542008411463</v>
      </c>
      <c r="AX20" s="325">
        <f>(Data!AX17+Data!DK17)/AX$6*100000*AX$3</f>
        <v>29595.055089081114</v>
      </c>
      <c r="AY20" s="325">
        <f>(Data!AY17+Data!DL17)/AY$6*100000*AY$3</f>
        <v>26496.410245958021</v>
      </c>
      <c r="AZ20" s="325">
        <f>(Data!AZ17+Data!DM17)/AZ$6*100000*AZ$3</f>
        <v>55999.2066779054</v>
      </c>
      <c r="BA20" s="325">
        <f>(Data!BA17+Data!DN17)/BA$6*100000*BA$3</f>
        <v>35058.247817989257</v>
      </c>
      <c r="BB20" s="325">
        <f>(Data!BB17+Data!DO17)/BB$6*100000*BB$3</f>
        <v>9905.7538278663014</v>
      </c>
      <c r="BC20" s="325">
        <f>(Data!BC17+Data!DP17)/BC$6*100000*BC$3</f>
        <v>9202.0177515287905</v>
      </c>
      <c r="BD20" s="325">
        <f>(Data!BD17+Data!DQ17)/BD$6*100000*BD$3</f>
        <v>5824.0439831801614</v>
      </c>
      <c r="BE20" s="325">
        <f>(Data!BE17+Data!DR17)/BE$6*100000*BE$3</f>
        <v>2549.6761911237272</v>
      </c>
    </row>
    <row r="21" spans="1:388" ht="12" customHeight="1">
      <c r="A21" s="30"/>
      <c r="B21" s="144" t="str">
        <f>UPPER(LEFT(TRIM(Data!B18),1)) &amp; MID(TRIM(Data!B18),2,50)</f>
        <v>Plaučių, trachėjos, bronchų</v>
      </c>
      <c r="C21" s="123" t="str">
        <f>Data!C18</f>
        <v>C33, C34</v>
      </c>
      <c r="D21" s="136">
        <f>Data!E18+Data!BR18</f>
        <v>1308</v>
      </c>
      <c r="E21" s="125">
        <f t="shared" si="6"/>
        <v>44.223716557082234</v>
      </c>
      <c r="F21" s="126">
        <f t="shared" si="7"/>
        <v>31.28521046714183</v>
      </c>
      <c r="G21" s="127">
        <f t="shared" si="8"/>
        <v>21.686933878578841</v>
      </c>
      <c r="H21" s="57"/>
      <c r="I21" s="57"/>
      <c r="J21" s="57"/>
      <c r="K21" s="57"/>
      <c r="L21" s="57"/>
      <c r="M21" s="57"/>
      <c r="N21" s="57"/>
      <c r="O21" s="57"/>
      <c r="P21" s="58"/>
      <c r="Q21" s="307"/>
      <c r="R21" s="327" t="s">
        <v>352</v>
      </c>
      <c r="S21" s="325">
        <f t="shared" si="4"/>
        <v>3128521.0467141829</v>
      </c>
      <c r="T21" s="325">
        <f>(Data!AN18+Data!DA18)/T$6*100000*T$3</f>
        <v>0</v>
      </c>
      <c r="U21" s="325">
        <f>(Data!AO18+Data!DB18)/U$6*100000*U$3</f>
        <v>0</v>
      </c>
      <c r="V21" s="325">
        <f>(Data!AP18+Data!DC18)/V$6*100000*V$3</f>
        <v>0</v>
      </c>
      <c r="W21" s="325">
        <f>(Data!AQ18+Data!DD18)/W$6*100000*W$3</f>
        <v>0</v>
      </c>
      <c r="X21" s="325">
        <f>(Data!AR18+Data!DE18)/X$6*100000*X$3</f>
        <v>0</v>
      </c>
      <c r="Y21" s="325">
        <f>(Data!AS18+Data!DF18)/Y$6*100000*Y$3</f>
        <v>7196.0195731732383</v>
      </c>
      <c r="Z21" s="325">
        <f>(Data!AT18+Data!DG18)/Z$6*100000*Z$3</f>
        <v>0</v>
      </c>
      <c r="AA21" s="325">
        <f>(Data!AU18+Data!DH18)/AA$6*100000*AA$3</f>
        <v>11255.88924204986</v>
      </c>
      <c r="AB21" s="325">
        <f>(Data!AV18+Data!DI18)/AB$6*100000*AB$3</f>
        <v>33408.263295295641</v>
      </c>
      <c r="AC21" s="325">
        <f>(Data!AW18+Data!DJ18)/AC$6*100000*AC$3</f>
        <v>110848.73804766496</v>
      </c>
      <c r="AD21" s="325">
        <f>(Data!AX18+Data!DK18)/AD$6*100000*AD$3</f>
        <v>195327.36358793537</v>
      </c>
      <c r="AE21" s="325">
        <f>(Data!AY18+Data!DL18)/AE$6*100000*AE$3</f>
        <v>418847.1004264903</v>
      </c>
      <c r="AF21" s="325">
        <f>(Data!AZ18+Data!DM18)/AF$6*100000*AF$3</f>
        <v>691240.20743039483</v>
      </c>
      <c r="AG21" s="325">
        <f>(Data!BA18+Data!DN18)/AG$6*100000*AG$3</f>
        <v>572618.04769382463</v>
      </c>
      <c r="AH21" s="325">
        <f>(Data!BB18+Data!DO18)/AH$6*100000*AH$3</f>
        <v>492457.47601392464</v>
      </c>
      <c r="AI21" s="325">
        <f>(Data!BC18+Data!DP18)/AI$6*100000*AI$3</f>
        <v>353022.86283137719</v>
      </c>
      <c r="AJ21" s="325">
        <f>(Data!BD18+Data!DQ18)/AJ$6*100000*AJ$3</f>
        <v>138612.24679968783</v>
      </c>
      <c r="AK21" s="325">
        <f>(Data!BE18+Data!DR18)/AK$6*100000*AK$3</f>
        <v>103686.83177236491</v>
      </c>
      <c r="AL21" s="327" t="s">
        <v>352</v>
      </c>
      <c r="AM21" s="325">
        <f t="shared" si="5"/>
        <v>2168693.3878578842</v>
      </c>
      <c r="AN21" s="325">
        <f>(Data!AN18+Data!DA18)/AN$6*100000*AN$3</f>
        <v>0</v>
      </c>
      <c r="AO21" s="325">
        <f>(Data!AO18+Data!DB18)/AO$6*100000*AO$3</f>
        <v>0</v>
      </c>
      <c r="AP21" s="325">
        <f>(Data!AP18+Data!DC18)/AP$6*100000*AP$3</f>
        <v>0</v>
      </c>
      <c r="AQ21" s="325">
        <f>(Data!AQ18+Data!DD18)/AQ$6*100000*AQ$3</f>
        <v>0</v>
      </c>
      <c r="AR21" s="325">
        <f>(Data!AR18+Data!DE18)/AR$6*100000*AR$3</f>
        <v>0</v>
      </c>
      <c r="AS21" s="325">
        <f>(Data!AS18+Data!DF18)/AS$6*100000*AS$3</f>
        <v>8224.0223693408443</v>
      </c>
      <c r="AT21" s="325">
        <f>(Data!AT18+Data!DG18)/AT$6*100000*AT$3</f>
        <v>0</v>
      </c>
      <c r="AU21" s="325">
        <f>(Data!AU18+Data!DH18)/AU$6*100000*AU$3</f>
        <v>9647.9050646141659</v>
      </c>
      <c r="AV21" s="325">
        <f>(Data!AV18+Data!DI18)/AV$6*100000*AV$3</f>
        <v>28635.654253110548</v>
      </c>
      <c r="AW21" s="325">
        <f>(Data!AW18+Data!DJ18)/AW$6*100000*AW$3</f>
        <v>95013.204040855679</v>
      </c>
      <c r="AX21" s="325">
        <f>(Data!AX18+Data!DK18)/AX$6*100000*AX$3</f>
        <v>139519.54541995382</v>
      </c>
      <c r="AY21" s="325">
        <f>(Data!AY18+Data!DL18)/AY$6*100000*AY$3</f>
        <v>279231.40028432687</v>
      </c>
      <c r="AZ21" s="325">
        <f>(Data!AZ18+Data!DM18)/AZ$6*100000*AZ$3</f>
        <v>552992.16594431584</v>
      </c>
      <c r="BA21" s="325">
        <f>(Data!BA18+Data!DN18)/BA$6*100000*BA$3</f>
        <v>429463.53577036853</v>
      </c>
      <c r="BB21" s="325">
        <f>(Data!BB18+Data!DO18)/BB$6*100000*BB$3</f>
        <v>328304.98400928307</v>
      </c>
      <c r="BC21" s="325">
        <f>(Data!BC18+Data!DP18)/BC$6*100000*BC$3</f>
        <v>176511.4314156886</v>
      </c>
      <c r="BD21" s="325">
        <f>(Data!BD18+Data!DQ18)/BD$6*100000*BD$3</f>
        <v>69306.123399843913</v>
      </c>
      <c r="BE21" s="325">
        <f>(Data!BE18+Data!DR18)/BE$6*100000*BE$3</f>
        <v>51843.415886182454</v>
      </c>
    </row>
    <row r="22" spans="1:388" ht="12" customHeight="1">
      <c r="A22" s="30"/>
      <c r="B22" s="144" t="str">
        <f>UPPER(LEFT(TRIM(Data!B19),1)) &amp; MID(TRIM(Data!B19),2,50)</f>
        <v>Kitų kvėpavimo sistemos organų</v>
      </c>
      <c r="C22" s="123" t="str">
        <f>Data!C19</f>
        <v>C37-C39</v>
      </c>
      <c r="D22" s="136">
        <f>Data!E19+Data!BR19</f>
        <v>17</v>
      </c>
      <c r="E22" s="125">
        <f t="shared" si="6"/>
        <v>0.57477307451865289</v>
      </c>
      <c r="F22" s="126">
        <f t="shared" si="7"/>
        <v>0.46932604544799722</v>
      </c>
      <c r="G22" s="127">
        <f t="shared" si="8"/>
        <v>0.34877597355847656</v>
      </c>
      <c r="H22" s="56"/>
      <c r="I22" s="56"/>
      <c r="J22" s="56"/>
      <c r="K22" s="56"/>
      <c r="L22" s="56"/>
      <c r="M22" s="56"/>
      <c r="N22" s="56"/>
      <c r="O22" s="56"/>
      <c r="P22" s="58"/>
      <c r="Q22" s="307"/>
      <c r="R22" s="327" t="s">
        <v>352</v>
      </c>
      <c r="S22" s="325">
        <f t="shared" si="4"/>
        <v>46932.604544799724</v>
      </c>
      <c r="T22" s="325">
        <f>(Data!AN19+Data!DA19)/T$6*100000*T$3</f>
        <v>0</v>
      </c>
      <c r="U22" s="325">
        <f>(Data!AO19+Data!DB19)/U$6*100000*U$3</f>
        <v>0</v>
      </c>
      <c r="V22" s="325">
        <f>(Data!AP19+Data!DC19)/V$6*100000*V$3</f>
        <v>0</v>
      </c>
      <c r="W22" s="325">
        <f>(Data!AQ19+Data!DD19)/W$6*100000*W$3</f>
        <v>0</v>
      </c>
      <c r="X22" s="325">
        <f>(Data!AR19+Data!DE19)/X$6*100000*X$3</f>
        <v>0</v>
      </c>
      <c r="Y22" s="325">
        <f>(Data!AS19+Data!DF19)/Y$6*100000*Y$3</f>
        <v>0</v>
      </c>
      <c r="Z22" s="325">
        <f>(Data!AT19+Data!DG19)/Z$6*100000*Z$3</f>
        <v>0</v>
      </c>
      <c r="AA22" s="325">
        <f>(Data!AU19+Data!DH19)/AA$6*100000*AA$3</f>
        <v>3751.9630806832861</v>
      </c>
      <c r="AB22" s="325">
        <f>(Data!AV19+Data!DI19)/AB$6*100000*AB$3</f>
        <v>0</v>
      </c>
      <c r="AC22" s="325">
        <f>(Data!AW19+Data!DJ19)/AC$6*100000*AC$3</f>
        <v>3260.2570014019107</v>
      </c>
      <c r="AD22" s="325">
        <f>(Data!AX19+Data!DK19)/AD$6*100000*AD$3</f>
        <v>5919.0110178162231</v>
      </c>
      <c r="AE22" s="325">
        <f>(Data!AY19+Data!DL19)/AE$6*100000*AE$3</f>
        <v>3057.2781053028489</v>
      </c>
      <c r="AF22" s="325">
        <f>(Data!AZ19+Data!DM19)/AF$6*100000*AF$3</f>
        <v>11666.501391230291</v>
      </c>
      <c r="AG22" s="325">
        <f>(Data!BA19+Data!DN19)/AG$6*100000*AG$3</f>
        <v>11686.08260599642</v>
      </c>
      <c r="AH22" s="325">
        <f>(Data!BB19+Data!DO19)/AH$6*100000*AH$3</f>
        <v>4245.3230690855571</v>
      </c>
      <c r="AI22" s="325">
        <f>(Data!BC19+Data!DP19)/AI$6*100000*AI$3</f>
        <v>3346.1882732831964</v>
      </c>
      <c r="AJ22" s="325">
        <f>(Data!BD19+Data!DQ19)/AJ$6*100000*AJ$3</f>
        <v>0</v>
      </c>
      <c r="AK22" s="325">
        <f>(Data!BE19+Data!DR19)/AK$6*100000*AK$3</f>
        <v>0</v>
      </c>
      <c r="AL22" s="327" t="s">
        <v>352</v>
      </c>
      <c r="AM22" s="325">
        <f t="shared" si="5"/>
        <v>34877.597355847654</v>
      </c>
      <c r="AN22" s="325">
        <f>(Data!AN19+Data!DA19)/AN$6*100000*AN$3</f>
        <v>0</v>
      </c>
      <c r="AO22" s="325">
        <f>(Data!AO19+Data!DB19)/AO$6*100000*AO$3</f>
        <v>0</v>
      </c>
      <c r="AP22" s="325">
        <f>(Data!AP19+Data!DC19)/AP$6*100000*AP$3</f>
        <v>0</v>
      </c>
      <c r="AQ22" s="325">
        <f>(Data!AQ19+Data!DD19)/AQ$6*100000*AQ$3</f>
        <v>0</v>
      </c>
      <c r="AR22" s="325">
        <f>(Data!AR19+Data!DE19)/AR$6*100000*AR$3</f>
        <v>0</v>
      </c>
      <c r="AS22" s="325">
        <f>(Data!AS19+Data!DF19)/AS$6*100000*AS$3</f>
        <v>0</v>
      </c>
      <c r="AT22" s="325">
        <f>(Data!AT19+Data!DG19)/AT$6*100000*AT$3</f>
        <v>0</v>
      </c>
      <c r="AU22" s="325">
        <f>(Data!AU19+Data!DH19)/AU$6*100000*AU$3</f>
        <v>3215.9683548713879</v>
      </c>
      <c r="AV22" s="325">
        <f>(Data!AV19+Data!DI19)/AV$6*100000*AV$3</f>
        <v>0</v>
      </c>
      <c r="AW22" s="325">
        <f>(Data!AW19+Data!DJ19)/AW$6*100000*AW$3</f>
        <v>2794.5060012016374</v>
      </c>
      <c r="AX22" s="325">
        <f>(Data!AX19+Data!DK19)/AX$6*100000*AX$3</f>
        <v>4227.8650127258734</v>
      </c>
      <c r="AY22" s="325">
        <f>(Data!AY19+Data!DL19)/AY$6*100000*AY$3</f>
        <v>2038.1854035352328</v>
      </c>
      <c r="AZ22" s="325">
        <f>(Data!AZ19+Data!DM19)/AZ$6*100000*AZ$3</f>
        <v>9333.2011129842322</v>
      </c>
      <c r="BA22" s="325">
        <f>(Data!BA19+Data!DN19)/BA$6*100000*BA$3</f>
        <v>8764.5619544973142</v>
      </c>
      <c r="BB22" s="325">
        <f>(Data!BB19+Data!DO19)/BB$6*100000*BB$3</f>
        <v>2830.2153793903717</v>
      </c>
      <c r="BC22" s="325">
        <f>(Data!BC19+Data!DP19)/BC$6*100000*BC$3</f>
        <v>1673.0941366415982</v>
      </c>
      <c r="BD22" s="325">
        <f>(Data!BD19+Data!DQ19)/BD$6*100000*BD$3</f>
        <v>0</v>
      </c>
      <c r="BE22" s="325">
        <f>(Data!BE19+Data!DR19)/BE$6*100000*BE$3</f>
        <v>0</v>
      </c>
    </row>
    <row r="23" spans="1:388" ht="12" customHeight="1">
      <c r="A23" s="30"/>
      <c r="B23" s="144" t="str">
        <f>UPPER(LEFT(TRIM(Data!B20),1)) &amp; MID(TRIM(Data!B20),2,50)</f>
        <v>Kaulų ir jungiamojo audinio</v>
      </c>
      <c r="C23" s="123" t="str">
        <f>Data!C20</f>
        <v>C40-C41, C45-C47, C49</v>
      </c>
      <c r="D23" s="136">
        <f>Data!E20+Data!BR20</f>
        <v>75</v>
      </c>
      <c r="E23" s="125">
        <f t="shared" si="6"/>
        <v>2.5357635640528802</v>
      </c>
      <c r="F23" s="126">
        <f t="shared" si="7"/>
        <v>2.0293725355088226</v>
      </c>
      <c r="G23" s="127">
        <f t="shared" si="8"/>
        <v>1.6551821036770547</v>
      </c>
      <c r="H23" s="56"/>
      <c r="I23" s="56"/>
      <c r="J23" s="56"/>
      <c r="K23" s="56"/>
      <c r="L23" s="56"/>
      <c r="M23" s="56"/>
      <c r="N23" s="56"/>
      <c r="O23" s="56"/>
      <c r="P23" s="58"/>
      <c r="Q23" s="307"/>
      <c r="R23" s="327" t="s">
        <v>352</v>
      </c>
      <c r="S23" s="325">
        <f t="shared" si="4"/>
        <v>202937.25355088228</v>
      </c>
      <c r="T23" s="325">
        <f>(Data!AN20+Data!DA20)/T$6*100000*T$3</f>
        <v>5295.83879466709</v>
      </c>
      <c r="U23" s="325">
        <f>(Data!AO20+Data!DB20)/U$6*100000*U$3</f>
        <v>5186.030316051505</v>
      </c>
      <c r="V23" s="325">
        <f>(Data!AP20+Data!DC20)/V$6*100000*V$3</f>
        <v>4752.4322269218501</v>
      </c>
      <c r="W23" s="325">
        <f>(Data!AQ20+Data!DD20)/W$6*100000*W$3</f>
        <v>3836.6675801589472</v>
      </c>
      <c r="X23" s="325">
        <f>(Data!AR20+Data!DE20)/X$6*100000*X$3</f>
        <v>13086.007786174634</v>
      </c>
      <c r="Y23" s="325">
        <f>(Data!AS20+Data!DF20)/Y$6*100000*Y$3</f>
        <v>3598.0097865866192</v>
      </c>
      <c r="Z23" s="325">
        <f>(Data!AT20+Data!DG20)/Z$6*100000*Z$3</f>
        <v>7958.9771577355559</v>
      </c>
      <c r="AA23" s="325">
        <f>(Data!AU20+Data!DH20)/AA$6*100000*AA$3</f>
        <v>3751.9630806832861</v>
      </c>
      <c r="AB23" s="325">
        <f>(Data!AV20+Data!DI20)/AB$6*100000*AB$3</f>
        <v>10022.478988588691</v>
      </c>
      <c r="AC23" s="325">
        <f>(Data!AW20+Data!DJ20)/AC$6*100000*AC$3</f>
        <v>13041.028005607643</v>
      </c>
      <c r="AD23" s="325">
        <f>(Data!AX20+Data!DK20)/AD$6*100000*AD$3</f>
        <v>20716.538562356778</v>
      </c>
      <c r="AE23" s="325">
        <f>(Data!AY20+Data!DL20)/AE$6*100000*AE$3</f>
        <v>18343.668631817094</v>
      </c>
      <c r="AF23" s="325">
        <f>(Data!AZ20+Data!DM20)/AF$6*100000*AF$3</f>
        <v>26249.628130268156</v>
      </c>
      <c r="AG23" s="325">
        <f>(Data!BA20+Data!DN20)/AG$6*100000*AG$3</f>
        <v>23372.16521199284</v>
      </c>
      <c r="AH23" s="325">
        <f>(Data!BB20+Data!DO20)/AH$6*100000*AH$3</f>
        <v>16981.292276342228</v>
      </c>
      <c r="AI23" s="325">
        <f>(Data!BC20+Data!DP20)/AI$6*100000*AI$3</f>
        <v>6692.3765465663928</v>
      </c>
      <c r="AJ23" s="325">
        <f>(Data!BD20+Data!DQ20)/AJ$6*100000*AJ$3</f>
        <v>8153.6615764522257</v>
      </c>
      <c r="AK23" s="325">
        <f>(Data!BE20+Data!DR20)/AK$6*100000*AK$3</f>
        <v>11898.488891910729</v>
      </c>
      <c r="AL23" s="327" t="s">
        <v>352</v>
      </c>
      <c r="AM23" s="325">
        <f t="shared" si="5"/>
        <v>165518.21036770547</v>
      </c>
      <c r="AN23" s="325">
        <f>(Data!AN20+Data!DA20)/AN$6*100000*AN$3</f>
        <v>7943.7581920006351</v>
      </c>
      <c r="AO23" s="325">
        <f>(Data!AO20+Data!DB20)/AO$6*100000*AO$3</f>
        <v>7408.614737216436</v>
      </c>
      <c r="AP23" s="325">
        <f>(Data!AP20+Data!DC20)/AP$6*100000*AP$3</f>
        <v>6110.2700060423786</v>
      </c>
      <c r="AQ23" s="325">
        <f>(Data!AQ20+Data!DD20)/AQ$6*100000*AQ$3</f>
        <v>4932.858317347218</v>
      </c>
      <c r="AR23" s="325">
        <f>(Data!AR20+Data!DE20)/AR$6*100000*AR$3</f>
        <v>14955.437469913868</v>
      </c>
      <c r="AS23" s="325">
        <f>(Data!AS20+Data!DF20)/AS$6*100000*AS$3</f>
        <v>4112.0111846704222</v>
      </c>
      <c r="AT23" s="325">
        <f>(Data!AT20+Data!DG20)/AT$6*100000*AT$3</f>
        <v>6821.9804209161912</v>
      </c>
      <c r="AU23" s="325">
        <f>(Data!AU20+Data!DH20)/AU$6*100000*AU$3</f>
        <v>3215.9683548713879</v>
      </c>
      <c r="AV23" s="325">
        <f>(Data!AV20+Data!DI20)/AV$6*100000*AV$3</f>
        <v>8590.6962759331636</v>
      </c>
      <c r="AW23" s="325">
        <f>(Data!AW20+Data!DJ20)/AW$6*100000*AW$3</f>
        <v>11178.02400480655</v>
      </c>
      <c r="AX23" s="325">
        <f>(Data!AX20+Data!DK20)/AX$6*100000*AX$3</f>
        <v>14797.527544540557</v>
      </c>
      <c r="AY23" s="325">
        <f>(Data!AY20+Data!DL20)/AY$6*100000*AY$3</f>
        <v>12229.112421211397</v>
      </c>
      <c r="AZ23" s="325">
        <f>(Data!AZ20+Data!DM20)/AZ$6*100000*AZ$3</f>
        <v>20999.702504214525</v>
      </c>
      <c r="BA23" s="325">
        <f>(Data!BA20+Data!DN20)/BA$6*100000*BA$3</f>
        <v>17529.123908994628</v>
      </c>
      <c r="BB23" s="325">
        <f>(Data!BB20+Data!DO20)/BB$6*100000*BB$3</f>
        <v>11320.861517561487</v>
      </c>
      <c r="BC23" s="325">
        <f>(Data!BC20+Data!DP20)/BC$6*100000*BC$3</f>
        <v>3346.1882732831964</v>
      </c>
      <c r="BD23" s="325">
        <f>(Data!BD20+Data!DQ20)/BD$6*100000*BD$3</f>
        <v>4076.8307882261129</v>
      </c>
      <c r="BE23" s="325">
        <f>(Data!BE20+Data!DR20)/BE$6*100000*BE$3</f>
        <v>5949.2444459553644</v>
      </c>
    </row>
    <row r="24" spans="1:388" ht="12" customHeight="1">
      <c r="A24" s="30"/>
      <c r="B24" s="144" t="str">
        <f>UPPER(LEFT(TRIM(Data!B21),1)) &amp; MID(TRIM(Data!B21),2,50)</f>
        <v>Odos melanoma</v>
      </c>
      <c r="C24" s="123" t="str">
        <f>Data!C21</f>
        <v>C43</v>
      </c>
      <c r="D24" s="136">
        <f>Data!E21+Data!BR21</f>
        <v>99</v>
      </c>
      <c r="E24" s="125">
        <f t="shared" si="6"/>
        <v>3.3472079045498018</v>
      </c>
      <c r="F24" s="126">
        <f t="shared" si="7"/>
        <v>2.2599581120288681</v>
      </c>
      <c r="G24" s="127">
        <f t="shared" si="8"/>
        <v>1.573883524043225</v>
      </c>
      <c r="H24" s="56"/>
      <c r="I24" s="56"/>
      <c r="J24" s="56"/>
      <c r="K24" s="56"/>
      <c r="L24" s="56"/>
      <c r="M24" s="56"/>
      <c r="N24" s="56"/>
      <c r="O24" s="56"/>
      <c r="P24" s="58"/>
      <c r="Q24" s="307"/>
      <c r="R24" s="327" t="s">
        <v>352</v>
      </c>
      <c r="S24" s="325">
        <f t="shared" si="4"/>
        <v>225995.81120288681</v>
      </c>
      <c r="T24" s="325">
        <f>(Data!AN21+Data!DA21)/T$6*100000*T$3</f>
        <v>0</v>
      </c>
      <c r="U24" s="325">
        <f>(Data!AO21+Data!DB21)/U$6*100000*U$3</f>
        <v>0</v>
      </c>
      <c r="V24" s="325">
        <f>(Data!AP21+Data!DC21)/V$6*100000*V$3</f>
        <v>0</v>
      </c>
      <c r="W24" s="325">
        <f>(Data!AQ21+Data!DD21)/W$6*100000*W$3</f>
        <v>0</v>
      </c>
      <c r="X24" s="325">
        <f>(Data!AR21+Data!DE21)/X$6*100000*X$3</f>
        <v>0</v>
      </c>
      <c r="Y24" s="325">
        <f>(Data!AS21+Data!DF21)/Y$6*100000*Y$3</f>
        <v>7196.0195731732383</v>
      </c>
      <c r="Z24" s="325">
        <f>(Data!AT21+Data!DG21)/Z$6*100000*Z$3</f>
        <v>0</v>
      </c>
      <c r="AA24" s="325">
        <f>(Data!AU21+Data!DH21)/AA$6*100000*AA$3</f>
        <v>7503.9261613665722</v>
      </c>
      <c r="AB24" s="325">
        <f>(Data!AV21+Data!DI21)/AB$6*100000*AB$3</f>
        <v>13363.305318118257</v>
      </c>
      <c r="AC24" s="325">
        <f>(Data!AW21+Data!DJ21)/AC$6*100000*AC$3</f>
        <v>22821.799009813371</v>
      </c>
      <c r="AD24" s="325">
        <f>(Data!AX21+Data!DK21)/AD$6*100000*AD$3</f>
        <v>2959.5055089081116</v>
      </c>
      <c r="AE24" s="325">
        <f>(Data!AY21+Data!DL21)/AE$6*100000*AE$3</f>
        <v>27515.502947725639</v>
      </c>
      <c r="AF24" s="325">
        <f>(Data!AZ21+Data!DM21)/AF$6*100000*AF$3</f>
        <v>37916.129521498442</v>
      </c>
      <c r="AG24" s="325">
        <f>(Data!BA21+Data!DN21)/AG$6*100000*AG$3</f>
        <v>17529.123908994632</v>
      </c>
      <c r="AH24" s="325">
        <f>(Data!BB21+Data!DO21)/AH$6*100000*AH$3</f>
        <v>19103.953810885007</v>
      </c>
      <c r="AI24" s="325">
        <f>(Data!BC21+Data!DP21)/AI$6*100000*AI$3</f>
        <v>38481.165142756756</v>
      </c>
      <c r="AJ24" s="325">
        <f>(Data!BD21+Data!DQ21)/AJ$6*100000*AJ$3</f>
        <v>16307.323152904451</v>
      </c>
      <c r="AK24" s="325">
        <f>(Data!BE21+Data!DR21)/AK$6*100000*AK$3</f>
        <v>15298.057146742363</v>
      </c>
      <c r="AL24" s="327" t="s">
        <v>352</v>
      </c>
      <c r="AM24" s="325">
        <f t="shared" si="5"/>
        <v>157388.3524043225</v>
      </c>
      <c r="AN24" s="325">
        <f>(Data!AN21+Data!DA21)/AN$6*100000*AN$3</f>
        <v>0</v>
      </c>
      <c r="AO24" s="325">
        <f>(Data!AO21+Data!DB21)/AO$6*100000*AO$3</f>
        <v>0</v>
      </c>
      <c r="AP24" s="325">
        <f>(Data!AP21+Data!DC21)/AP$6*100000*AP$3</f>
        <v>0</v>
      </c>
      <c r="AQ24" s="325">
        <f>(Data!AQ21+Data!DD21)/AQ$6*100000*AQ$3</f>
        <v>0</v>
      </c>
      <c r="AR24" s="325">
        <f>(Data!AR21+Data!DE21)/AR$6*100000*AR$3</f>
        <v>0</v>
      </c>
      <c r="AS24" s="325">
        <f>(Data!AS21+Data!DF21)/AS$6*100000*AS$3</f>
        <v>8224.0223693408443</v>
      </c>
      <c r="AT24" s="325">
        <f>(Data!AT21+Data!DG21)/AT$6*100000*AT$3</f>
        <v>0</v>
      </c>
      <c r="AU24" s="325">
        <f>(Data!AU21+Data!DH21)/AU$6*100000*AU$3</f>
        <v>6431.9367097427757</v>
      </c>
      <c r="AV24" s="325">
        <f>(Data!AV21+Data!DI21)/AV$6*100000*AV$3</f>
        <v>11454.261701244219</v>
      </c>
      <c r="AW24" s="325">
        <f>(Data!AW21+Data!DJ21)/AW$6*100000*AW$3</f>
        <v>19561.542008411463</v>
      </c>
      <c r="AX24" s="325">
        <f>(Data!AX21+Data!DK21)/AX$6*100000*AX$3</f>
        <v>2113.9325063629367</v>
      </c>
      <c r="AY24" s="325">
        <f>(Data!AY21+Data!DL21)/AY$6*100000*AY$3</f>
        <v>18343.66863181709</v>
      </c>
      <c r="AZ24" s="325">
        <f>(Data!AZ21+Data!DM21)/AZ$6*100000*AZ$3</f>
        <v>30332.903617198757</v>
      </c>
      <c r="BA24" s="325">
        <f>(Data!BA21+Data!DN21)/BA$6*100000*BA$3</f>
        <v>13146.842931745974</v>
      </c>
      <c r="BB24" s="325">
        <f>(Data!BB21+Data!DO21)/BB$6*100000*BB$3</f>
        <v>12735.96920725667</v>
      </c>
      <c r="BC24" s="325">
        <f>(Data!BC21+Data!DP21)/BC$6*100000*BC$3</f>
        <v>19240.582571378378</v>
      </c>
      <c r="BD24" s="325">
        <f>(Data!BD21+Data!DQ21)/BD$6*100000*BD$3</f>
        <v>8153.6615764522257</v>
      </c>
      <c r="BE24" s="325">
        <f>(Data!BE21+Data!DR21)/BE$6*100000*BE$3</f>
        <v>7649.0285733711817</v>
      </c>
    </row>
    <row r="25" spans="1:388" ht="12" customHeight="1">
      <c r="A25" s="465"/>
      <c r="B25" s="144" t="str">
        <f>UPPER(LEFT(TRIM(Data!B22),1)) &amp; MID(TRIM(Data!B22),2,50)</f>
        <v>Kiti odos piktybiniai navikai</v>
      </c>
      <c r="C25" s="123" t="str">
        <f>Data!C22</f>
        <v>C44</v>
      </c>
      <c r="D25" s="136">
        <f>Data!E22+Data!BR22</f>
        <v>49</v>
      </c>
      <c r="E25" s="125">
        <f t="shared" si="6"/>
        <v>1.656698861847882</v>
      </c>
      <c r="F25" s="126">
        <f t="shared" si="7"/>
        <v>0.90796182180013074</v>
      </c>
      <c r="G25" s="127">
        <f t="shared" si="8"/>
        <v>0.52115519770167351</v>
      </c>
      <c r="H25" s="56"/>
      <c r="I25" s="56"/>
      <c r="J25" s="56"/>
      <c r="K25" s="56"/>
      <c r="L25" s="56"/>
      <c r="M25" s="56"/>
      <c r="N25" s="56"/>
      <c r="O25" s="56"/>
      <c r="P25" s="58"/>
      <c r="Q25" s="307"/>
      <c r="R25" s="327" t="s">
        <v>352</v>
      </c>
      <c r="S25" s="325">
        <f t="shared" si="4"/>
        <v>90796.182180013071</v>
      </c>
      <c r="T25" s="325">
        <f>(Data!AN22+Data!DA22)/T$6*100000*T$3</f>
        <v>0</v>
      </c>
      <c r="U25" s="325">
        <f>(Data!AO22+Data!DB22)/U$6*100000*U$3</f>
        <v>0</v>
      </c>
      <c r="V25" s="325">
        <f>(Data!AP22+Data!DC22)/V$6*100000*V$3</f>
        <v>0</v>
      </c>
      <c r="W25" s="325">
        <f>(Data!AQ22+Data!DD22)/W$6*100000*W$3</f>
        <v>0</v>
      </c>
      <c r="X25" s="325">
        <f>(Data!AR22+Data!DE22)/X$6*100000*X$3</f>
        <v>0</v>
      </c>
      <c r="Y25" s="325">
        <f>(Data!AS22+Data!DF22)/Y$6*100000*Y$3</f>
        <v>0</v>
      </c>
      <c r="Z25" s="325">
        <f>(Data!AT22+Data!DG22)/Z$6*100000*Z$3</f>
        <v>0</v>
      </c>
      <c r="AA25" s="325">
        <f>(Data!AU22+Data!DH22)/AA$6*100000*AA$3</f>
        <v>0</v>
      </c>
      <c r="AB25" s="325">
        <f>(Data!AV22+Data!DI22)/AB$6*100000*AB$3</f>
        <v>0</v>
      </c>
      <c r="AC25" s="325">
        <f>(Data!AW22+Data!DJ22)/AC$6*100000*AC$3</f>
        <v>0</v>
      </c>
      <c r="AD25" s="325">
        <f>(Data!AX22+Data!DK22)/AD$6*100000*AD$3</f>
        <v>0</v>
      </c>
      <c r="AE25" s="325">
        <f>(Data!AY22+Data!DL22)/AE$6*100000*AE$3</f>
        <v>9171.8343159085471</v>
      </c>
      <c r="AF25" s="325">
        <f>(Data!AZ22+Data!DM22)/AF$6*100000*AF$3</f>
        <v>2916.6253478075728</v>
      </c>
      <c r="AG25" s="325">
        <f>(Data!BA22+Data!DN22)/AG$6*100000*AG$3</f>
        <v>8764.561954497316</v>
      </c>
      <c r="AH25" s="325">
        <f>(Data!BB22+Data!DO22)/AH$6*100000*AH$3</f>
        <v>12735.969207256672</v>
      </c>
      <c r="AI25" s="325">
        <f>(Data!BC22+Data!DP22)/AI$6*100000*AI$3</f>
        <v>15057.847229774383</v>
      </c>
      <c r="AJ25" s="325">
        <f>(Data!BD22+Data!DQ22)/AJ$6*100000*AJ$3</f>
        <v>8153.6615764522257</v>
      </c>
      <c r="AK25" s="325">
        <f>(Data!BE22+Data!DR22)/AK$6*100000*AK$3</f>
        <v>33995.682548316363</v>
      </c>
      <c r="AL25" s="327" t="s">
        <v>352</v>
      </c>
      <c r="AM25" s="325">
        <f t="shared" si="5"/>
        <v>52115.519770167346</v>
      </c>
      <c r="AN25" s="325">
        <f>(Data!AN22+Data!DA22)/AN$6*100000*AN$3</f>
        <v>0</v>
      </c>
      <c r="AO25" s="325">
        <f>(Data!AO22+Data!DB22)/AO$6*100000*AO$3</f>
        <v>0</v>
      </c>
      <c r="AP25" s="325">
        <f>(Data!AP22+Data!DC22)/AP$6*100000*AP$3</f>
        <v>0</v>
      </c>
      <c r="AQ25" s="325">
        <f>(Data!AQ22+Data!DD22)/AQ$6*100000*AQ$3</f>
        <v>0</v>
      </c>
      <c r="AR25" s="325">
        <f>(Data!AR22+Data!DE22)/AR$6*100000*AR$3</f>
        <v>0</v>
      </c>
      <c r="AS25" s="325">
        <f>(Data!AS22+Data!DF22)/AS$6*100000*AS$3</f>
        <v>0</v>
      </c>
      <c r="AT25" s="325">
        <f>(Data!AT22+Data!DG22)/AT$6*100000*AT$3</f>
        <v>0</v>
      </c>
      <c r="AU25" s="325">
        <f>(Data!AU22+Data!DH22)/AU$6*100000*AU$3</f>
        <v>0</v>
      </c>
      <c r="AV25" s="325">
        <f>(Data!AV22+Data!DI22)/AV$6*100000*AV$3</f>
        <v>0</v>
      </c>
      <c r="AW25" s="325">
        <f>(Data!AW22+Data!DJ22)/AW$6*100000*AW$3</f>
        <v>0</v>
      </c>
      <c r="AX25" s="325">
        <f>(Data!AX22+Data!DK22)/AX$6*100000*AX$3</f>
        <v>0</v>
      </c>
      <c r="AY25" s="325">
        <f>(Data!AY22+Data!DL22)/AY$6*100000*AY$3</f>
        <v>6114.5562106056987</v>
      </c>
      <c r="AZ25" s="325">
        <f>(Data!AZ22+Data!DM22)/AZ$6*100000*AZ$3</f>
        <v>2333.300278246058</v>
      </c>
      <c r="BA25" s="325">
        <f>(Data!BA22+Data!DN22)/BA$6*100000*BA$3</f>
        <v>6573.421465872987</v>
      </c>
      <c r="BB25" s="325">
        <f>(Data!BB22+Data!DO22)/BB$6*100000*BB$3</f>
        <v>8490.646138171116</v>
      </c>
      <c r="BC25" s="325">
        <f>(Data!BC22+Data!DP22)/BC$6*100000*BC$3</f>
        <v>7528.9236148871914</v>
      </c>
      <c r="BD25" s="325">
        <f>(Data!BD22+Data!DQ22)/BD$6*100000*BD$3</f>
        <v>4076.8307882261129</v>
      </c>
      <c r="BE25" s="325">
        <f>(Data!BE22+Data!DR22)/BE$6*100000*BE$3</f>
        <v>16997.841274158181</v>
      </c>
    </row>
    <row r="26" spans="1:388" s="211" customFormat="1" ht="12" customHeight="1">
      <c r="A26" s="465"/>
      <c r="B26" s="546" t="str">
        <f>UPPER(LEFT(TRIM(Data!B23),1)) &amp; MID(TRIM(Data!B23),2,50)</f>
        <v>Krūties</v>
      </c>
      <c r="C26" s="547" t="str">
        <f>Data!C23</f>
        <v>C50</v>
      </c>
      <c r="D26" s="548">
        <f>Data!E23+Data!BR23</f>
        <v>569</v>
      </c>
      <c r="E26" s="549">
        <f t="shared" ref="E26" si="9">D26/$S$6*100000</f>
        <v>19.237992905947852</v>
      </c>
      <c r="F26" s="550">
        <f t="shared" ref="F26" si="10">S26/$S$3</f>
        <v>13.171963356704152</v>
      </c>
      <c r="G26" s="551">
        <f t="shared" ref="G26" si="11">AM26/$AM$3</f>
        <v>8.9220645603096447</v>
      </c>
      <c r="H26" s="56"/>
      <c r="I26" s="56"/>
      <c r="J26" s="56"/>
      <c r="K26" s="56"/>
      <c r="L26" s="56"/>
      <c r="M26" s="56"/>
      <c r="N26" s="56"/>
      <c r="O26" s="56"/>
      <c r="P26" s="58"/>
      <c r="Q26" s="328"/>
      <c r="R26" s="327" t="s">
        <v>352</v>
      </c>
      <c r="S26" s="325">
        <f t="shared" ref="S26" si="12">SUM(T26:AK26)</f>
        <v>1317196.3356704153</v>
      </c>
      <c r="T26" s="325">
        <f>(Data!AN23+Data!DA23)/T$6*100000*T$3</f>
        <v>0</v>
      </c>
      <c r="U26" s="325">
        <f>(Data!AO23+Data!DB23)/U$6*100000*U$3</f>
        <v>0</v>
      </c>
      <c r="V26" s="325">
        <f>(Data!AP23+Data!DC23)/V$6*100000*V$3</f>
        <v>0</v>
      </c>
      <c r="W26" s="325">
        <f>(Data!AQ23+Data!DD23)/W$6*100000*W$3</f>
        <v>0</v>
      </c>
      <c r="X26" s="325">
        <f>(Data!AR23+Data!DE23)/X$6*100000*X$3</f>
        <v>0</v>
      </c>
      <c r="Y26" s="325">
        <f>(Data!AS23+Data!DF23)/Y$6*100000*Y$3</f>
        <v>3598.0097865866192</v>
      </c>
      <c r="Z26" s="325">
        <f>(Data!AT23+Data!DG23)/Z$6*100000*Z$3</f>
        <v>15917.954315471112</v>
      </c>
      <c r="AA26" s="325">
        <f>(Data!AU23+Data!DH23)/AA$6*100000*AA$3</f>
        <v>11255.88924204986</v>
      </c>
      <c r="AB26" s="325">
        <f>(Data!AV23+Data!DI23)/AB$6*100000*AB$3</f>
        <v>40089.915954354765</v>
      </c>
      <c r="AC26" s="325">
        <f>(Data!AW23+Data!DJ23)/AC$6*100000*AC$3</f>
        <v>78246.168033645852</v>
      </c>
      <c r="AD26" s="325">
        <f>(Data!AX23+Data!DK23)/AD$6*100000*AD$3</f>
        <v>147975.27544540557</v>
      </c>
      <c r="AE26" s="325">
        <f>(Data!AY23+Data!DL23)/AE$6*100000*AE$3</f>
        <v>195665.79873938233</v>
      </c>
      <c r="AF26" s="325">
        <f>(Data!AZ23+Data!DM23)/AF$6*100000*AF$3</f>
        <v>172080.89552064677</v>
      </c>
      <c r="AG26" s="325">
        <f>(Data!BA23+Data!DN23)/AG$6*100000*AG$3</f>
        <v>143154.51192345616</v>
      </c>
      <c r="AH26" s="325">
        <f>(Data!BB23+Data!DO23)/AH$6*100000*AH$3</f>
        <v>165567.59969433674</v>
      </c>
      <c r="AI26" s="325">
        <f>(Data!BC23+Data!DP23)/AI$6*100000*AI$3</f>
        <v>152251.56643438543</v>
      </c>
      <c r="AJ26" s="325">
        <f>(Data!BD23+Data!DQ23)/AJ$6*100000*AJ$3</f>
        <v>79206.99817125019</v>
      </c>
      <c r="AK26" s="325">
        <f>(Data!BE23+Data!DR23)/AK$6*100000*AK$3</f>
        <v>112185.75240944399</v>
      </c>
      <c r="AL26" s="327" t="s">
        <v>352</v>
      </c>
      <c r="AM26" s="325">
        <f t="shared" ref="AM26" si="13">SUM(AN26:BE26)</f>
        <v>892206.4560309645</v>
      </c>
      <c r="AN26" s="325">
        <f>(Data!AN23+Data!DA23)/AN$6*100000*AN$3</f>
        <v>0</v>
      </c>
      <c r="AO26" s="325">
        <f>(Data!AO23+Data!DB23)/AO$6*100000*AO$3</f>
        <v>0</v>
      </c>
      <c r="AP26" s="325">
        <f>(Data!AP23+Data!DC23)/AP$6*100000*AP$3</f>
        <v>0</v>
      </c>
      <c r="AQ26" s="325">
        <f>(Data!AQ23+Data!DD23)/AQ$6*100000*AQ$3</f>
        <v>0</v>
      </c>
      <c r="AR26" s="325">
        <f>(Data!AR23+Data!DE23)/AR$6*100000*AR$3</f>
        <v>0</v>
      </c>
      <c r="AS26" s="325">
        <f>(Data!AS23+Data!DF23)/AS$6*100000*AS$3</f>
        <v>4112.0111846704222</v>
      </c>
      <c r="AT26" s="325">
        <f>(Data!AT23+Data!DG23)/AT$6*100000*AT$3</f>
        <v>13643.960841832382</v>
      </c>
      <c r="AU26" s="325">
        <f>(Data!AU23+Data!DH23)/AU$6*100000*AU$3</f>
        <v>9647.9050646141659</v>
      </c>
      <c r="AV26" s="325">
        <f>(Data!AV23+Data!DI23)/AV$6*100000*AV$3</f>
        <v>34362.785103732655</v>
      </c>
      <c r="AW26" s="325">
        <f>(Data!AW23+Data!DJ23)/AW$6*100000*AW$3</f>
        <v>67068.144028839306</v>
      </c>
      <c r="AX26" s="325">
        <f>(Data!AX23+Data!DK23)/AX$6*100000*AX$3</f>
        <v>105696.62531814683</v>
      </c>
      <c r="AY26" s="325">
        <f>(Data!AY23+Data!DL23)/AY$6*100000*AY$3</f>
        <v>130443.8658262549</v>
      </c>
      <c r="AZ26" s="325">
        <f>(Data!AZ23+Data!DM23)/AZ$6*100000*AZ$3</f>
        <v>137664.71641651742</v>
      </c>
      <c r="BA26" s="325">
        <f>(Data!BA23+Data!DN23)/BA$6*100000*BA$3</f>
        <v>107365.88394259213</v>
      </c>
      <c r="BB26" s="325">
        <f>(Data!BB23+Data!DO23)/BB$6*100000*BB$3</f>
        <v>110378.39979622449</v>
      </c>
      <c r="BC26" s="325">
        <f>(Data!BC23+Data!DP23)/BC$6*100000*BC$3</f>
        <v>76125.783217192715</v>
      </c>
      <c r="BD26" s="325">
        <f>(Data!BD23+Data!DQ23)/BD$6*100000*BD$3</f>
        <v>39603.499085625095</v>
      </c>
      <c r="BE26" s="325">
        <f>(Data!BE23+Data!DR23)/BE$6*100000*BE$3</f>
        <v>56092.876204721993</v>
      </c>
    </row>
    <row r="27" spans="1:388" s="209" customFormat="1" ht="12" customHeight="1">
      <c r="A27" s="465"/>
      <c r="B27" s="546" t="str">
        <f>UPPER(LEFT(TRIM(Data!B24),1)) &amp; MID(TRIM(Data!B24),2,50)</f>
        <v>Vulvos</v>
      </c>
      <c r="C27" s="547" t="str">
        <f>Data!C24</f>
        <v>C51</v>
      </c>
      <c r="D27" s="548">
        <f>Lent10m!D25</f>
        <v>25</v>
      </c>
      <c r="E27" s="549">
        <f>Lent10m!E25</f>
        <v>1.5671564134935929</v>
      </c>
      <c r="F27" s="550">
        <f>Lent10m!F25</f>
        <v>0.62579102256775376</v>
      </c>
      <c r="G27" s="551">
        <f>Lent10m!G25</f>
        <v>0.36633968891026641</v>
      </c>
      <c r="H27" s="56"/>
      <c r="I27" s="56"/>
      <c r="J27" s="56"/>
      <c r="K27" s="56"/>
      <c r="L27" s="56"/>
      <c r="M27" s="56"/>
      <c r="N27" s="56"/>
      <c r="O27" s="56"/>
      <c r="P27" s="56"/>
      <c r="Q27" s="329"/>
      <c r="R27" s="330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0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  <c r="IU27" s="73"/>
      <c r="IV27" s="73"/>
      <c r="IW27" s="73"/>
      <c r="IX27" s="73"/>
      <c r="IY27" s="73"/>
      <c r="IZ27" s="73"/>
      <c r="JA27" s="73"/>
      <c r="JB27" s="73"/>
      <c r="JC27" s="73"/>
      <c r="JD27" s="73"/>
      <c r="JE27" s="73"/>
      <c r="JF27" s="73"/>
      <c r="JG27" s="73"/>
      <c r="JH27" s="73"/>
      <c r="JI27" s="73"/>
      <c r="JJ27" s="73"/>
      <c r="JK27" s="73"/>
      <c r="JL27" s="73"/>
      <c r="JM27" s="73"/>
      <c r="JN27" s="73"/>
      <c r="JO27" s="73"/>
      <c r="JP27" s="73"/>
      <c r="JQ27" s="73"/>
      <c r="JR27" s="73"/>
      <c r="JS27" s="73"/>
      <c r="JT27" s="73"/>
      <c r="JU27" s="73"/>
      <c r="JV27" s="73"/>
      <c r="JW27" s="73"/>
      <c r="JX27" s="73"/>
      <c r="JY27" s="73"/>
      <c r="JZ27" s="73"/>
      <c r="KA27" s="73"/>
      <c r="KB27" s="73"/>
      <c r="KC27" s="73"/>
      <c r="KD27" s="73"/>
      <c r="KE27" s="73"/>
      <c r="KF27" s="73"/>
      <c r="KG27" s="73"/>
      <c r="KH27" s="73"/>
      <c r="KI27" s="73"/>
      <c r="KJ27" s="73"/>
      <c r="KK27" s="73"/>
      <c r="KL27" s="73"/>
      <c r="KM27" s="73"/>
      <c r="KN27" s="73"/>
      <c r="KO27" s="73"/>
      <c r="KP27" s="73"/>
      <c r="KQ27" s="73"/>
      <c r="KR27" s="73"/>
      <c r="KS27" s="73"/>
      <c r="KT27" s="73"/>
      <c r="KU27" s="73"/>
      <c r="KV27" s="73"/>
      <c r="KW27" s="73"/>
      <c r="KX27" s="73"/>
      <c r="KY27" s="73"/>
      <c r="KZ27" s="73"/>
      <c r="LA27" s="73"/>
      <c r="LB27" s="73"/>
      <c r="LC27" s="73"/>
      <c r="LD27" s="73"/>
      <c r="LE27" s="73"/>
      <c r="LF27" s="73"/>
      <c r="LG27" s="73"/>
      <c r="LH27" s="73"/>
      <c r="LI27" s="73"/>
      <c r="LJ27" s="73"/>
      <c r="LK27" s="73"/>
      <c r="LL27" s="73"/>
      <c r="LM27" s="73"/>
      <c r="LN27" s="73"/>
      <c r="LO27" s="73"/>
      <c r="LP27" s="73"/>
      <c r="LQ27" s="73"/>
      <c r="LR27" s="73"/>
      <c r="LS27" s="73"/>
      <c r="LT27" s="73"/>
      <c r="LU27" s="73"/>
      <c r="LV27" s="73"/>
      <c r="LW27" s="73"/>
      <c r="LX27" s="73"/>
      <c r="LY27" s="73"/>
      <c r="LZ27" s="73"/>
      <c r="MA27" s="73"/>
      <c r="MB27" s="73"/>
      <c r="MC27" s="73"/>
      <c r="MD27" s="73"/>
      <c r="ME27" s="73"/>
      <c r="MF27" s="73"/>
      <c r="MG27" s="73"/>
      <c r="MH27" s="73"/>
      <c r="MI27" s="73"/>
      <c r="MJ27" s="73"/>
      <c r="MK27" s="73"/>
      <c r="ML27" s="73"/>
      <c r="MM27" s="73"/>
      <c r="MN27" s="73"/>
      <c r="MO27" s="73"/>
      <c r="MP27" s="73"/>
      <c r="MQ27" s="73"/>
      <c r="MR27" s="73"/>
      <c r="MS27" s="73"/>
      <c r="MT27" s="73"/>
      <c r="MU27" s="73"/>
      <c r="MV27" s="73"/>
      <c r="MW27" s="73"/>
      <c r="MX27" s="73"/>
      <c r="MY27" s="73"/>
      <c r="MZ27" s="73"/>
      <c r="NA27" s="73"/>
      <c r="NB27" s="73"/>
      <c r="NC27" s="73"/>
      <c r="ND27" s="73"/>
      <c r="NE27" s="73"/>
      <c r="NF27" s="73"/>
      <c r="NG27" s="73"/>
      <c r="NH27" s="73"/>
      <c r="NI27" s="73"/>
      <c r="NJ27" s="73"/>
      <c r="NK27" s="73"/>
      <c r="NL27" s="73"/>
      <c r="NM27" s="73"/>
      <c r="NN27" s="73"/>
      <c r="NO27" s="73"/>
      <c r="NP27" s="73"/>
      <c r="NQ27" s="73"/>
      <c r="NR27" s="73"/>
      <c r="NS27" s="73"/>
      <c r="NT27" s="73"/>
      <c r="NU27" s="73"/>
      <c r="NV27" s="73"/>
      <c r="NW27" s="73"/>
      <c r="NX27" s="73"/>
    </row>
    <row r="28" spans="1:388" s="209" customFormat="1" ht="12" customHeight="1">
      <c r="A28" s="465"/>
      <c r="B28" s="546" t="str">
        <f>UPPER(LEFT(TRIM(Data!B25),1)) &amp; MID(TRIM(Data!B25),2,50)</f>
        <v>Gimdos kaklelio</v>
      </c>
      <c r="C28" s="547" t="str">
        <f>Data!C25</f>
        <v>C53</v>
      </c>
      <c r="D28" s="548">
        <f>Lent10m!D26</f>
        <v>181</v>
      </c>
      <c r="E28" s="549">
        <f>Lent10m!E26</f>
        <v>11.346212433693612</v>
      </c>
      <c r="F28" s="550">
        <f>Lent10m!F26</f>
        <v>8.3232361376887205</v>
      </c>
      <c r="G28" s="551">
        <f>Lent10m!G26</f>
        <v>6.2470595873119752</v>
      </c>
      <c r="H28" s="56"/>
      <c r="I28" s="56"/>
      <c r="J28" s="56"/>
      <c r="K28" s="56"/>
      <c r="L28" s="56"/>
      <c r="M28" s="56"/>
      <c r="N28" s="56"/>
      <c r="O28" s="56"/>
      <c r="P28" s="56"/>
      <c r="Q28" s="329"/>
      <c r="R28" s="330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0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  <c r="IU28" s="73"/>
      <c r="IV28" s="73"/>
      <c r="IW28" s="73"/>
      <c r="IX28" s="73"/>
      <c r="IY28" s="73"/>
      <c r="IZ28" s="73"/>
      <c r="JA28" s="73"/>
      <c r="JB28" s="73"/>
      <c r="JC28" s="73"/>
      <c r="JD28" s="73"/>
      <c r="JE28" s="73"/>
      <c r="JF28" s="73"/>
      <c r="JG28" s="73"/>
      <c r="JH28" s="73"/>
      <c r="JI28" s="73"/>
      <c r="JJ28" s="73"/>
      <c r="JK28" s="73"/>
      <c r="JL28" s="73"/>
      <c r="JM28" s="73"/>
      <c r="JN28" s="73"/>
      <c r="JO28" s="73"/>
      <c r="JP28" s="73"/>
      <c r="JQ28" s="73"/>
      <c r="JR28" s="73"/>
      <c r="JS28" s="73"/>
      <c r="JT28" s="73"/>
      <c r="JU28" s="73"/>
      <c r="JV28" s="73"/>
      <c r="JW28" s="73"/>
      <c r="JX28" s="73"/>
      <c r="JY28" s="73"/>
      <c r="JZ28" s="73"/>
      <c r="KA28" s="73"/>
      <c r="KB28" s="73"/>
      <c r="KC28" s="73"/>
      <c r="KD28" s="73"/>
      <c r="KE28" s="73"/>
      <c r="KF28" s="73"/>
      <c r="KG28" s="73"/>
      <c r="KH28" s="73"/>
      <c r="KI28" s="73"/>
      <c r="KJ28" s="73"/>
      <c r="KK28" s="73"/>
      <c r="KL28" s="73"/>
      <c r="KM28" s="73"/>
      <c r="KN28" s="73"/>
      <c r="KO28" s="73"/>
      <c r="KP28" s="73"/>
      <c r="KQ28" s="73"/>
      <c r="KR28" s="73"/>
      <c r="KS28" s="73"/>
      <c r="KT28" s="73"/>
      <c r="KU28" s="73"/>
      <c r="KV28" s="73"/>
      <c r="KW28" s="73"/>
      <c r="KX28" s="73"/>
      <c r="KY28" s="73"/>
      <c r="KZ28" s="73"/>
      <c r="LA28" s="73"/>
      <c r="LB28" s="73"/>
      <c r="LC28" s="73"/>
      <c r="LD28" s="73"/>
      <c r="LE28" s="73"/>
      <c r="LF28" s="73"/>
      <c r="LG28" s="73"/>
      <c r="LH28" s="73"/>
      <c r="LI28" s="73"/>
      <c r="LJ28" s="73"/>
      <c r="LK28" s="73"/>
      <c r="LL28" s="73"/>
      <c r="LM28" s="73"/>
      <c r="LN28" s="73"/>
      <c r="LO28" s="73"/>
      <c r="LP28" s="73"/>
      <c r="LQ28" s="73"/>
      <c r="LR28" s="73"/>
      <c r="LS28" s="73"/>
      <c r="LT28" s="73"/>
      <c r="LU28" s="73"/>
      <c r="LV28" s="73"/>
      <c r="LW28" s="73"/>
      <c r="LX28" s="73"/>
      <c r="LY28" s="73"/>
      <c r="LZ28" s="73"/>
      <c r="MA28" s="73"/>
      <c r="MB28" s="73"/>
      <c r="MC28" s="73"/>
      <c r="MD28" s="73"/>
      <c r="ME28" s="73"/>
      <c r="MF28" s="73"/>
      <c r="MG28" s="73"/>
      <c r="MH28" s="73"/>
      <c r="MI28" s="73"/>
      <c r="MJ28" s="73"/>
      <c r="MK28" s="73"/>
      <c r="ML28" s="73"/>
      <c r="MM28" s="73"/>
      <c r="MN28" s="73"/>
      <c r="MO28" s="73"/>
      <c r="MP28" s="73"/>
      <c r="MQ28" s="73"/>
      <c r="MR28" s="73"/>
      <c r="MS28" s="73"/>
      <c r="MT28" s="73"/>
      <c r="MU28" s="73"/>
      <c r="MV28" s="73"/>
      <c r="MW28" s="73"/>
      <c r="MX28" s="73"/>
      <c r="MY28" s="73"/>
      <c r="MZ28" s="73"/>
      <c r="NA28" s="73"/>
      <c r="NB28" s="73"/>
      <c r="NC28" s="73"/>
      <c r="ND28" s="73"/>
      <c r="NE28" s="73"/>
      <c r="NF28" s="73"/>
      <c r="NG28" s="73"/>
      <c r="NH28" s="73"/>
      <c r="NI28" s="73"/>
      <c r="NJ28" s="73"/>
      <c r="NK28" s="73"/>
      <c r="NL28" s="73"/>
      <c r="NM28" s="73"/>
      <c r="NN28" s="73"/>
      <c r="NO28" s="73"/>
      <c r="NP28" s="73"/>
      <c r="NQ28" s="73"/>
      <c r="NR28" s="73"/>
      <c r="NS28" s="73"/>
      <c r="NT28" s="73"/>
      <c r="NU28" s="73"/>
      <c r="NV28" s="73"/>
      <c r="NW28" s="73"/>
      <c r="NX28" s="73"/>
    </row>
    <row r="29" spans="1:388" s="209" customFormat="1" ht="12" customHeight="1">
      <c r="A29" s="465"/>
      <c r="B29" s="546" t="str">
        <f>UPPER(LEFT(TRIM(Data!B26),1)) &amp; MID(TRIM(Data!B26),2,50)</f>
        <v>Gimdos kūno</v>
      </c>
      <c r="C29" s="547" t="str">
        <f>Data!C26</f>
        <v>C54, C55</v>
      </c>
      <c r="D29" s="548">
        <f>Lent10m!D27</f>
        <v>158</v>
      </c>
      <c r="E29" s="549">
        <f>Lent10m!E27</f>
        <v>9.904428533279507</v>
      </c>
      <c r="F29" s="550">
        <f>Lent10m!F27</f>
        <v>5.4988687328871908</v>
      </c>
      <c r="G29" s="551">
        <f>Lent10m!G27</f>
        <v>3.6815622393748297</v>
      </c>
      <c r="H29" s="56"/>
      <c r="I29" s="56"/>
      <c r="J29" s="56"/>
      <c r="K29" s="56"/>
      <c r="L29" s="56"/>
      <c r="M29" s="56"/>
      <c r="N29" s="56"/>
      <c r="O29" s="56"/>
      <c r="P29" s="56"/>
      <c r="Q29" s="329"/>
      <c r="R29" s="330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0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  <c r="IU29" s="73"/>
      <c r="IV29" s="73"/>
      <c r="IW29" s="73"/>
      <c r="IX29" s="73"/>
      <c r="IY29" s="73"/>
      <c r="IZ29" s="73"/>
      <c r="JA29" s="73"/>
      <c r="JB29" s="73"/>
      <c r="JC29" s="73"/>
      <c r="JD29" s="73"/>
      <c r="JE29" s="73"/>
      <c r="JF29" s="73"/>
      <c r="JG29" s="73"/>
      <c r="JH29" s="73"/>
      <c r="JI29" s="73"/>
      <c r="JJ29" s="73"/>
      <c r="JK29" s="73"/>
      <c r="JL29" s="73"/>
      <c r="JM29" s="73"/>
      <c r="JN29" s="73"/>
      <c r="JO29" s="73"/>
      <c r="JP29" s="73"/>
      <c r="JQ29" s="73"/>
      <c r="JR29" s="73"/>
      <c r="JS29" s="73"/>
      <c r="JT29" s="73"/>
      <c r="JU29" s="73"/>
      <c r="JV29" s="73"/>
      <c r="JW29" s="73"/>
      <c r="JX29" s="73"/>
      <c r="JY29" s="73"/>
      <c r="JZ29" s="73"/>
      <c r="KA29" s="73"/>
      <c r="KB29" s="73"/>
      <c r="KC29" s="73"/>
      <c r="KD29" s="73"/>
      <c r="KE29" s="73"/>
      <c r="KF29" s="73"/>
      <c r="KG29" s="73"/>
      <c r="KH29" s="73"/>
      <c r="KI29" s="73"/>
      <c r="KJ29" s="73"/>
      <c r="KK29" s="73"/>
      <c r="KL29" s="73"/>
      <c r="KM29" s="73"/>
      <c r="KN29" s="73"/>
      <c r="KO29" s="73"/>
      <c r="KP29" s="73"/>
      <c r="KQ29" s="73"/>
      <c r="KR29" s="73"/>
      <c r="KS29" s="73"/>
      <c r="KT29" s="73"/>
      <c r="KU29" s="73"/>
      <c r="KV29" s="73"/>
      <c r="KW29" s="73"/>
      <c r="KX29" s="73"/>
      <c r="KY29" s="73"/>
      <c r="KZ29" s="73"/>
      <c r="LA29" s="73"/>
      <c r="LB29" s="73"/>
      <c r="LC29" s="73"/>
      <c r="LD29" s="73"/>
      <c r="LE29" s="73"/>
      <c r="LF29" s="73"/>
      <c r="LG29" s="73"/>
      <c r="LH29" s="73"/>
      <c r="LI29" s="73"/>
      <c r="LJ29" s="73"/>
      <c r="LK29" s="73"/>
      <c r="LL29" s="73"/>
      <c r="LM29" s="73"/>
      <c r="LN29" s="73"/>
      <c r="LO29" s="73"/>
      <c r="LP29" s="73"/>
      <c r="LQ29" s="73"/>
      <c r="LR29" s="73"/>
      <c r="LS29" s="73"/>
      <c r="LT29" s="73"/>
      <c r="LU29" s="73"/>
      <c r="LV29" s="73"/>
      <c r="LW29" s="73"/>
      <c r="LX29" s="73"/>
      <c r="LY29" s="73"/>
      <c r="LZ29" s="73"/>
      <c r="MA29" s="73"/>
      <c r="MB29" s="73"/>
      <c r="MC29" s="73"/>
      <c r="MD29" s="73"/>
      <c r="ME29" s="73"/>
      <c r="MF29" s="73"/>
      <c r="MG29" s="73"/>
      <c r="MH29" s="73"/>
      <c r="MI29" s="73"/>
      <c r="MJ29" s="73"/>
      <c r="MK29" s="73"/>
      <c r="ML29" s="73"/>
      <c r="MM29" s="73"/>
      <c r="MN29" s="73"/>
      <c r="MO29" s="73"/>
      <c r="MP29" s="73"/>
      <c r="MQ29" s="73"/>
      <c r="MR29" s="73"/>
      <c r="MS29" s="73"/>
      <c r="MT29" s="73"/>
      <c r="MU29" s="73"/>
      <c r="MV29" s="73"/>
      <c r="MW29" s="73"/>
      <c r="MX29" s="73"/>
      <c r="MY29" s="73"/>
      <c r="MZ29" s="73"/>
      <c r="NA29" s="73"/>
      <c r="NB29" s="73"/>
      <c r="NC29" s="73"/>
      <c r="ND29" s="73"/>
      <c r="NE29" s="73"/>
      <c r="NF29" s="73"/>
      <c r="NG29" s="73"/>
      <c r="NH29" s="73"/>
      <c r="NI29" s="73"/>
      <c r="NJ29" s="73"/>
      <c r="NK29" s="73"/>
      <c r="NL29" s="73"/>
      <c r="NM29" s="73"/>
      <c r="NN29" s="73"/>
      <c r="NO29" s="73"/>
      <c r="NP29" s="73"/>
      <c r="NQ29" s="73"/>
      <c r="NR29" s="73"/>
      <c r="NS29" s="73"/>
      <c r="NT29" s="73"/>
      <c r="NU29" s="73"/>
      <c r="NV29" s="73"/>
      <c r="NW29" s="73"/>
      <c r="NX29" s="73"/>
    </row>
    <row r="30" spans="1:388" s="209" customFormat="1" ht="12" customHeight="1">
      <c r="A30" s="465"/>
      <c r="B30" s="546" t="str">
        <f>UPPER(LEFT(TRIM(Data!B27),1)) &amp; MID(TRIM(Data!B27),2,50)</f>
        <v>Kiaušidžių</v>
      </c>
      <c r="C30" s="547" t="str">
        <f>Data!C27</f>
        <v>C56</v>
      </c>
      <c r="D30" s="548">
        <f>Lent10m!D28</f>
        <v>249</v>
      </c>
      <c r="E30" s="549">
        <f>Lent10m!E28</f>
        <v>15.608877878396186</v>
      </c>
      <c r="F30" s="550">
        <f>Lent10m!F28</f>
        <v>9.8837959848017114</v>
      </c>
      <c r="G30" s="551">
        <f>Lent10m!G28</f>
        <v>6.9373918374754515</v>
      </c>
      <c r="H30" s="56"/>
      <c r="I30" s="56"/>
      <c r="J30" s="56"/>
      <c r="K30" s="56"/>
      <c r="L30" s="56"/>
      <c r="M30" s="56"/>
      <c r="N30" s="56"/>
      <c r="O30" s="56"/>
      <c r="P30" s="56"/>
      <c r="Q30" s="329"/>
      <c r="R30" s="330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0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  <c r="IU30" s="73"/>
      <c r="IV30" s="73"/>
      <c r="IW30" s="73"/>
      <c r="IX30" s="73"/>
      <c r="IY30" s="73"/>
      <c r="IZ30" s="73"/>
      <c r="JA30" s="73"/>
      <c r="JB30" s="73"/>
      <c r="JC30" s="73"/>
      <c r="JD30" s="73"/>
      <c r="JE30" s="73"/>
      <c r="JF30" s="73"/>
      <c r="JG30" s="73"/>
      <c r="JH30" s="73"/>
      <c r="JI30" s="73"/>
      <c r="JJ30" s="73"/>
      <c r="JK30" s="73"/>
      <c r="JL30" s="73"/>
      <c r="JM30" s="73"/>
      <c r="JN30" s="73"/>
      <c r="JO30" s="73"/>
      <c r="JP30" s="73"/>
      <c r="JQ30" s="73"/>
      <c r="JR30" s="73"/>
      <c r="JS30" s="73"/>
      <c r="JT30" s="73"/>
      <c r="JU30" s="73"/>
      <c r="JV30" s="73"/>
      <c r="JW30" s="73"/>
      <c r="JX30" s="73"/>
      <c r="JY30" s="73"/>
      <c r="JZ30" s="73"/>
      <c r="KA30" s="73"/>
      <c r="KB30" s="73"/>
      <c r="KC30" s="73"/>
      <c r="KD30" s="73"/>
      <c r="KE30" s="73"/>
      <c r="KF30" s="73"/>
      <c r="KG30" s="73"/>
      <c r="KH30" s="73"/>
      <c r="KI30" s="73"/>
      <c r="KJ30" s="73"/>
      <c r="KK30" s="73"/>
      <c r="KL30" s="73"/>
      <c r="KM30" s="73"/>
      <c r="KN30" s="73"/>
      <c r="KO30" s="73"/>
      <c r="KP30" s="73"/>
      <c r="KQ30" s="73"/>
      <c r="KR30" s="73"/>
      <c r="KS30" s="73"/>
      <c r="KT30" s="73"/>
      <c r="KU30" s="73"/>
      <c r="KV30" s="73"/>
      <c r="KW30" s="73"/>
      <c r="KX30" s="73"/>
      <c r="KY30" s="73"/>
      <c r="KZ30" s="73"/>
      <c r="LA30" s="73"/>
      <c r="LB30" s="73"/>
      <c r="LC30" s="73"/>
      <c r="LD30" s="73"/>
      <c r="LE30" s="73"/>
      <c r="LF30" s="73"/>
      <c r="LG30" s="73"/>
      <c r="LH30" s="73"/>
      <c r="LI30" s="73"/>
      <c r="LJ30" s="73"/>
      <c r="LK30" s="73"/>
      <c r="LL30" s="73"/>
      <c r="LM30" s="73"/>
      <c r="LN30" s="73"/>
      <c r="LO30" s="73"/>
      <c r="LP30" s="73"/>
      <c r="LQ30" s="73"/>
      <c r="LR30" s="73"/>
      <c r="LS30" s="73"/>
      <c r="LT30" s="73"/>
      <c r="LU30" s="73"/>
      <c r="LV30" s="73"/>
      <c r="LW30" s="73"/>
      <c r="LX30" s="73"/>
      <c r="LY30" s="73"/>
      <c r="LZ30" s="73"/>
      <c r="MA30" s="73"/>
      <c r="MB30" s="73"/>
      <c r="MC30" s="73"/>
      <c r="MD30" s="73"/>
      <c r="ME30" s="73"/>
      <c r="MF30" s="73"/>
      <c r="MG30" s="73"/>
      <c r="MH30" s="73"/>
      <c r="MI30" s="73"/>
      <c r="MJ30" s="73"/>
      <c r="MK30" s="73"/>
      <c r="ML30" s="73"/>
      <c r="MM30" s="73"/>
      <c r="MN30" s="73"/>
      <c r="MO30" s="73"/>
      <c r="MP30" s="73"/>
      <c r="MQ30" s="73"/>
      <c r="MR30" s="73"/>
      <c r="MS30" s="73"/>
      <c r="MT30" s="73"/>
      <c r="MU30" s="73"/>
      <c r="MV30" s="73"/>
      <c r="MW30" s="73"/>
      <c r="MX30" s="73"/>
      <c r="MY30" s="73"/>
      <c r="MZ30" s="73"/>
      <c r="NA30" s="73"/>
      <c r="NB30" s="73"/>
      <c r="NC30" s="73"/>
      <c r="ND30" s="73"/>
      <c r="NE30" s="73"/>
      <c r="NF30" s="73"/>
      <c r="NG30" s="73"/>
      <c r="NH30" s="73"/>
      <c r="NI30" s="73"/>
      <c r="NJ30" s="73"/>
      <c r="NK30" s="73"/>
      <c r="NL30" s="73"/>
      <c r="NM30" s="73"/>
      <c r="NN30" s="73"/>
      <c r="NO30" s="73"/>
      <c r="NP30" s="73"/>
      <c r="NQ30" s="73"/>
      <c r="NR30" s="73"/>
      <c r="NS30" s="73"/>
      <c r="NT30" s="73"/>
      <c r="NU30" s="73"/>
      <c r="NV30" s="73"/>
      <c r="NW30" s="73"/>
      <c r="NX30" s="73"/>
    </row>
    <row r="31" spans="1:388" s="208" customFormat="1" ht="12" customHeight="1">
      <c r="A31" s="465"/>
      <c r="B31" s="546" t="str">
        <f>UPPER(LEFT(TRIM(Data!B28),1)) &amp; MID(TRIM(Data!B28),2,50)</f>
        <v>Priešinės liaukos</v>
      </c>
      <c r="C31" s="547" t="str">
        <f>Data!C28</f>
        <v>C61</v>
      </c>
      <c r="D31" s="548">
        <f>Lent10v!D25</f>
        <v>529</v>
      </c>
      <c r="E31" s="549">
        <f>Lent10v!E25</f>
        <v>38.827312408665904</v>
      </c>
      <c r="F31" s="550">
        <f>Lent10v!F25</f>
        <v>30.453752312666605</v>
      </c>
      <c r="G31" s="551">
        <f>Lent10v!G25</f>
        <v>18.10938916506699</v>
      </c>
      <c r="H31" s="56"/>
      <c r="I31" s="56"/>
      <c r="J31" s="56"/>
      <c r="K31" s="56"/>
      <c r="L31" s="56"/>
      <c r="M31" s="56"/>
      <c r="N31" s="56"/>
      <c r="O31" s="56"/>
      <c r="P31" s="56"/>
      <c r="Q31" s="329"/>
      <c r="R31" s="330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0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  <c r="IU31" s="73"/>
      <c r="IV31" s="73"/>
      <c r="IW31" s="73"/>
      <c r="IX31" s="73"/>
      <c r="IY31" s="73"/>
      <c r="IZ31" s="73"/>
      <c r="JA31" s="73"/>
      <c r="JB31" s="73"/>
      <c r="JC31" s="73"/>
      <c r="JD31" s="73"/>
      <c r="JE31" s="73"/>
      <c r="JF31" s="73"/>
      <c r="JG31" s="73"/>
      <c r="JH31" s="73"/>
      <c r="JI31" s="73"/>
      <c r="JJ31" s="73"/>
      <c r="JK31" s="73"/>
      <c r="JL31" s="73"/>
      <c r="JM31" s="73"/>
      <c r="JN31" s="73"/>
      <c r="JO31" s="73"/>
      <c r="JP31" s="73"/>
      <c r="JQ31" s="73"/>
      <c r="JR31" s="73"/>
      <c r="JS31" s="73"/>
      <c r="JT31" s="73"/>
      <c r="JU31" s="73"/>
      <c r="JV31" s="73"/>
      <c r="JW31" s="73"/>
      <c r="JX31" s="73"/>
      <c r="JY31" s="73"/>
      <c r="JZ31" s="73"/>
      <c r="KA31" s="73"/>
      <c r="KB31" s="73"/>
      <c r="KC31" s="73"/>
      <c r="KD31" s="73"/>
      <c r="KE31" s="73"/>
      <c r="KF31" s="73"/>
      <c r="KG31" s="73"/>
      <c r="KH31" s="73"/>
      <c r="KI31" s="73"/>
      <c r="KJ31" s="73"/>
      <c r="KK31" s="73"/>
      <c r="KL31" s="73"/>
      <c r="KM31" s="73"/>
      <c r="KN31" s="73"/>
      <c r="KO31" s="73"/>
      <c r="KP31" s="73"/>
      <c r="KQ31" s="73"/>
      <c r="KR31" s="73"/>
      <c r="KS31" s="73"/>
      <c r="KT31" s="73"/>
      <c r="KU31" s="73"/>
      <c r="KV31" s="73"/>
      <c r="KW31" s="73"/>
      <c r="KX31" s="73"/>
      <c r="KY31" s="73"/>
      <c r="KZ31" s="73"/>
      <c r="LA31" s="73"/>
      <c r="LB31" s="73"/>
      <c r="LC31" s="73"/>
      <c r="LD31" s="73"/>
      <c r="LE31" s="73"/>
      <c r="LF31" s="73"/>
      <c r="LG31" s="73"/>
      <c r="LH31" s="73"/>
      <c r="LI31" s="73"/>
      <c r="LJ31" s="73"/>
      <c r="LK31" s="73"/>
      <c r="LL31" s="73"/>
      <c r="LM31" s="73"/>
      <c r="LN31" s="73"/>
      <c r="LO31" s="73"/>
      <c r="LP31" s="73"/>
      <c r="LQ31" s="73"/>
      <c r="LR31" s="73"/>
      <c r="LS31" s="73"/>
      <c r="LT31" s="73"/>
      <c r="LU31" s="73"/>
      <c r="LV31" s="73"/>
      <c r="LW31" s="73"/>
      <c r="LX31" s="73"/>
      <c r="LY31" s="73"/>
      <c r="LZ31" s="73"/>
      <c r="MA31" s="73"/>
      <c r="MB31" s="73"/>
      <c r="MC31" s="73"/>
      <c r="MD31" s="73"/>
      <c r="ME31" s="73"/>
      <c r="MF31" s="73"/>
      <c r="MG31" s="73"/>
      <c r="MH31" s="73"/>
      <c r="MI31" s="73"/>
      <c r="MJ31" s="73"/>
      <c r="MK31" s="73"/>
      <c r="ML31" s="73"/>
      <c r="MM31" s="73"/>
      <c r="MN31" s="73"/>
      <c r="MO31" s="73"/>
      <c r="MP31" s="73"/>
      <c r="MQ31" s="73"/>
      <c r="MR31" s="73"/>
      <c r="MS31" s="73"/>
      <c r="MT31" s="73"/>
      <c r="MU31" s="73"/>
      <c r="MV31" s="73"/>
      <c r="MW31" s="73"/>
      <c r="MX31" s="73"/>
      <c r="MY31" s="73"/>
      <c r="MZ31" s="73"/>
      <c r="NA31" s="73"/>
      <c r="NB31" s="73"/>
      <c r="NC31" s="73"/>
      <c r="ND31" s="73"/>
      <c r="NE31" s="73"/>
      <c r="NF31" s="73"/>
      <c r="NG31" s="73"/>
      <c r="NH31" s="73"/>
      <c r="NI31" s="73"/>
      <c r="NJ31" s="73"/>
      <c r="NK31" s="73"/>
      <c r="NL31" s="73"/>
      <c r="NM31" s="73"/>
      <c r="NN31" s="73"/>
      <c r="NO31" s="73"/>
      <c r="NP31" s="73"/>
      <c r="NQ31" s="73"/>
      <c r="NR31" s="73"/>
      <c r="NS31" s="73"/>
      <c r="NT31" s="73"/>
      <c r="NU31" s="73"/>
      <c r="NV31" s="73"/>
      <c r="NW31" s="73"/>
      <c r="NX31" s="73"/>
    </row>
    <row r="32" spans="1:388" s="208" customFormat="1" ht="12" customHeight="1">
      <c r="A32" s="465"/>
      <c r="B32" s="546" t="str">
        <f>UPPER(LEFT(TRIM(Data!B29),1)) &amp; MID(TRIM(Data!B29),2,50)</f>
        <v>Sėklidžių</v>
      </c>
      <c r="C32" s="547" t="str">
        <f>Data!C29</f>
        <v>C62</v>
      </c>
      <c r="D32" s="548">
        <f>Lent10v!D26</f>
        <v>7</v>
      </c>
      <c r="E32" s="549">
        <f>Lent10v!E26</f>
        <v>0.51378296192941653</v>
      </c>
      <c r="F32" s="550">
        <f>Lent10v!F26</f>
        <v>0.47103603507058767</v>
      </c>
      <c r="G32" s="551">
        <f>Lent10v!G26</f>
        <v>0.37262101959303734</v>
      </c>
      <c r="H32" s="56"/>
      <c r="I32" s="56"/>
      <c r="J32" s="56"/>
      <c r="K32" s="56"/>
      <c r="L32" s="56"/>
      <c r="M32" s="56"/>
      <c r="N32" s="56"/>
      <c r="O32" s="56"/>
      <c r="P32" s="56"/>
      <c r="Q32" s="329"/>
      <c r="R32" s="330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0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3"/>
      <c r="IZ32" s="73"/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3"/>
      <c r="JO32" s="73"/>
      <c r="JP32" s="73"/>
      <c r="JQ32" s="73"/>
      <c r="JR32" s="73"/>
      <c r="JS32" s="73"/>
      <c r="JT32" s="73"/>
      <c r="JU32" s="73"/>
      <c r="JV32" s="73"/>
      <c r="JW32" s="73"/>
      <c r="JX32" s="73"/>
      <c r="JY32" s="73"/>
      <c r="JZ32" s="73"/>
      <c r="KA32" s="73"/>
      <c r="KB32" s="73"/>
      <c r="KC32" s="73"/>
      <c r="KD32" s="73"/>
      <c r="KE32" s="73"/>
      <c r="KF32" s="73"/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3"/>
      <c r="KU32" s="73"/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3"/>
      <c r="LJ32" s="73"/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3"/>
      <c r="LY32" s="73"/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3"/>
      <c r="MN32" s="73"/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3"/>
      <c r="NC32" s="73"/>
      <c r="ND32" s="73"/>
      <c r="NE32" s="73"/>
      <c r="NF32" s="73"/>
      <c r="NG32" s="73"/>
      <c r="NH32" s="73"/>
      <c r="NI32" s="73"/>
      <c r="NJ32" s="73"/>
      <c r="NK32" s="73"/>
      <c r="NL32" s="73"/>
      <c r="NM32" s="73"/>
      <c r="NN32" s="73"/>
      <c r="NO32" s="73"/>
      <c r="NP32" s="73"/>
      <c r="NQ32" s="73"/>
      <c r="NR32" s="73"/>
      <c r="NS32" s="73"/>
      <c r="NT32" s="73"/>
      <c r="NU32" s="73"/>
      <c r="NV32" s="73"/>
      <c r="NW32" s="73"/>
      <c r="NX32" s="73"/>
    </row>
    <row r="33" spans="1:57" ht="12" customHeight="1">
      <c r="A33" s="465"/>
      <c r="B33" s="546" t="str">
        <f>UPPER(LEFT(TRIM(Data!B30),1)) &amp; MID(TRIM(Data!B30),2,50)</f>
        <v>Kitų lyties organų</v>
      </c>
      <c r="C33" s="547" t="str">
        <f>Data!C30</f>
        <v>C52, C57-C58, C60, C63</v>
      </c>
      <c r="D33" s="548">
        <f>Data!E30+Data!BR30</f>
        <v>24</v>
      </c>
      <c r="E33" s="549">
        <f t="shared" si="6"/>
        <v>0.81144434049692171</v>
      </c>
      <c r="F33" s="550">
        <f t="shared" si="7"/>
        <v>0.50052403425957526</v>
      </c>
      <c r="G33" s="551">
        <f t="shared" si="8"/>
        <v>0.32880679563813786</v>
      </c>
      <c r="H33" s="56"/>
      <c r="I33" s="56"/>
      <c r="J33" s="56"/>
      <c r="K33" s="56"/>
      <c r="L33" s="56"/>
      <c r="M33" s="56"/>
      <c r="N33" s="56"/>
      <c r="O33" s="56"/>
      <c r="P33" s="56"/>
      <c r="Q33" s="307"/>
      <c r="R33" s="327" t="s">
        <v>352</v>
      </c>
      <c r="S33" s="325">
        <f t="shared" si="4"/>
        <v>50052.403425957527</v>
      </c>
      <c r="T33" s="325">
        <f>(Data!AN30+Data!DA30)/T$6*100000*T$3</f>
        <v>0</v>
      </c>
      <c r="U33" s="325">
        <f>(Data!AO30+Data!DB30)/U$6*100000*U$3</f>
        <v>0</v>
      </c>
      <c r="V33" s="325">
        <f>(Data!AP30+Data!DC30)/V$6*100000*V$3</f>
        <v>0</v>
      </c>
      <c r="W33" s="325">
        <f>(Data!AQ30+Data!DD30)/W$6*100000*W$3</f>
        <v>0</v>
      </c>
      <c r="X33" s="325">
        <f>(Data!AR30+Data!DE30)/X$6*100000*X$3</f>
        <v>0</v>
      </c>
      <c r="Y33" s="325">
        <f>(Data!AS30+Data!DF30)/Y$6*100000*Y$3</f>
        <v>0</v>
      </c>
      <c r="Z33" s="325">
        <f>(Data!AT30+Data!DG30)/Z$6*100000*Z$3</f>
        <v>0</v>
      </c>
      <c r="AA33" s="325">
        <f>(Data!AU30+Data!DH30)/AA$6*100000*AA$3</f>
        <v>0</v>
      </c>
      <c r="AB33" s="325">
        <f>(Data!AV30+Data!DI30)/AB$6*100000*AB$3</f>
        <v>3340.8263295295642</v>
      </c>
      <c r="AC33" s="325">
        <f>(Data!AW30+Data!DJ30)/AC$6*100000*AC$3</f>
        <v>0</v>
      </c>
      <c r="AD33" s="325">
        <f>(Data!AX30+Data!DK30)/AD$6*100000*AD$3</f>
        <v>8878.5165267243356</v>
      </c>
      <c r="AE33" s="325">
        <f>(Data!AY30+Data!DL30)/AE$6*100000*AE$3</f>
        <v>3057.2781053028489</v>
      </c>
      <c r="AF33" s="325">
        <f>(Data!AZ30+Data!DM30)/AF$6*100000*AF$3</f>
        <v>5833.2506956151456</v>
      </c>
      <c r="AG33" s="325">
        <f>(Data!BA30+Data!DN30)/AG$6*100000*AG$3</f>
        <v>2921.520651499105</v>
      </c>
      <c r="AH33" s="325">
        <f>(Data!BB30+Data!DO30)/AH$6*100000*AH$3</f>
        <v>10613.307672713894</v>
      </c>
      <c r="AI33" s="325">
        <f>(Data!BC30+Data!DP30)/AI$6*100000*AI$3</f>
        <v>5019.2824099247937</v>
      </c>
      <c r="AJ33" s="325">
        <f>(Data!BD30+Data!DQ30)/AJ$6*100000*AJ$3</f>
        <v>6988.8527798161922</v>
      </c>
      <c r="AK33" s="325">
        <f>(Data!BE30+Data!DR30)/AK$6*100000*AK$3</f>
        <v>3399.5682548316368</v>
      </c>
      <c r="AL33" s="327" t="s">
        <v>352</v>
      </c>
      <c r="AM33" s="325">
        <f t="shared" si="5"/>
        <v>32880.679563813785</v>
      </c>
      <c r="AN33" s="325">
        <f>(Data!AN30+Data!DA30)/AN$6*100000*AN$3</f>
        <v>0</v>
      </c>
      <c r="AO33" s="325">
        <f>(Data!AO30+Data!DB30)/AO$6*100000*AO$3</f>
        <v>0</v>
      </c>
      <c r="AP33" s="325">
        <f>(Data!AP30+Data!DC30)/AP$6*100000*AP$3</f>
        <v>0</v>
      </c>
      <c r="AQ33" s="325">
        <f>(Data!AQ30+Data!DD30)/AQ$6*100000*AQ$3</f>
        <v>0</v>
      </c>
      <c r="AR33" s="325">
        <f>(Data!AR30+Data!DE30)/AR$6*100000*AR$3</f>
        <v>0</v>
      </c>
      <c r="AS33" s="325">
        <f>(Data!AS30+Data!DF30)/AS$6*100000*AS$3</f>
        <v>0</v>
      </c>
      <c r="AT33" s="325">
        <f>(Data!AT30+Data!DG30)/AT$6*100000*AT$3</f>
        <v>0</v>
      </c>
      <c r="AU33" s="325">
        <f>(Data!AU30+Data!DH30)/AU$6*100000*AU$3</f>
        <v>0</v>
      </c>
      <c r="AV33" s="325">
        <f>(Data!AV30+Data!DI30)/AV$6*100000*AV$3</f>
        <v>2863.5654253110547</v>
      </c>
      <c r="AW33" s="325">
        <f>(Data!AW30+Data!DJ30)/AW$6*100000*AW$3</f>
        <v>0</v>
      </c>
      <c r="AX33" s="325">
        <f>(Data!AX30+Data!DK30)/AX$6*100000*AX$3</f>
        <v>6341.797519088811</v>
      </c>
      <c r="AY33" s="325">
        <f>(Data!AY30+Data!DL30)/AY$6*100000*AY$3</f>
        <v>2038.1854035352328</v>
      </c>
      <c r="AZ33" s="325">
        <f>(Data!AZ30+Data!DM30)/AZ$6*100000*AZ$3</f>
        <v>4666.6005564921161</v>
      </c>
      <c r="BA33" s="325">
        <f>(Data!BA30+Data!DN30)/BA$6*100000*BA$3</f>
        <v>2191.1404886243286</v>
      </c>
      <c r="BB33" s="325">
        <f>(Data!BB30+Data!DO30)/BB$6*100000*BB$3</f>
        <v>7075.5384484759288</v>
      </c>
      <c r="BC33" s="325">
        <f>(Data!BC30+Data!DP30)/BC$6*100000*BC$3</f>
        <v>2509.6412049623968</v>
      </c>
      <c r="BD33" s="325">
        <f>(Data!BD30+Data!DQ30)/BD$6*100000*BD$3</f>
        <v>3494.4263899080961</v>
      </c>
      <c r="BE33" s="325">
        <f>(Data!BE30+Data!DR30)/BE$6*100000*BE$3</f>
        <v>1699.7841274158184</v>
      </c>
    </row>
    <row r="34" spans="1:57" ht="12" customHeight="1">
      <c r="A34" s="465"/>
      <c r="B34" s="546" t="str">
        <f>UPPER(LEFT(TRIM(Data!B31),1)) &amp; MID(TRIM(Data!B31),2,50)</f>
        <v>Inkstų</v>
      </c>
      <c r="C34" s="547" t="str">
        <f>Data!C31</f>
        <v>C64</v>
      </c>
      <c r="D34" s="548">
        <f>Data!E31+Data!BR31</f>
        <v>249</v>
      </c>
      <c r="E34" s="549">
        <f t="shared" si="6"/>
        <v>8.4187350326555634</v>
      </c>
      <c r="F34" s="550">
        <f t="shared" si="7"/>
        <v>5.57450090295902</v>
      </c>
      <c r="G34" s="551">
        <f t="shared" si="8"/>
        <v>3.7231847213336269</v>
      </c>
      <c r="H34" s="56"/>
      <c r="I34" s="56"/>
      <c r="J34" s="56"/>
      <c r="K34" s="56"/>
      <c r="L34" s="56"/>
      <c r="M34" s="56"/>
      <c r="N34" s="56"/>
      <c r="O34" s="56"/>
      <c r="P34" s="56"/>
      <c r="Q34" s="307"/>
      <c r="R34" s="327" t="s">
        <v>352</v>
      </c>
      <c r="S34" s="325">
        <f t="shared" si="4"/>
        <v>557450.09029590199</v>
      </c>
      <c r="T34" s="325">
        <f>(Data!AN31+Data!DA31)/T$6*100000*T$3</f>
        <v>0</v>
      </c>
      <c r="U34" s="325">
        <f>(Data!AO31+Data!DB31)/U$6*100000*U$3</f>
        <v>0</v>
      </c>
      <c r="V34" s="325">
        <f>(Data!AP31+Data!DC31)/V$6*100000*V$3</f>
        <v>0</v>
      </c>
      <c r="W34" s="325">
        <f>(Data!AQ31+Data!DD31)/W$6*100000*W$3</f>
        <v>0</v>
      </c>
      <c r="X34" s="325">
        <f>(Data!AR31+Data!DE31)/X$6*100000*X$3</f>
        <v>0</v>
      </c>
      <c r="Y34" s="325">
        <f>(Data!AS31+Data!DF31)/Y$6*100000*Y$3</f>
        <v>0</v>
      </c>
      <c r="Z34" s="325">
        <f>(Data!AT31+Data!DG31)/Z$6*100000*Z$3</f>
        <v>3979.488578867778</v>
      </c>
      <c r="AA34" s="325">
        <f>(Data!AU31+Data!DH31)/AA$6*100000*AA$3</f>
        <v>3751.9630806832861</v>
      </c>
      <c r="AB34" s="325">
        <f>(Data!AV31+Data!DI31)/AB$6*100000*AB$3</f>
        <v>6681.6526590591284</v>
      </c>
      <c r="AC34" s="325">
        <f>(Data!AW31+Data!DJ31)/AC$6*100000*AC$3</f>
        <v>29342.313012617193</v>
      </c>
      <c r="AD34" s="325">
        <f>(Data!AX31+Data!DK31)/AD$6*100000*AD$3</f>
        <v>26635.549580173003</v>
      </c>
      <c r="AE34" s="325">
        <f>(Data!AY31+Data!DL31)/AE$6*100000*AE$3</f>
        <v>70317.396421965532</v>
      </c>
      <c r="AF34" s="325">
        <f>(Data!AZ31+Data!DM31)/AF$6*100000*AF$3</f>
        <v>81665.509738612047</v>
      </c>
      <c r="AG34" s="325">
        <f>(Data!BA31+Data!DN31)/AG$6*100000*AG$3</f>
        <v>84724.098893474045</v>
      </c>
      <c r="AH34" s="325">
        <f>(Data!BB31+Data!DO31)/AH$6*100000*AH$3</f>
        <v>89151.784450796709</v>
      </c>
      <c r="AI34" s="325">
        <f>(Data!BC31+Data!DP31)/AI$6*100000*AI$3</f>
        <v>76962.330285513512</v>
      </c>
      <c r="AJ34" s="325">
        <f>(Data!BD31+Data!DQ31)/AJ$6*100000*AJ$3</f>
        <v>34944.263899080965</v>
      </c>
      <c r="AK34" s="325">
        <f>(Data!BE31+Data!DR31)/AK$6*100000*AK$3</f>
        <v>49293.739695058728</v>
      </c>
      <c r="AL34" s="327" t="s">
        <v>352</v>
      </c>
      <c r="AM34" s="325">
        <f t="shared" si="5"/>
        <v>372318.47213336267</v>
      </c>
      <c r="AN34" s="325">
        <f>(Data!AN31+Data!DA31)/AN$6*100000*AN$3</f>
        <v>0</v>
      </c>
      <c r="AO34" s="325">
        <f>(Data!AO31+Data!DB31)/AO$6*100000*AO$3</f>
        <v>0</v>
      </c>
      <c r="AP34" s="325">
        <f>(Data!AP31+Data!DC31)/AP$6*100000*AP$3</f>
        <v>0</v>
      </c>
      <c r="AQ34" s="325">
        <f>(Data!AQ31+Data!DD31)/AQ$6*100000*AQ$3</f>
        <v>0</v>
      </c>
      <c r="AR34" s="325">
        <f>(Data!AR31+Data!DE31)/AR$6*100000*AR$3</f>
        <v>0</v>
      </c>
      <c r="AS34" s="325">
        <f>(Data!AS31+Data!DF31)/AS$6*100000*AS$3</f>
        <v>0</v>
      </c>
      <c r="AT34" s="325">
        <f>(Data!AT31+Data!DG31)/AT$6*100000*AT$3</f>
        <v>3410.9902104580956</v>
      </c>
      <c r="AU34" s="325">
        <f>(Data!AU31+Data!DH31)/AU$6*100000*AU$3</f>
        <v>3215.9683548713879</v>
      </c>
      <c r="AV34" s="325">
        <f>(Data!AV31+Data!DI31)/AV$6*100000*AV$3</f>
        <v>5727.1308506221094</v>
      </c>
      <c r="AW34" s="325">
        <f>(Data!AW31+Data!DJ31)/AW$6*100000*AW$3</f>
        <v>25150.554010814736</v>
      </c>
      <c r="AX34" s="325">
        <f>(Data!AX31+Data!DK31)/AX$6*100000*AX$3</f>
        <v>19025.39255726643</v>
      </c>
      <c r="AY34" s="325">
        <f>(Data!AY31+Data!DL31)/AY$6*100000*AY$3</f>
        <v>46878.264281310352</v>
      </c>
      <c r="AZ34" s="325">
        <f>(Data!AZ31+Data!DM31)/AZ$6*100000*AZ$3</f>
        <v>65332.407790889636</v>
      </c>
      <c r="BA34" s="325">
        <f>(Data!BA31+Data!DN31)/BA$6*100000*BA$3</f>
        <v>63543.074170105538</v>
      </c>
      <c r="BB34" s="325">
        <f>(Data!BB31+Data!DO31)/BB$6*100000*BB$3</f>
        <v>59434.522967197809</v>
      </c>
      <c r="BC34" s="325">
        <f>(Data!BC31+Data!DP31)/BC$6*100000*BC$3</f>
        <v>38481.165142756756</v>
      </c>
      <c r="BD34" s="325">
        <f>(Data!BD31+Data!DQ31)/BD$6*100000*BD$3</f>
        <v>17472.131949540482</v>
      </c>
      <c r="BE34" s="325">
        <f>(Data!BE31+Data!DR31)/BE$6*100000*BE$3</f>
        <v>24646.869847529364</v>
      </c>
    </row>
    <row r="35" spans="1:57" ht="12" customHeight="1">
      <c r="A35" s="465"/>
      <c r="B35" s="546" t="str">
        <f>UPPER(LEFT(TRIM(Data!B32),1)) &amp; MID(TRIM(Data!B32),2,50)</f>
        <v>Šlapimo pūslės</v>
      </c>
      <c r="C35" s="547" t="str">
        <f>Data!C32</f>
        <v>C67</v>
      </c>
      <c r="D35" s="548">
        <f>Data!E32+Data!BR32</f>
        <v>214</v>
      </c>
      <c r="E35" s="549">
        <f t="shared" si="6"/>
        <v>7.2353787027642182</v>
      </c>
      <c r="F35" s="550">
        <f t="shared" si="7"/>
        <v>4.2471459962805991</v>
      </c>
      <c r="G35" s="551">
        <f t="shared" si="8"/>
        <v>2.6165325873217351</v>
      </c>
      <c r="H35" s="56"/>
      <c r="I35" s="56"/>
      <c r="J35" s="56"/>
      <c r="K35" s="56"/>
      <c r="L35" s="56"/>
      <c r="M35" s="56"/>
      <c r="N35" s="56"/>
      <c r="O35" s="56"/>
      <c r="P35" s="56"/>
      <c r="Q35" s="307"/>
      <c r="R35" s="327" t="s">
        <v>352</v>
      </c>
      <c r="S35" s="325">
        <f t="shared" si="4"/>
        <v>424714.59962805995</v>
      </c>
      <c r="T35" s="325">
        <f>(Data!AN32+Data!DA32)/T$6*100000*T$3</f>
        <v>0</v>
      </c>
      <c r="U35" s="325">
        <f>(Data!AO32+Data!DB32)/U$6*100000*U$3</f>
        <v>0</v>
      </c>
      <c r="V35" s="325">
        <f>(Data!AP32+Data!DC32)/V$6*100000*V$3</f>
        <v>0</v>
      </c>
      <c r="W35" s="325">
        <f>(Data!AQ32+Data!DD32)/W$6*100000*W$3</f>
        <v>0</v>
      </c>
      <c r="X35" s="325">
        <f>(Data!AR32+Data!DE32)/X$6*100000*X$3</f>
        <v>0</v>
      </c>
      <c r="Y35" s="325">
        <f>(Data!AS32+Data!DF32)/Y$6*100000*Y$3</f>
        <v>0</v>
      </c>
      <c r="Z35" s="325">
        <f>(Data!AT32+Data!DG32)/Z$6*100000*Z$3</f>
        <v>0</v>
      </c>
      <c r="AA35" s="325">
        <f>(Data!AU32+Data!DH32)/AA$6*100000*AA$3</f>
        <v>0</v>
      </c>
      <c r="AB35" s="325">
        <f>(Data!AV32+Data!DI32)/AB$6*100000*AB$3</f>
        <v>0</v>
      </c>
      <c r="AC35" s="325">
        <f>(Data!AW32+Data!DJ32)/AC$6*100000*AC$3</f>
        <v>0</v>
      </c>
      <c r="AD35" s="325">
        <f>(Data!AX32+Data!DK32)/AD$6*100000*AD$3</f>
        <v>20716.538562356778</v>
      </c>
      <c r="AE35" s="325">
        <f>(Data!AY32+Data!DL32)/AE$6*100000*AE$3</f>
        <v>27515.502947725639</v>
      </c>
      <c r="AF35" s="325">
        <f>(Data!AZ32+Data!DM32)/AF$6*100000*AF$3</f>
        <v>55415.881608343887</v>
      </c>
      <c r="AG35" s="325">
        <f>(Data!BA32+Data!DN32)/AG$6*100000*AG$3</f>
        <v>37979.768469488372</v>
      </c>
      <c r="AH35" s="325">
        <f>(Data!BB32+Data!DO32)/AH$6*100000*AH$3</f>
        <v>84906.461381711153</v>
      </c>
      <c r="AI35" s="325">
        <f>(Data!BC32+Data!DP32)/AI$6*100000*AI$3</f>
        <v>97039.459925212694</v>
      </c>
      <c r="AJ35" s="325">
        <f>(Data!BD32+Data!DQ32)/AJ$6*100000*AJ$3</f>
        <v>31449.83750917287</v>
      </c>
      <c r="AK35" s="325">
        <f>(Data!BE32+Data!DR32)/AK$6*100000*AK$3</f>
        <v>69691.149224048539</v>
      </c>
      <c r="AL35" s="327" t="s">
        <v>352</v>
      </c>
      <c r="AM35" s="325">
        <f t="shared" si="5"/>
        <v>261653.2587321735</v>
      </c>
      <c r="AN35" s="325">
        <f>(Data!AN32+Data!DA32)/AN$6*100000*AN$3</f>
        <v>0</v>
      </c>
      <c r="AO35" s="325">
        <f>(Data!AO32+Data!DB32)/AO$6*100000*AO$3</f>
        <v>0</v>
      </c>
      <c r="AP35" s="325">
        <f>(Data!AP32+Data!DC32)/AP$6*100000*AP$3</f>
        <v>0</v>
      </c>
      <c r="AQ35" s="325">
        <f>(Data!AQ32+Data!DD32)/AQ$6*100000*AQ$3</f>
        <v>0</v>
      </c>
      <c r="AR35" s="325">
        <f>(Data!AR32+Data!DE32)/AR$6*100000*AR$3</f>
        <v>0</v>
      </c>
      <c r="AS35" s="325">
        <f>(Data!AS32+Data!DF32)/AS$6*100000*AS$3</f>
        <v>0</v>
      </c>
      <c r="AT35" s="325">
        <f>(Data!AT32+Data!DG32)/AT$6*100000*AT$3</f>
        <v>0</v>
      </c>
      <c r="AU35" s="325">
        <f>(Data!AU32+Data!DH32)/AU$6*100000*AU$3</f>
        <v>0</v>
      </c>
      <c r="AV35" s="325">
        <f>(Data!AV32+Data!DI32)/AV$6*100000*AV$3</f>
        <v>0</v>
      </c>
      <c r="AW35" s="325">
        <f>(Data!AW32+Data!DJ32)/AW$6*100000*AW$3</f>
        <v>0</v>
      </c>
      <c r="AX35" s="325">
        <f>(Data!AX32+Data!DK32)/AX$6*100000*AX$3</f>
        <v>14797.527544540557</v>
      </c>
      <c r="AY35" s="325">
        <f>(Data!AY32+Data!DL32)/AY$6*100000*AY$3</f>
        <v>18343.66863181709</v>
      </c>
      <c r="AZ35" s="325">
        <f>(Data!AZ32+Data!DM32)/AZ$6*100000*AZ$3</f>
        <v>44332.705286675111</v>
      </c>
      <c r="BA35" s="325">
        <f>(Data!BA32+Data!DN32)/BA$6*100000*BA$3</f>
        <v>28484.826352116277</v>
      </c>
      <c r="BB35" s="325">
        <f>(Data!BB32+Data!DO32)/BB$6*100000*BB$3</f>
        <v>56604.307587807431</v>
      </c>
      <c r="BC35" s="325">
        <f>(Data!BC32+Data!DP32)/BC$6*100000*BC$3</f>
        <v>48519.729962606347</v>
      </c>
      <c r="BD35" s="325">
        <f>(Data!BD32+Data!DQ32)/BD$6*100000*BD$3</f>
        <v>15724.918754586435</v>
      </c>
      <c r="BE35" s="325">
        <f>(Data!BE32+Data!DR32)/BE$6*100000*BE$3</f>
        <v>34845.574612024269</v>
      </c>
    </row>
    <row r="36" spans="1:57" ht="12" customHeight="1">
      <c r="A36" s="30"/>
      <c r="B36" s="144" t="str">
        <f>UPPER(LEFT(TRIM(Data!B33),1)) &amp; MID(TRIM(Data!B33),2,50)</f>
        <v>Kitų šlapimą išskiriančių organų</v>
      </c>
      <c r="C36" s="123" t="str">
        <f>Data!C33</f>
        <v>C65, C66, C68</v>
      </c>
      <c r="D36" s="136">
        <f>Data!E33+Data!BR33</f>
        <v>20</v>
      </c>
      <c r="E36" s="125">
        <f t="shared" si="6"/>
        <v>0.67620361708076815</v>
      </c>
      <c r="F36" s="126">
        <f t="shared" si="7"/>
        <v>0.45280776233222708</v>
      </c>
      <c r="G36" s="127">
        <f t="shared" si="8"/>
        <v>0.30144127669677506</v>
      </c>
      <c r="H36" s="56"/>
      <c r="I36" s="56"/>
      <c r="J36" s="56"/>
      <c r="K36" s="56"/>
      <c r="L36" s="56"/>
      <c r="M36" s="56"/>
      <c r="N36" s="56"/>
      <c r="O36" s="56"/>
      <c r="P36" s="56"/>
      <c r="Q36" s="307"/>
      <c r="R36" s="327" t="s">
        <v>352</v>
      </c>
      <c r="S36" s="325">
        <f t="shared" si="4"/>
        <v>45280.776233222707</v>
      </c>
      <c r="T36" s="325">
        <f>(Data!AN33+Data!DA33)/T$6*100000*T$3</f>
        <v>0</v>
      </c>
      <c r="U36" s="325">
        <f>(Data!AO33+Data!DB33)/U$6*100000*U$3</f>
        <v>0</v>
      </c>
      <c r="V36" s="325">
        <f>(Data!AP33+Data!DC33)/V$6*100000*V$3</f>
        <v>0</v>
      </c>
      <c r="W36" s="325">
        <f>(Data!AQ33+Data!DD33)/W$6*100000*W$3</f>
        <v>0</v>
      </c>
      <c r="X36" s="325">
        <f>(Data!AR33+Data!DE33)/X$6*100000*X$3</f>
        <v>0</v>
      </c>
      <c r="Y36" s="325">
        <f>(Data!AS33+Data!DF33)/Y$6*100000*Y$3</f>
        <v>0</v>
      </c>
      <c r="Z36" s="325">
        <f>(Data!AT33+Data!DG33)/Z$6*100000*Z$3</f>
        <v>0</v>
      </c>
      <c r="AA36" s="325">
        <f>(Data!AU33+Data!DH33)/AA$6*100000*AA$3</f>
        <v>0</v>
      </c>
      <c r="AB36" s="325">
        <f>(Data!AV33+Data!DI33)/AB$6*100000*AB$3</f>
        <v>0</v>
      </c>
      <c r="AC36" s="325">
        <f>(Data!AW33+Data!DJ33)/AC$6*100000*AC$3</f>
        <v>6520.5140028038213</v>
      </c>
      <c r="AD36" s="325">
        <f>(Data!AX33+Data!DK33)/AD$6*100000*AD$3</f>
        <v>5919.0110178162231</v>
      </c>
      <c r="AE36" s="325">
        <f>(Data!AY33+Data!DL33)/AE$6*100000*AE$3</f>
        <v>3057.2781053028489</v>
      </c>
      <c r="AF36" s="325">
        <f>(Data!AZ33+Data!DM33)/AF$6*100000*AF$3</f>
        <v>2916.6253478075728</v>
      </c>
      <c r="AG36" s="325">
        <f>(Data!BA33+Data!DN33)/AG$6*100000*AG$3</f>
        <v>5843.0413029982101</v>
      </c>
      <c r="AH36" s="325">
        <f>(Data!BB33+Data!DO33)/AH$6*100000*AH$3</f>
        <v>6367.9846036283361</v>
      </c>
      <c r="AI36" s="325">
        <f>(Data!BC33+Data!DP33)/AI$6*100000*AI$3</f>
        <v>6692.3765465663928</v>
      </c>
      <c r="AJ36" s="325">
        <f>(Data!BD33+Data!DQ33)/AJ$6*100000*AJ$3</f>
        <v>1164.8087966360322</v>
      </c>
      <c r="AK36" s="325">
        <f>(Data!BE33+Data!DR33)/AK$6*100000*AK$3</f>
        <v>6799.1365096632735</v>
      </c>
      <c r="AL36" s="327" t="s">
        <v>352</v>
      </c>
      <c r="AM36" s="325">
        <f t="shared" si="5"/>
        <v>30144.127669677506</v>
      </c>
      <c r="AN36" s="325">
        <f>(Data!AN33+Data!DA33)/AN$6*100000*AN$3</f>
        <v>0</v>
      </c>
      <c r="AO36" s="325">
        <f>(Data!AO33+Data!DB33)/AO$6*100000*AO$3</f>
        <v>0</v>
      </c>
      <c r="AP36" s="325">
        <f>(Data!AP33+Data!DC33)/AP$6*100000*AP$3</f>
        <v>0</v>
      </c>
      <c r="AQ36" s="325">
        <f>(Data!AQ33+Data!DD33)/AQ$6*100000*AQ$3</f>
        <v>0</v>
      </c>
      <c r="AR36" s="325">
        <f>(Data!AR33+Data!DE33)/AR$6*100000*AR$3</f>
        <v>0</v>
      </c>
      <c r="AS36" s="325">
        <f>(Data!AS33+Data!DF33)/AS$6*100000*AS$3</f>
        <v>0</v>
      </c>
      <c r="AT36" s="325">
        <f>(Data!AT33+Data!DG33)/AT$6*100000*AT$3</f>
        <v>0</v>
      </c>
      <c r="AU36" s="325">
        <f>(Data!AU33+Data!DH33)/AU$6*100000*AU$3</f>
        <v>0</v>
      </c>
      <c r="AV36" s="325">
        <f>(Data!AV33+Data!DI33)/AV$6*100000*AV$3</f>
        <v>0</v>
      </c>
      <c r="AW36" s="325">
        <f>(Data!AW33+Data!DJ33)/AW$6*100000*AW$3</f>
        <v>5589.0120024032749</v>
      </c>
      <c r="AX36" s="325">
        <f>(Data!AX33+Data!DK33)/AX$6*100000*AX$3</f>
        <v>4227.8650127258734</v>
      </c>
      <c r="AY36" s="325">
        <f>(Data!AY33+Data!DL33)/AY$6*100000*AY$3</f>
        <v>2038.1854035352328</v>
      </c>
      <c r="AZ36" s="325">
        <f>(Data!AZ33+Data!DM33)/AZ$6*100000*AZ$3</f>
        <v>2333.300278246058</v>
      </c>
      <c r="BA36" s="325">
        <f>(Data!BA33+Data!DN33)/BA$6*100000*BA$3</f>
        <v>4382.2809772486571</v>
      </c>
      <c r="BB36" s="325">
        <f>(Data!BB33+Data!DO33)/BB$6*100000*BB$3</f>
        <v>4245.323069085558</v>
      </c>
      <c r="BC36" s="325">
        <f>(Data!BC33+Data!DP33)/BC$6*100000*BC$3</f>
        <v>3346.1882732831964</v>
      </c>
      <c r="BD36" s="325">
        <f>(Data!BD33+Data!DQ33)/BD$6*100000*BD$3</f>
        <v>582.40439831801609</v>
      </c>
      <c r="BE36" s="325">
        <f>(Data!BE33+Data!DR33)/BE$6*100000*BE$3</f>
        <v>3399.5682548316368</v>
      </c>
    </row>
    <row r="37" spans="1:57" ht="12" customHeight="1">
      <c r="A37" s="30"/>
      <c r="B37" s="144" t="str">
        <f>UPPER(LEFT(TRIM(Data!B34),1)) &amp; MID(TRIM(Data!B34),2,50)</f>
        <v>Akių</v>
      </c>
      <c r="C37" s="123" t="str">
        <f>Data!C34</f>
        <v>C69</v>
      </c>
      <c r="D37" s="136">
        <f>Data!E34+Data!BR34</f>
        <v>11</v>
      </c>
      <c r="E37" s="125">
        <f t="shared" si="6"/>
        <v>0.37191198939442244</v>
      </c>
      <c r="F37" s="126">
        <f t="shared" si="7"/>
        <v>0.28336787089909798</v>
      </c>
      <c r="G37" s="127">
        <f t="shared" si="8"/>
        <v>0.20033546933863175</v>
      </c>
      <c r="H37" s="56"/>
      <c r="I37" s="56"/>
      <c r="J37" s="56"/>
      <c r="K37" s="56"/>
      <c r="L37" s="56"/>
      <c r="M37" s="56"/>
      <c r="N37" s="56"/>
      <c r="O37" s="56"/>
      <c r="P37" s="56"/>
      <c r="Q37" s="307"/>
      <c r="R37" s="327" t="s">
        <v>352</v>
      </c>
      <c r="S37" s="325">
        <f t="shared" si="4"/>
        <v>28336.787089909798</v>
      </c>
      <c r="T37" s="325">
        <f>(Data!AN34+Data!DA34)/T$6*100000*T$3</f>
        <v>0</v>
      </c>
      <c r="U37" s="325">
        <f>(Data!AO34+Data!DB34)/U$6*100000*U$3</f>
        <v>0</v>
      </c>
      <c r="V37" s="325">
        <f>(Data!AP34+Data!DC34)/V$6*100000*V$3</f>
        <v>0</v>
      </c>
      <c r="W37" s="325">
        <f>(Data!AQ34+Data!DD34)/W$6*100000*W$3</f>
        <v>0</v>
      </c>
      <c r="X37" s="325">
        <f>(Data!AR34+Data!DE34)/X$6*100000*X$3</f>
        <v>0</v>
      </c>
      <c r="Y37" s="325">
        <f>(Data!AS34+Data!DF34)/Y$6*100000*Y$3</f>
        <v>0</v>
      </c>
      <c r="Z37" s="325">
        <f>(Data!AT34+Data!DG34)/Z$6*100000*Z$3</f>
        <v>0</v>
      </c>
      <c r="AA37" s="325">
        <f>(Data!AU34+Data!DH34)/AA$6*100000*AA$3</f>
        <v>3751.9630806832861</v>
      </c>
      <c r="AB37" s="325">
        <f>(Data!AV34+Data!DI34)/AB$6*100000*AB$3</f>
        <v>3340.8263295295642</v>
      </c>
      <c r="AC37" s="325">
        <f>(Data!AW34+Data!DJ34)/AC$6*100000*AC$3</f>
        <v>0</v>
      </c>
      <c r="AD37" s="325">
        <f>(Data!AX34+Data!DK34)/AD$6*100000*AD$3</f>
        <v>0</v>
      </c>
      <c r="AE37" s="325">
        <f>(Data!AY34+Data!DL34)/AE$6*100000*AE$3</f>
        <v>6114.5562106056977</v>
      </c>
      <c r="AF37" s="325">
        <f>(Data!AZ34+Data!DM34)/AF$6*100000*AF$3</f>
        <v>2916.6253478075728</v>
      </c>
      <c r="AG37" s="325">
        <f>(Data!BA34+Data!DN34)/AG$6*100000*AG$3</f>
        <v>2921.520651499105</v>
      </c>
      <c r="AH37" s="325">
        <f>(Data!BB34+Data!DO34)/AH$6*100000*AH$3</f>
        <v>4245.3230690855571</v>
      </c>
      <c r="AI37" s="325">
        <f>(Data!BC34+Data!DP34)/AI$6*100000*AI$3</f>
        <v>3346.1882732831964</v>
      </c>
      <c r="AJ37" s="325">
        <f>(Data!BD34+Data!DQ34)/AJ$6*100000*AJ$3</f>
        <v>0</v>
      </c>
      <c r="AK37" s="325">
        <f>(Data!BE34+Data!DR34)/AK$6*100000*AK$3</f>
        <v>1699.7841274158184</v>
      </c>
      <c r="AL37" s="327" t="s">
        <v>352</v>
      </c>
      <c r="AM37" s="325">
        <f t="shared" si="5"/>
        <v>20033.546933863174</v>
      </c>
      <c r="AN37" s="325">
        <f>(Data!AN34+Data!DA34)/AN$6*100000*AN$3</f>
        <v>0</v>
      </c>
      <c r="AO37" s="325">
        <f>(Data!AO34+Data!DB34)/AO$6*100000*AO$3</f>
        <v>0</v>
      </c>
      <c r="AP37" s="325">
        <f>(Data!AP34+Data!DC34)/AP$6*100000*AP$3</f>
        <v>0</v>
      </c>
      <c r="AQ37" s="325">
        <f>(Data!AQ34+Data!DD34)/AQ$6*100000*AQ$3</f>
        <v>0</v>
      </c>
      <c r="AR37" s="325">
        <f>(Data!AR34+Data!DE34)/AR$6*100000*AR$3</f>
        <v>0</v>
      </c>
      <c r="AS37" s="325">
        <f>(Data!AS34+Data!DF34)/AS$6*100000*AS$3</f>
        <v>0</v>
      </c>
      <c r="AT37" s="325">
        <f>(Data!AT34+Data!DG34)/AT$6*100000*AT$3</f>
        <v>0</v>
      </c>
      <c r="AU37" s="325">
        <f>(Data!AU34+Data!DH34)/AU$6*100000*AU$3</f>
        <v>3215.9683548713879</v>
      </c>
      <c r="AV37" s="325">
        <f>(Data!AV34+Data!DI34)/AV$6*100000*AV$3</f>
        <v>2863.5654253110547</v>
      </c>
      <c r="AW37" s="325">
        <f>(Data!AW34+Data!DJ34)/AW$6*100000*AW$3</f>
        <v>0</v>
      </c>
      <c r="AX37" s="325">
        <f>(Data!AX34+Data!DK34)/AX$6*100000*AX$3</f>
        <v>0</v>
      </c>
      <c r="AY37" s="325">
        <f>(Data!AY34+Data!DL34)/AY$6*100000*AY$3</f>
        <v>4076.3708070704656</v>
      </c>
      <c r="AZ37" s="325">
        <f>(Data!AZ34+Data!DM34)/AZ$6*100000*AZ$3</f>
        <v>2333.300278246058</v>
      </c>
      <c r="BA37" s="325">
        <f>(Data!BA34+Data!DN34)/BA$6*100000*BA$3</f>
        <v>2191.1404886243286</v>
      </c>
      <c r="BB37" s="325">
        <f>(Data!BB34+Data!DO34)/BB$6*100000*BB$3</f>
        <v>2830.2153793903717</v>
      </c>
      <c r="BC37" s="325">
        <f>(Data!BC34+Data!DP34)/BC$6*100000*BC$3</f>
        <v>1673.0941366415982</v>
      </c>
      <c r="BD37" s="325">
        <f>(Data!BD34+Data!DQ34)/BD$6*100000*BD$3</f>
        <v>0</v>
      </c>
      <c r="BE37" s="325">
        <f>(Data!BE34+Data!DR34)/BE$6*100000*BE$3</f>
        <v>849.89206370790919</v>
      </c>
    </row>
    <row r="38" spans="1:57" ht="12" customHeight="1">
      <c r="A38" s="30"/>
      <c r="B38" s="144" t="str">
        <f>UPPER(LEFT(TRIM(Data!B35),1)) &amp; MID(TRIM(Data!B35),2,50)</f>
        <v>Smegenų</v>
      </c>
      <c r="C38" s="123" t="str">
        <f>Data!C35</f>
        <v>C70-C72</v>
      </c>
      <c r="D38" s="136">
        <f>Data!E35+Data!BR35</f>
        <v>260</v>
      </c>
      <c r="E38" s="125">
        <f t="shared" si="6"/>
        <v>8.7906470220499866</v>
      </c>
      <c r="F38" s="126">
        <f t="shared" si="7"/>
        <v>6.8364784567075052</v>
      </c>
      <c r="G38" s="127">
        <f t="shared" si="8"/>
        <v>5.1797347973040866</v>
      </c>
      <c r="H38" s="56"/>
      <c r="I38" s="56"/>
      <c r="J38" s="56"/>
      <c r="K38" s="56"/>
      <c r="L38" s="56"/>
      <c r="M38" s="56"/>
      <c r="N38" s="56"/>
      <c r="O38" s="56"/>
      <c r="P38" s="56"/>
      <c r="Q38" s="307"/>
      <c r="R38" s="327" t="s">
        <v>352</v>
      </c>
      <c r="S38" s="325">
        <f t="shared" si="4"/>
        <v>683647.84567075048</v>
      </c>
      <c r="T38" s="325">
        <f>(Data!AN35+Data!DA35)/T$6*100000*T$3</f>
        <v>0</v>
      </c>
      <c r="U38" s="325">
        <f>(Data!AO35+Data!DB35)/U$6*100000*U$3</f>
        <v>10372.06063210301</v>
      </c>
      <c r="V38" s="325">
        <f>(Data!AP35+Data!DC35)/V$6*100000*V$3</f>
        <v>14257.296680765548</v>
      </c>
      <c r="W38" s="325">
        <f>(Data!AQ35+Data!DD35)/W$6*100000*W$3</f>
        <v>3836.6675801589472</v>
      </c>
      <c r="X38" s="325">
        <f>(Data!AR35+Data!DE35)/X$6*100000*X$3</f>
        <v>9814.5058396309742</v>
      </c>
      <c r="Y38" s="325">
        <f>(Data!AS35+Data!DF35)/Y$6*100000*Y$3</f>
        <v>10794.029359759857</v>
      </c>
      <c r="Z38" s="325">
        <f>(Data!AT35+Data!DG35)/Z$6*100000*Z$3</f>
        <v>19897.442894338892</v>
      </c>
      <c r="AA38" s="325">
        <f>(Data!AU35+Data!DH35)/AA$6*100000*AA$3</f>
        <v>37519.630806832865</v>
      </c>
      <c r="AB38" s="325">
        <f>(Data!AV35+Data!DI35)/AB$6*100000*AB$3</f>
        <v>43430.742283884334</v>
      </c>
      <c r="AC38" s="325">
        <f>(Data!AW35+Data!DJ35)/AC$6*100000*AC$3</f>
        <v>45643.598019626741</v>
      </c>
      <c r="AD38" s="325">
        <f>(Data!AX35+Data!DK35)/AD$6*100000*AD$3</f>
        <v>73987.637722702784</v>
      </c>
      <c r="AE38" s="325">
        <f>(Data!AY35+Data!DL35)/AE$6*100000*AE$3</f>
        <v>91718.34315908546</v>
      </c>
      <c r="AF38" s="325">
        <f>(Data!AZ35+Data!DM35)/AF$6*100000*AF$3</f>
        <v>84582.135086419614</v>
      </c>
      <c r="AG38" s="325">
        <f>(Data!BA35+Data!DN35)/AG$6*100000*AG$3</f>
        <v>64273.45433298032</v>
      </c>
      <c r="AH38" s="325">
        <f>(Data!BB35+Data!DO35)/AH$6*100000*AH$3</f>
        <v>84906.461381711153</v>
      </c>
      <c r="AI38" s="325">
        <f>(Data!BC35+Data!DP35)/AI$6*100000*AI$3</f>
        <v>33461.882732831968</v>
      </c>
      <c r="AJ38" s="325">
        <f>(Data!BD35+Data!DQ35)/AJ$6*100000*AJ$3</f>
        <v>27955.411119264769</v>
      </c>
      <c r="AK38" s="325">
        <f>(Data!BE35+Data!DR35)/AK$6*100000*AK$3</f>
        <v>27196.546038653094</v>
      </c>
      <c r="AL38" s="327" t="s">
        <v>352</v>
      </c>
      <c r="AM38" s="325">
        <f t="shared" si="5"/>
        <v>517973.47973040864</v>
      </c>
      <c r="AN38" s="325">
        <f>(Data!AN35+Data!DA35)/AN$6*100000*AN$3</f>
        <v>0</v>
      </c>
      <c r="AO38" s="325">
        <f>(Data!AO35+Data!DB35)/AO$6*100000*AO$3</f>
        <v>14817.229474432872</v>
      </c>
      <c r="AP38" s="325">
        <f>(Data!AP35+Data!DC35)/AP$6*100000*AP$3</f>
        <v>18330.810018127133</v>
      </c>
      <c r="AQ38" s="325">
        <f>(Data!AQ35+Data!DD35)/AQ$6*100000*AQ$3</f>
        <v>4932.858317347218</v>
      </c>
      <c r="AR38" s="325">
        <f>(Data!AR35+Data!DE35)/AR$6*100000*AR$3</f>
        <v>11216.578102435398</v>
      </c>
      <c r="AS38" s="325">
        <f>(Data!AS35+Data!DF35)/AS$6*100000*AS$3</f>
        <v>12336.033554011266</v>
      </c>
      <c r="AT38" s="325">
        <f>(Data!AT35+Data!DG35)/AT$6*100000*AT$3</f>
        <v>17054.951052290478</v>
      </c>
      <c r="AU38" s="325">
        <f>(Data!AU35+Data!DH35)/AU$6*100000*AU$3</f>
        <v>32159.683548713881</v>
      </c>
      <c r="AV38" s="325">
        <f>(Data!AV35+Data!DI35)/AV$6*100000*AV$3</f>
        <v>37226.350529043717</v>
      </c>
      <c r="AW38" s="325">
        <f>(Data!AW35+Data!DJ35)/AW$6*100000*AW$3</f>
        <v>39123.084016822926</v>
      </c>
      <c r="AX38" s="325">
        <f>(Data!AX35+Data!DK35)/AX$6*100000*AX$3</f>
        <v>52848.312659073417</v>
      </c>
      <c r="AY38" s="325">
        <f>(Data!AY35+Data!DL35)/AY$6*100000*AY$3</f>
        <v>61145.562106056968</v>
      </c>
      <c r="AZ38" s="325">
        <f>(Data!AZ35+Data!DM35)/AZ$6*100000*AZ$3</f>
        <v>67665.708069135697</v>
      </c>
      <c r="BA38" s="325">
        <f>(Data!BA35+Data!DN35)/BA$6*100000*BA$3</f>
        <v>48205.090749735238</v>
      </c>
      <c r="BB38" s="325">
        <f>(Data!BB35+Data!DO35)/BB$6*100000*BB$3</f>
        <v>56604.307587807431</v>
      </c>
      <c r="BC38" s="325">
        <f>(Data!BC35+Data!DP35)/BC$6*100000*BC$3</f>
        <v>16730.941366415984</v>
      </c>
      <c r="BD38" s="325">
        <f>(Data!BD35+Data!DQ35)/BD$6*100000*BD$3</f>
        <v>13977.705559632384</v>
      </c>
      <c r="BE38" s="325">
        <f>(Data!BE35+Data!DR35)/BE$6*100000*BE$3</f>
        <v>13598.273019326547</v>
      </c>
    </row>
    <row r="39" spans="1:57" ht="12" customHeight="1">
      <c r="A39" s="30"/>
      <c r="B39" s="144" t="str">
        <f>UPPER(LEFT(TRIM(Data!B36),1)) &amp; MID(TRIM(Data!B36),2,50)</f>
        <v>Skydliaukės</v>
      </c>
      <c r="C39" s="123" t="str">
        <f>Data!C36</f>
        <v>C73</v>
      </c>
      <c r="D39" s="136">
        <f>Data!E36+Data!BR36</f>
        <v>18</v>
      </c>
      <c r="E39" s="125">
        <f t="shared" si="6"/>
        <v>0.60858325537269131</v>
      </c>
      <c r="F39" s="126">
        <f t="shared" si="7"/>
        <v>0.37419402229958731</v>
      </c>
      <c r="G39" s="127">
        <f t="shared" si="8"/>
        <v>0.23815085095804653</v>
      </c>
      <c r="H39" s="56"/>
      <c r="I39" s="56"/>
      <c r="J39" s="56"/>
      <c r="K39" s="56"/>
      <c r="L39" s="56"/>
      <c r="M39" s="56"/>
      <c r="N39" s="56"/>
      <c r="O39" s="56"/>
      <c r="P39" s="56"/>
      <c r="Q39" s="307"/>
      <c r="R39" s="327" t="s">
        <v>352</v>
      </c>
      <c r="S39" s="325">
        <f t="shared" si="4"/>
        <v>37419.40222995873</v>
      </c>
      <c r="T39" s="325">
        <f>(Data!AN36+Data!DA36)/T$6*100000*T$3</f>
        <v>0</v>
      </c>
      <c r="U39" s="325">
        <f>(Data!AO36+Data!DB36)/U$6*100000*U$3</f>
        <v>0</v>
      </c>
      <c r="V39" s="325">
        <f>(Data!AP36+Data!DC36)/V$6*100000*V$3</f>
        <v>0</v>
      </c>
      <c r="W39" s="325">
        <f>(Data!AQ36+Data!DD36)/W$6*100000*W$3</f>
        <v>0</v>
      </c>
      <c r="X39" s="325">
        <f>(Data!AR36+Data!DE36)/X$6*100000*X$3</f>
        <v>0</v>
      </c>
      <c r="Y39" s="325">
        <f>(Data!AS36+Data!DF36)/Y$6*100000*Y$3</f>
        <v>0</v>
      </c>
      <c r="Z39" s="325">
        <f>(Data!AT36+Data!DG36)/Z$6*100000*Z$3</f>
        <v>0</v>
      </c>
      <c r="AA39" s="325">
        <f>(Data!AU36+Data!DH36)/AA$6*100000*AA$3</f>
        <v>0</v>
      </c>
      <c r="AB39" s="325">
        <f>(Data!AV36+Data!DI36)/AB$6*100000*AB$3</f>
        <v>3340.8263295295642</v>
      </c>
      <c r="AC39" s="325">
        <f>(Data!AW36+Data!DJ36)/AC$6*100000*AC$3</f>
        <v>0</v>
      </c>
      <c r="AD39" s="325">
        <f>(Data!AX36+Data!DK36)/AD$6*100000*AD$3</f>
        <v>5919.0110178162231</v>
      </c>
      <c r="AE39" s="325">
        <f>(Data!AY36+Data!DL36)/AE$6*100000*AE$3</f>
        <v>0</v>
      </c>
      <c r="AF39" s="325">
        <f>(Data!AZ36+Data!DM36)/AF$6*100000*AF$3</f>
        <v>2916.6253478075728</v>
      </c>
      <c r="AG39" s="325">
        <f>(Data!BA36+Data!DN36)/AG$6*100000*AG$3</f>
        <v>0</v>
      </c>
      <c r="AH39" s="325">
        <f>(Data!BB36+Data!DO36)/AH$6*100000*AH$3</f>
        <v>10613.307672713894</v>
      </c>
      <c r="AI39" s="325">
        <f>(Data!BC36+Data!DP36)/AI$6*100000*AI$3</f>
        <v>8365.4706832079919</v>
      </c>
      <c r="AJ39" s="325">
        <f>(Data!BD36+Data!DQ36)/AJ$6*100000*AJ$3</f>
        <v>1164.8087966360322</v>
      </c>
      <c r="AK39" s="325">
        <f>(Data!BE36+Data!DR36)/AK$6*100000*AK$3</f>
        <v>5099.3523822474544</v>
      </c>
      <c r="AL39" s="327" t="s">
        <v>352</v>
      </c>
      <c r="AM39" s="325">
        <f t="shared" si="5"/>
        <v>23815.085095804654</v>
      </c>
      <c r="AN39" s="325">
        <f>(Data!AN36+Data!DA36)/AN$6*100000*AN$3</f>
        <v>0</v>
      </c>
      <c r="AO39" s="325">
        <f>(Data!AO36+Data!DB36)/AO$6*100000*AO$3</f>
        <v>0</v>
      </c>
      <c r="AP39" s="325">
        <f>(Data!AP36+Data!DC36)/AP$6*100000*AP$3</f>
        <v>0</v>
      </c>
      <c r="AQ39" s="325">
        <f>(Data!AQ36+Data!DD36)/AQ$6*100000*AQ$3</f>
        <v>0</v>
      </c>
      <c r="AR39" s="325">
        <f>(Data!AR36+Data!DE36)/AR$6*100000*AR$3</f>
        <v>0</v>
      </c>
      <c r="AS39" s="325">
        <f>(Data!AS36+Data!DF36)/AS$6*100000*AS$3</f>
        <v>0</v>
      </c>
      <c r="AT39" s="325">
        <f>(Data!AT36+Data!DG36)/AT$6*100000*AT$3</f>
        <v>0</v>
      </c>
      <c r="AU39" s="325">
        <f>(Data!AU36+Data!DH36)/AU$6*100000*AU$3</f>
        <v>0</v>
      </c>
      <c r="AV39" s="325">
        <f>(Data!AV36+Data!DI36)/AV$6*100000*AV$3</f>
        <v>2863.5654253110547</v>
      </c>
      <c r="AW39" s="325">
        <f>(Data!AW36+Data!DJ36)/AW$6*100000*AW$3</f>
        <v>0</v>
      </c>
      <c r="AX39" s="325">
        <f>(Data!AX36+Data!DK36)/AX$6*100000*AX$3</f>
        <v>4227.8650127258734</v>
      </c>
      <c r="AY39" s="325">
        <f>(Data!AY36+Data!DL36)/AY$6*100000*AY$3</f>
        <v>0</v>
      </c>
      <c r="AZ39" s="325">
        <f>(Data!AZ36+Data!DM36)/AZ$6*100000*AZ$3</f>
        <v>2333.300278246058</v>
      </c>
      <c r="BA39" s="325">
        <f>(Data!BA36+Data!DN36)/BA$6*100000*BA$3</f>
        <v>0</v>
      </c>
      <c r="BB39" s="325">
        <f>(Data!BB36+Data!DO36)/BB$6*100000*BB$3</f>
        <v>7075.5384484759288</v>
      </c>
      <c r="BC39" s="325">
        <f>(Data!BC36+Data!DP36)/BC$6*100000*BC$3</f>
        <v>4182.7353416039959</v>
      </c>
      <c r="BD39" s="325">
        <f>(Data!BD36+Data!DQ36)/BD$6*100000*BD$3</f>
        <v>582.40439831801609</v>
      </c>
      <c r="BE39" s="325">
        <f>(Data!BE36+Data!DR36)/BE$6*100000*BE$3</f>
        <v>2549.6761911237272</v>
      </c>
    </row>
    <row r="40" spans="1:57" ht="12" customHeight="1">
      <c r="A40" s="30"/>
      <c r="B40" s="144" t="str">
        <f>UPPER(LEFT(TRIM(Data!B37),1)) &amp; MID(TRIM(Data!B37),2,50)</f>
        <v>Kitų endokrininių liaukų</v>
      </c>
      <c r="C40" s="123" t="str">
        <f>Data!C37</f>
        <v>C74-C75</v>
      </c>
      <c r="D40" s="136">
        <f>Data!E37+Data!BR37</f>
        <v>17</v>
      </c>
      <c r="E40" s="125">
        <f t="shared" si="6"/>
        <v>0.57477307451865289</v>
      </c>
      <c r="F40" s="126">
        <f t="shared" si="7"/>
        <v>0.42609926659749864</v>
      </c>
      <c r="G40" s="127">
        <f t="shared" si="8"/>
        <v>0.31864788118447029</v>
      </c>
      <c r="H40" s="56"/>
      <c r="I40" s="56"/>
      <c r="J40" s="56"/>
      <c r="K40" s="56"/>
      <c r="L40" s="56"/>
      <c r="M40" s="56"/>
      <c r="N40" s="56"/>
      <c r="O40" s="56"/>
      <c r="P40" s="56"/>
      <c r="Q40" s="307"/>
      <c r="R40" s="327" t="s">
        <v>352</v>
      </c>
      <c r="S40" s="325">
        <f t="shared" si="4"/>
        <v>42609.926659749864</v>
      </c>
      <c r="T40" s="325">
        <f>(Data!AN37+Data!DA37)/T$6*100000*T$3</f>
        <v>0</v>
      </c>
      <c r="U40" s="325">
        <f>(Data!AO37+Data!DB37)/U$6*100000*U$3</f>
        <v>0</v>
      </c>
      <c r="V40" s="325">
        <f>(Data!AP37+Data!DC37)/V$6*100000*V$3</f>
        <v>0</v>
      </c>
      <c r="W40" s="325">
        <f>(Data!AQ37+Data!DD37)/W$6*100000*W$3</f>
        <v>3836.6675801589472</v>
      </c>
      <c r="X40" s="325">
        <f>(Data!AR37+Data!DE37)/X$6*100000*X$3</f>
        <v>0</v>
      </c>
      <c r="Y40" s="325">
        <f>(Data!AS37+Data!DF37)/Y$6*100000*Y$3</f>
        <v>0</v>
      </c>
      <c r="Z40" s="325">
        <f>(Data!AT37+Data!DG37)/Z$6*100000*Z$3</f>
        <v>0</v>
      </c>
      <c r="AA40" s="325">
        <f>(Data!AU37+Data!DH37)/AA$6*100000*AA$3</f>
        <v>0</v>
      </c>
      <c r="AB40" s="325">
        <f>(Data!AV37+Data!DI37)/AB$6*100000*AB$3</f>
        <v>0</v>
      </c>
      <c r="AC40" s="325">
        <f>(Data!AW37+Data!DJ37)/AC$6*100000*AC$3</f>
        <v>3260.2570014019107</v>
      </c>
      <c r="AD40" s="325">
        <f>(Data!AX37+Data!DK37)/AD$6*100000*AD$3</f>
        <v>5919.0110178162231</v>
      </c>
      <c r="AE40" s="325">
        <f>(Data!AY37+Data!DL37)/AE$6*100000*AE$3</f>
        <v>3057.2781053028489</v>
      </c>
      <c r="AF40" s="325">
        <f>(Data!AZ37+Data!DM37)/AF$6*100000*AF$3</f>
        <v>5833.2506956151456</v>
      </c>
      <c r="AG40" s="325">
        <f>(Data!BA37+Data!DN37)/AG$6*100000*AG$3</f>
        <v>2921.520651499105</v>
      </c>
      <c r="AH40" s="325">
        <f>(Data!BB37+Data!DO37)/AH$6*100000*AH$3</f>
        <v>12735.969207256672</v>
      </c>
      <c r="AI40" s="325">
        <f>(Data!BC37+Data!DP37)/AI$6*100000*AI$3</f>
        <v>3346.1882732831964</v>
      </c>
      <c r="AJ40" s="325">
        <f>(Data!BD37+Data!DQ37)/AJ$6*100000*AJ$3</f>
        <v>0</v>
      </c>
      <c r="AK40" s="325">
        <f>(Data!BE37+Data!DR37)/AK$6*100000*AK$3</f>
        <v>1699.7841274158184</v>
      </c>
      <c r="AL40" s="327" t="s">
        <v>352</v>
      </c>
      <c r="AM40" s="325">
        <f t="shared" si="5"/>
        <v>31864.788118447032</v>
      </c>
      <c r="AN40" s="325">
        <f>(Data!AN37+Data!DA37)/AN$6*100000*AN$3</f>
        <v>0</v>
      </c>
      <c r="AO40" s="325">
        <f>(Data!AO37+Data!DB37)/AO$6*100000*AO$3</f>
        <v>0</v>
      </c>
      <c r="AP40" s="325">
        <f>(Data!AP37+Data!DC37)/AP$6*100000*AP$3</f>
        <v>0</v>
      </c>
      <c r="AQ40" s="325">
        <f>(Data!AQ37+Data!DD37)/AQ$6*100000*AQ$3</f>
        <v>4932.858317347218</v>
      </c>
      <c r="AR40" s="325">
        <f>(Data!AR37+Data!DE37)/AR$6*100000*AR$3</f>
        <v>0</v>
      </c>
      <c r="AS40" s="325">
        <f>(Data!AS37+Data!DF37)/AS$6*100000*AS$3</f>
        <v>0</v>
      </c>
      <c r="AT40" s="325">
        <f>(Data!AT37+Data!DG37)/AT$6*100000*AT$3</f>
        <v>0</v>
      </c>
      <c r="AU40" s="325">
        <f>(Data!AU37+Data!DH37)/AU$6*100000*AU$3</f>
        <v>0</v>
      </c>
      <c r="AV40" s="325">
        <f>(Data!AV37+Data!DI37)/AV$6*100000*AV$3</f>
        <v>0</v>
      </c>
      <c r="AW40" s="325">
        <f>(Data!AW37+Data!DJ37)/AW$6*100000*AW$3</f>
        <v>2794.5060012016374</v>
      </c>
      <c r="AX40" s="325">
        <f>(Data!AX37+Data!DK37)/AX$6*100000*AX$3</f>
        <v>4227.8650127258734</v>
      </c>
      <c r="AY40" s="325">
        <f>(Data!AY37+Data!DL37)/AY$6*100000*AY$3</f>
        <v>2038.1854035352328</v>
      </c>
      <c r="AZ40" s="325">
        <f>(Data!AZ37+Data!DM37)/AZ$6*100000*AZ$3</f>
        <v>4666.6005564921161</v>
      </c>
      <c r="BA40" s="325">
        <f>(Data!BA37+Data!DN37)/BA$6*100000*BA$3</f>
        <v>2191.1404886243286</v>
      </c>
      <c r="BB40" s="325">
        <f>(Data!BB37+Data!DO37)/BB$6*100000*BB$3</f>
        <v>8490.646138171116</v>
      </c>
      <c r="BC40" s="325">
        <f>(Data!BC37+Data!DP37)/BC$6*100000*BC$3</f>
        <v>1673.0941366415982</v>
      </c>
      <c r="BD40" s="325">
        <f>(Data!BD37+Data!DQ37)/BD$6*100000*BD$3</f>
        <v>0</v>
      </c>
      <c r="BE40" s="325">
        <f>(Data!BE37+Data!DR37)/BE$6*100000*BE$3</f>
        <v>849.89206370790919</v>
      </c>
    </row>
    <row r="41" spans="1:57" ht="12" customHeight="1">
      <c r="A41" s="30"/>
      <c r="B41" s="144" t="str">
        <f>UPPER(LEFT(TRIM(Data!B38),1)) &amp; MID(TRIM(Data!B38),2,50)</f>
        <v>Nepatikslintos lokalizacijos</v>
      </c>
      <c r="C41" s="123" t="str">
        <f>Data!C38</f>
        <v>C76-C80</v>
      </c>
      <c r="D41" s="136">
        <f>Data!E38+Data!BR38</f>
        <v>384</v>
      </c>
      <c r="E41" s="125">
        <f t="shared" si="6"/>
        <v>12.983109447950747</v>
      </c>
      <c r="F41" s="126">
        <f t="shared" si="7"/>
        <v>8.4927581246794936</v>
      </c>
      <c r="G41" s="127">
        <f t="shared" si="8"/>
        <v>5.6680312907264128</v>
      </c>
      <c r="H41" s="56"/>
      <c r="I41" s="56"/>
      <c r="J41" s="56"/>
      <c r="K41" s="56"/>
      <c r="L41" s="56"/>
      <c r="M41" s="56"/>
      <c r="N41" s="56"/>
      <c r="O41" s="56"/>
      <c r="P41" s="56"/>
      <c r="Q41" s="307"/>
      <c r="R41" s="327" t="s">
        <v>352</v>
      </c>
      <c r="S41" s="325">
        <f t="shared" si="4"/>
        <v>849275.81246794935</v>
      </c>
      <c r="T41" s="325">
        <f>(Data!AN38+Data!DA38)/T$6*100000*T$3</f>
        <v>0</v>
      </c>
      <c r="U41" s="325">
        <f>(Data!AO38+Data!DB38)/U$6*100000*U$3</f>
        <v>0</v>
      </c>
      <c r="V41" s="325">
        <f>(Data!AP38+Data!DC38)/V$6*100000*V$3</f>
        <v>0</v>
      </c>
      <c r="W41" s="325">
        <f>(Data!AQ38+Data!DD38)/W$6*100000*W$3</f>
        <v>0</v>
      </c>
      <c r="X41" s="325">
        <f>(Data!AR38+Data!DE38)/X$6*100000*X$3</f>
        <v>0</v>
      </c>
      <c r="Y41" s="325">
        <f>(Data!AS38+Data!DF38)/Y$6*100000*Y$3</f>
        <v>7196.0195731732383</v>
      </c>
      <c r="Z41" s="325">
        <f>(Data!AT38+Data!DG38)/Z$6*100000*Z$3</f>
        <v>0</v>
      </c>
      <c r="AA41" s="325">
        <f>(Data!AU38+Data!DH38)/AA$6*100000*AA$3</f>
        <v>15007.852322733144</v>
      </c>
      <c r="AB41" s="325">
        <f>(Data!AV38+Data!DI38)/AB$6*100000*AB$3</f>
        <v>16704.131647647821</v>
      </c>
      <c r="AC41" s="325">
        <f>(Data!AW38+Data!DJ38)/AC$6*100000*AC$3</f>
        <v>26082.056011215285</v>
      </c>
      <c r="AD41" s="325">
        <f>(Data!AX38+Data!DK38)/AD$6*100000*AD$3</f>
        <v>50311.593651437899</v>
      </c>
      <c r="AE41" s="325">
        <f>(Data!AY38+Data!DL38)/AE$6*100000*AE$3</f>
        <v>100890.17747499401</v>
      </c>
      <c r="AF41" s="325">
        <f>(Data!AZ38+Data!DM38)/AF$6*100000*AF$3</f>
        <v>113748.38856449534</v>
      </c>
      <c r="AG41" s="325">
        <f>(Data!BA38+Data!DN38)/AG$6*100000*AG$3</f>
        <v>134389.94996895886</v>
      </c>
      <c r="AH41" s="325">
        <f>(Data!BB38+Data!DO38)/AH$6*100000*AH$3</f>
        <v>129482.35360710951</v>
      </c>
      <c r="AI41" s="325">
        <f>(Data!BC38+Data!DP38)/AI$6*100000*AI$3</f>
        <v>115443.49542827027</v>
      </c>
      <c r="AJ41" s="325">
        <f>(Data!BD38+Data!DQ38)/AJ$6*100000*AJ$3</f>
        <v>65229.292611617806</v>
      </c>
      <c r="AK41" s="325">
        <f>(Data!BE38+Data!DR38)/AK$6*100000*AK$3</f>
        <v>74790.501606296006</v>
      </c>
      <c r="AL41" s="327" t="s">
        <v>352</v>
      </c>
      <c r="AM41" s="325">
        <f t="shared" si="5"/>
        <v>566803.12907264126</v>
      </c>
      <c r="AN41" s="325">
        <f>(Data!AN38+Data!DA38)/AN$6*100000*AN$3</f>
        <v>0</v>
      </c>
      <c r="AO41" s="325">
        <f>(Data!AO38+Data!DB38)/AO$6*100000*AO$3</f>
        <v>0</v>
      </c>
      <c r="AP41" s="325">
        <f>(Data!AP38+Data!DC38)/AP$6*100000*AP$3</f>
        <v>0</v>
      </c>
      <c r="AQ41" s="325">
        <f>(Data!AQ38+Data!DD38)/AQ$6*100000*AQ$3</f>
        <v>0</v>
      </c>
      <c r="AR41" s="325">
        <f>(Data!AR38+Data!DE38)/AR$6*100000*AR$3</f>
        <v>0</v>
      </c>
      <c r="AS41" s="325">
        <f>(Data!AS38+Data!DF38)/AS$6*100000*AS$3</f>
        <v>8224.0223693408443</v>
      </c>
      <c r="AT41" s="325">
        <f>(Data!AT38+Data!DG38)/AT$6*100000*AT$3</f>
        <v>0</v>
      </c>
      <c r="AU41" s="325">
        <f>(Data!AU38+Data!DH38)/AU$6*100000*AU$3</f>
        <v>12863.873419485551</v>
      </c>
      <c r="AV41" s="325">
        <f>(Data!AV38+Data!DI38)/AV$6*100000*AV$3</f>
        <v>14317.827126555274</v>
      </c>
      <c r="AW41" s="325">
        <f>(Data!AW38+Data!DJ38)/AW$6*100000*AW$3</f>
        <v>22356.0480096131</v>
      </c>
      <c r="AX41" s="325">
        <f>(Data!AX38+Data!DK38)/AX$6*100000*AX$3</f>
        <v>35936.852608169924</v>
      </c>
      <c r="AY41" s="325">
        <f>(Data!AY38+Data!DL38)/AY$6*100000*AY$3</f>
        <v>67260.118316662672</v>
      </c>
      <c r="AZ41" s="325">
        <f>(Data!AZ38+Data!DM38)/AZ$6*100000*AZ$3</f>
        <v>90998.710851596275</v>
      </c>
      <c r="BA41" s="325">
        <f>(Data!BA38+Data!DN38)/BA$6*100000*BA$3</f>
        <v>100792.46247671914</v>
      </c>
      <c r="BB41" s="325">
        <f>(Data!BB38+Data!DO38)/BB$6*100000*BB$3</f>
        <v>86321.569071406338</v>
      </c>
      <c r="BC41" s="325">
        <f>(Data!BC38+Data!DP38)/BC$6*100000*BC$3</f>
        <v>57721.747714135134</v>
      </c>
      <c r="BD41" s="325">
        <f>(Data!BD38+Data!DQ38)/BD$6*100000*BD$3</f>
        <v>32614.646305808903</v>
      </c>
      <c r="BE41" s="325">
        <f>(Data!BE38+Data!DR38)/BE$6*100000*BE$3</f>
        <v>37395.250803148003</v>
      </c>
    </row>
    <row r="42" spans="1:57" ht="12" customHeight="1">
      <c r="A42" s="30"/>
      <c r="B42" s="144" t="str">
        <f>UPPER(LEFT(TRIM(Data!B39),1)) &amp; MID(TRIM(Data!B39),2,50)</f>
        <v>Hodžkino limfomos</v>
      </c>
      <c r="C42" s="123" t="str">
        <f>Data!C39</f>
        <v>C81</v>
      </c>
      <c r="D42" s="136">
        <f>Data!E39+Data!BR39</f>
        <v>6</v>
      </c>
      <c r="E42" s="125">
        <f t="shared" si="6"/>
        <v>0.20286108512423043</v>
      </c>
      <c r="F42" s="126">
        <f t="shared" si="7"/>
        <v>0.16431398334153147</v>
      </c>
      <c r="G42" s="127">
        <f t="shared" si="8"/>
        <v>0.13787935869674248</v>
      </c>
      <c r="H42" s="56"/>
      <c r="I42" s="56"/>
      <c r="J42" s="56"/>
      <c r="K42" s="56"/>
      <c r="L42" s="56"/>
      <c r="M42" s="56"/>
      <c r="N42" s="56"/>
      <c r="O42" s="56"/>
      <c r="P42" s="56"/>
      <c r="Q42" s="307"/>
      <c r="R42" s="327" t="s">
        <v>352</v>
      </c>
      <c r="S42" s="325">
        <f t="shared" si="4"/>
        <v>16431.398334153146</v>
      </c>
      <c r="T42" s="325">
        <f>(Data!AN39+Data!DA39)/T$6*100000*T$3</f>
        <v>0</v>
      </c>
      <c r="U42" s="325">
        <f>(Data!AO39+Data!DB39)/U$6*100000*U$3</f>
        <v>0</v>
      </c>
      <c r="V42" s="325">
        <f>(Data!AP39+Data!DC39)/V$6*100000*V$3</f>
        <v>0</v>
      </c>
      <c r="W42" s="325">
        <f>(Data!AQ39+Data!DD39)/W$6*100000*W$3</f>
        <v>3836.6675801589472</v>
      </c>
      <c r="X42" s="325">
        <f>(Data!AR39+Data!DE39)/X$6*100000*X$3</f>
        <v>0</v>
      </c>
      <c r="Y42" s="325">
        <f>(Data!AS39+Data!DF39)/Y$6*100000*Y$3</f>
        <v>0</v>
      </c>
      <c r="Z42" s="325">
        <f>(Data!AT39+Data!DG39)/Z$6*100000*Z$3</f>
        <v>0</v>
      </c>
      <c r="AA42" s="325">
        <f>(Data!AU39+Data!DH39)/AA$6*100000*AA$3</f>
        <v>0</v>
      </c>
      <c r="AB42" s="325">
        <f>(Data!AV39+Data!DI39)/AB$6*100000*AB$3</f>
        <v>3340.8263295295642</v>
      </c>
      <c r="AC42" s="325">
        <f>(Data!AW39+Data!DJ39)/AC$6*100000*AC$3</f>
        <v>0</v>
      </c>
      <c r="AD42" s="325">
        <f>(Data!AX39+Data!DK39)/AD$6*100000*AD$3</f>
        <v>2959.5055089081116</v>
      </c>
      <c r="AE42" s="325">
        <f>(Data!AY39+Data!DL39)/AE$6*100000*AE$3</f>
        <v>0</v>
      </c>
      <c r="AF42" s="325">
        <f>(Data!AZ39+Data!DM39)/AF$6*100000*AF$3</f>
        <v>0</v>
      </c>
      <c r="AG42" s="325">
        <f>(Data!BA39+Data!DN39)/AG$6*100000*AG$3</f>
        <v>2921.520651499105</v>
      </c>
      <c r="AH42" s="325">
        <f>(Data!BB39+Data!DO39)/AH$6*100000*AH$3</f>
        <v>0</v>
      </c>
      <c r="AI42" s="325">
        <f>(Data!BC39+Data!DP39)/AI$6*100000*AI$3</f>
        <v>1673.0941366415982</v>
      </c>
      <c r="AJ42" s="325">
        <f>(Data!BD39+Data!DQ39)/AJ$6*100000*AJ$3</f>
        <v>0</v>
      </c>
      <c r="AK42" s="325">
        <f>(Data!BE39+Data!DR39)/AK$6*100000*AK$3</f>
        <v>1699.7841274158184</v>
      </c>
      <c r="AL42" s="327" t="s">
        <v>352</v>
      </c>
      <c r="AM42" s="325">
        <f t="shared" si="5"/>
        <v>13787.935869674247</v>
      </c>
      <c r="AN42" s="325">
        <f>(Data!AN39+Data!DA39)/AN$6*100000*AN$3</f>
        <v>0</v>
      </c>
      <c r="AO42" s="325">
        <f>(Data!AO39+Data!DB39)/AO$6*100000*AO$3</f>
        <v>0</v>
      </c>
      <c r="AP42" s="325">
        <f>(Data!AP39+Data!DC39)/AP$6*100000*AP$3</f>
        <v>0</v>
      </c>
      <c r="AQ42" s="325">
        <f>(Data!AQ39+Data!DD39)/AQ$6*100000*AQ$3</f>
        <v>4932.858317347218</v>
      </c>
      <c r="AR42" s="325">
        <f>(Data!AR39+Data!DE39)/AR$6*100000*AR$3</f>
        <v>0</v>
      </c>
      <c r="AS42" s="325">
        <f>(Data!AS39+Data!DF39)/AS$6*100000*AS$3</f>
        <v>0</v>
      </c>
      <c r="AT42" s="325">
        <f>(Data!AT39+Data!DG39)/AT$6*100000*AT$3</f>
        <v>0</v>
      </c>
      <c r="AU42" s="325">
        <f>(Data!AU39+Data!DH39)/AU$6*100000*AU$3</f>
        <v>0</v>
      </c>
      <c r="AV42" s="325">
        <f>(Data!AV39+Data!DI39)/AV$6*100000*AV$3</f>
        <v>2863.5654253110547</v>
      </c>
      <c r="AW42" s="325">
        <f>(Data!AW39+Data!DJ39)/AW$6*100000*AW$3</f>
        <v>0</v>
      </c>
      <c r="AX42" s="325">
        <f>(Data!AX39+Data!DK39)/AX$6*100000*AX$3</f>
        <v>2113.9325063629367</v>
      </c>
      <c r="AY42" s="325">
        <f>(Data!AY39+Data!DL39)/AY$6*100000*AY$3</f>
        <v>0</v>
      </c>
      <c r="AZ42" s="325">
        <f>(Data!AZ39+Data!DM39)/AZ$6*100000*AZ$3</f>
        <v>0</v>
      </c>
      <c r="BA42" s="325">
        <f>(Data!BA39+Data!DN39)/BA$6*100000*BA$3</f>
        <v>2191.1404886243286</v>
      </c>
      <c r="BB42" s="325">
        <f>(Data!BB39+Data!DO39)/BB$6*100000*BB$3</f>
        <v>0</v>
      </c>
      <c r="BC42" s="325">
        <f>(Data!BC39+Data!DP39)/BC$6*100000*BC$3</f>
        <v>836.5470683207991</v>
      </c>
      <c r="BD42" s="325">
        <f>(Data!BD39+Data!DQ39)/BD$6*100000*BD$3</f>
        <v>0</v>
      </c>
      <c r="BE42" s="325">
        <f>(Data!BE39+Data!DR39)/BE$6*100000*BE$3</f>
        <v>849.89206370790919</v>
      </c>
    </row>
    <row r="43" spans="1:57" ht="12" customHeight="1">
      <c r="A43" s="30"/>
      <c r="B43" s="144" t="str">
        <f>UPPER(LEFT(TRIM(Data!B40),1)) &amp; MID(TRIM(Data!B40),2,50)</f>
        <v>Ne Hodžkino limfomos</v>
      </c>
      <c r="C43" s="123" t="str">
        <f>Data!C40</f>
        <v>C82-C85</v>
      </c>
      <c r="D43" s="136">
        <f>Data!E40+Data!BR40</f>
        <v>137</v>
      </c>
      <c r="E43" s="125">
        <f t="shared" si="6"/>
        <v>4.6319947770032615</v>
      </c>
      <c r="F43" s="126">
        <f t="shared" si="7"/>
        <v>3.0271894309247784</v>
      </c>
      <c r="G43" s="127">
        <f t="shared" si="8"/>
        <v>2.0269341247981902</v>
      </c>
      <c r="H43" s="56"/>
      <c r="I43" s="56"/>
      <c r="J43" s="56"/>
      <c r="K43" s="56"/>
      <c r="L43" s="56"/>
      <c r="M43" s="56"/>
      <c r="N43" s="56"/>
      <c r="O43" s="56"/>
      <c r="P43" s="56"/>
      <c r="Q43" s="307"/>
      <c r="R43" s="327" t="s">
        <v>352</v>
      </c>
      <c r="S43" s="325">
        <f t="shared" si="4"/>
        <v>302718.94309247786</v>
      </c>
      <c r="T43" s="325">
        <f>(Data!AN40+Data!DA40)/T$6*100000*T$3</f>
        <v>0</v>
      </c>
      <c r="U43" s="325">
        <f>(Data!AO40+Data!DB40)/U$6*100000*U$3</f>
        <v>0</v>
      </c>
      <c r="V43" s="325">
        <f>(Data!AP40+Data!DC40)/V$6*100000*V$3</f>
        <v>0</v>
      </c>
      <c r="W43" s="325">
        <f>(Data!AQ40+Data!DD40)/W$6*100000*W$3</f>
        <v>0</v>
      </c>
      <c r="X43" s="325">
        <f>(Data!AR40+Data!DE40)/X$6*100000*X$3</f>
        <v>0</v>
      </c>
      <c r="Y43" s="325">
        <f>(Data!AS40+Data!DF40)/Y$6*100000*Y$3</f>
        <v>3598.0097865866192</v>
      </c>
      <c r="Z43" s="325">
        <f>(Data!AT40+Data!DG40)/Z$6*100000*Z$3</f>
        <v>0</v>
      </c>
      <c r="AA43" s="325">
        <f>(Data!AU40+Data!DH40)/AA$6*100000*AA$3</f>
        <v>7503.9261613665722</v>
      </c>
      <c r="AB43" s="325">
        <f>(Data!AV40+Data!DI40)/AB$6*100000*AB$3</f>
        <v>10022.478988588691</v>
      </c>
      <c r="AC43" s="325">
        <f>(Data!AW40+Data!DJ40)/AC$6*100000*AC$3</f>
        <v>6520.5140028038213</v>
      </c>
      <c r="AD43" s="325">
        <f>(Data!AX40+Data!DK40)/AD$6*100000*AD$3</f>
        <v>29595.055089081114</v>
      </c>
      <c r="AE43" s="325">
        <f>(Data!AY40+Data!DL40)/AE$6*100000*AE$3</f>
        <v>27515.502947725639</v>
      </c>
      <c r="AF43" s="325">
        <f>(Data!AZ40+Data!DM40)/AF$6*100000*AF$3</f>
        <v>40832.754869306023</v>
      </c>
      <c r="AG43" s="325">
        <f>(Data!BA40+Data!DN40)/AG$6*100000*AG$3</f>
        <v>35058.247817989264</v>
      </c>
      <c r="AH43" s="325">
        <f>(Data!BB40+Data!DO40)/AH$6*100000*AH$3</f>
        <v>50943.876829026689</v>
      </c>
      <c r="AI43" s="325">
        <f>(Data!BC40+Data!DP40)/AI$6*100000*AI$3</f>
        <v>43500.447552681551</v>
      </c>
      <c r="AJ43" s="325">
        <f>(Data!BD40+Data!DQ40)/AJ$6*100000*AJ$3</f>
        <v>22131.367136084613</v>
      </c>
      <c r="AK43" s="325">
        <f>(Data!BE40+Data!DR40)/AK$6*100000*AK$3</f>
        <v>25496.761911237274</v>
      </c>
      <c r="AL43" s="327" t="s">
        <v>352</v>
      </c>
      <c r="AM43" s="325">
        <f t="shared" si="5"/>
        <v>202693.41247981903</v>
      </c>
      <c r="AN43" s="325">
        <f>(Data!AN40+Data!DA40)/AN$6*100000*AN$3</f>
        <v>0</v>
      </c>
      <c r="AO43" s="325">
        <f>(Data!AO40+Data!DB40)/AO$6*100000*AO$3</f>
        <v>0</v>
      </c>
      <c r="AP43" s="325">
        <f>(Data!AP40+Data!DC40)/AP$6*100000*AP$3</f>
        <v>0</v>
      </c>
      <c r="AQ43" s="325">
        <f>(Data!AQ40+Data!DD40)/AQ$6*100000*AQ$3</f>
        <v>0</v>
      </c>
      <c r="AR43" s="325">
        <f>(Data!AR40+Data!DE40)/AR$6*100000*AR$3</f>
        <v>0</v>
      </c>
      <c r="AS43" s="325">
        <f>(Data!AS40+Data!DF40)/AS$6*100000*AS$3</f>
        <v>4112.0111846704222</v>
      </c>
      <c r="AT43" s="325">
        <f>(Data!AT40+Data!DG40)/AT$6*100000*AT$3</f>
        <v>0</v>
      </c>
      <c r="AU43" s="325">
        <f>(Data!AU40+Data!DH40)/AU$6*100000*AU$3</f>
        <v>6431.9367097427757</v>
      </c>
      <c r="AV43" s="325">
        <f>(Data!AV40+Data!DI40)/AV$6*100000*AV$3</f>
        <v>8590.6962759331636</v>
      </c>
      <c r="AW43" s="325">
        <f>(Data!AW40+Data!DJ40)/AW$6*100000*AW$3</f>
        <v>5589.0120024032749</v>
      </c>
      <c r="AX43" s="325">
        <f>(Data!AX40+Data!DK40)/AX$6*100000*AX$3</f>
        <v>21139.325063629367</v>
      </c>
      <c r="AY43" s="325">
        <f>(Data!AY40+Data!DL40)/AY$6*100000*AY$3</f>
        <v>18343.66863181709</v>
      </c>
      <c r="AZ43" s="325">
        <f>(Data!AZ40+Data!DM40)/AZ$6*100000*AZ$3</f>
        <v>32666.203895444818</v>
      </c>
      <c r="BA43" s="325">
        <f>(Data!BA40+Data!DN40)/BA$6*100000*BA$3</f>
        <v>26293.685863491948</v>
      </c>
      <c r="BB43" s="325">
        <f>(Data!BB40+Data!DO40)/BB$6*100000*BB$3</f>
        <v>33962.584552684464</v>
      </c>
      <c r="BC43" s="325">
        <f>(Data!BC40+Data!DP40)/BC$6*100000*BC$3</f>
        <v>21750.223776340776</v>
      </c>
      <c r="BD43" s="325">
        <f>(Data!BD40+Data!DQ40)/BD$6*100000*BD$3</f>
        <v>11065.683568042306</v>
      </c>
      <c r="BE43" s="325">
        <f>(Data!BE40+Data!DR40)/BE$6*100000*BE$3</f>
        <v>12748.380955618637</v>
      </c>
    </row>
    <row r="44" spans="1:57" ht="12" customHeight="1">
      <c r="A44" s="30"/>
      <c r="B44" s="144" t="str">
        <f>UPPER(LEFT(TRIM(Data!B41),1)) &amp; MID(TRIM(Data!B41),2,50)</f>
        <v>Mielominės ligos</v>
      </c>
      <c r="C44" s="123" t="str">
        <f>Data!C41</f>
        <v>C90</v>
      </c>
      <c r="D44" s="136">
        <f>Data!E41+Data!BR41</f>
        <v>99</v>
      </c>
      <c r="E44" s="125">
        <f t="shared" si="6"/>
        <v>3.3472079045498018</v>
      </c>
      <c r="F44" s="126">
        <f t="shared" si="7"/>
        <v>2.0317643587598293</v>
      </c>
      <c r="G44" s="127">
        <f t="shared" si="8"/>
        <v>1.2889004613502431</v>
      </c>
      <c r="H44" s="56"/>
      <c r="I44" s="56"/>
      <c r="J44" s="56"/>
      <c r="K44" s="56"/>
      <c r="L44" s="56"/>
      <c r="M44" s="56"/>
      <c r="N44" s="56"/>
      <c r="O44" s="56"/>
      <c r="P44" s="56"/>
      <c r="Q44" s="307"/>
      <c r="R44" s="327" t="s">
        <v>352</v>
      </c>
      <c r="S44" s="325">
        <f t="shared" si="4"/>
        <v>203176.43587598295</v>
      </c>
      <c r="T44" s="325">
        <f>(Data!AN41+Data!DA41)/T$6*100000*T$3</f>
        <v>0</v>
      </c>
      <c r="U44" s="325">
        <f>(Data!AO41+Data!DB41)/U$6*100000*U$3</f>
        <v>0</v>
      </c>
      <c r="V44" s="325">
        <f>(Data!AP41+Data!DC41)/V$6*100000*V$3</f>
        <v>0</v>
      </c>
      <c r="W44" s="325">
        <f>(Data!AQ41+Data!DD41)/W$6*100000*W$3</f>
        <v>0</v>
      </c>
      <c r="X44" s="325">
        <f>(Data!AR41+Data!DE41)/X$6*100000*X$3</f>
        <v>0</v>
      </c>
      <c r="Y44" s="325">
        <f>(Data!AS41+Data!DF41)/Y$6*100000*Y$3</f>
        <v>0</v>
      </c>
      <c r="Z44" s="325">
        <f>(Data!AT41+Data!DG41)/Z$6*100000*Z$3</f>
        <v>0</v>
      </c>
      <c r="AA44" s="325">
        <f>(Data!AU41+Data!DH41)/AA$6*100000*AA$3</f>
        <v>3751.9630806832861</v>
      </c>
      <c r="AB44" s="325">
        <f>(Data!AV41+Data!DI41)/AB$6*100000*AB$3</f>
        <v>0</v>
      </c>
      <c r="AC44" s="325">
        <f>(Data!AW41+Data!DJ41)/AC$6*100000*AC$3</f>
        <v>0</v>
      </c>
      <c r="AD44" s="325">
        <f>(Data!AX41+Data!DK41)/AD$6*100000*AD$3</f>
        <v>0</v>
      </c>
      <c r="AE44" s="325">
        <f>(Data!AY41+Data!DL41)/AE$6*100000*AE$3</f>
        <v>18343.668631817094</v>
      </c>
      <c r="AF44" s="325">
        <f>(Data!AZ41+Data!DM41)/AF$6*100000*AF$3</f>
        <v>17499.752086845438</v>
      </c>
      <c r="AG44" s="325">
        <f>(Data!BA41+Data!DN41)/AG$6*100000*AG$3</f>
        <v>40901.289120987472</v>
      </c>
      <c r="AH44" s="325">
        <f>(Data!BB41+Data!DO41)/AH$6*100000*AH$3</f>
        <v>44575.892225398355</v>
      </c>
      <c r="AI44" s="325">
        <f>(Data!BC41+Data!DP41)/AI$6*100000*AI$3</f>
        <v>35134.976869473561</v>
      </c>
      <c r="AJ44" s="325">
        <f>(Data!BD41+Data!DQ41)/AJ$6*100000*AJ$3</f>
        <v>17472.131949540482</v>
      </c>
      <c r="AK44" s="325">
        <f>(Data!BE41+Data!DR41)/AK$6*100000*AK$3</f>
        <v>25496.761911237274</v>
      </c>
      <c r="AL44" s="327" t="s">
        <v>352</v>
      </c>
      <c r="AM44" s="325">
        <f t="shared" si="5"/>
        <v>128890.0461350243</v>
      </c>
      <c r="AN44" s="325">
        <f>(Data!AN41+Data!DA41)/AN$6*100000*AN$3</f>
        <v>0</v>
      </c>
      <c r="AO44" s="325">
        <f>(Data!AO41+Data!DB41)/AO$6*100000*AO$3</f>
        <v>0</v>
      </c>
      <c r="AP44" s="325">
        <f>(Data!AP41+Data!DC41)/AP$6*100000*AP$3</f>
        <v>0</v>
      </c>
      <c r="AQ44" s="325">
        <f>(Data!AQ41+Data!DD41)/AQ$6*100000*AQ$3</f>
        <v>0</v>
      </c>
      <c r="AR44" s="325">
        <f>(Data!AR41+Data!DE41)/AR$6*100000*AR$3</f>
        <v>0</v>
      </c>
      <c r="AS44" s="325">
        <f>(Data!AS41+Data!DF41)/AS$6*100000*AS$3</f>
        <v>0</v>
      </c>
      <c r="AT44" s="325">
        <f>(Data!AT41+Data!DG41)/AT$6*100000*AT$3</f>
        <v>0</v>
      </c>
      <c r="AU44" s="325">
        <f>(Data!AU41+Data!DH41)/AU$6*100000*AU$3</f>
        <v>3215.9683548713879</v>
      </c>
      <c r="AV44" s="325">
        <f>(Data!AV41+Data!DI41)/AV$6*100000*AV$3</f>
        <v>0</v>
      </c>
      <c r="AW44" s="325">
        <f>(Data!AW41+Data!DJ41)/AW$6*100000*AW$3</f>
        <v>0</v>
      </c>
      <c r="AX44" s="325">
        <f>(Data!AX41+Data!DK41)/AX$6*100000*AX$3</f>
        <v>0</v>
      </c>
      <c r="AY44" s="325">
        <f>(Data!AY41+Data!DL41)/AY$6*100000*AY$3</f>
        <v>12229.112421211397</v>
      </c>
      <c r="AZ44" s="325">
        <f>(Data!AZ41+Data!DM41)/AZ$6*100000*AZ$3</f>
        <v>13999.80166947635</v>
      </c>
      <c r="BA44" s="325">
        <f>(Data!BA41+Data!DN41)/BA$6*100000*BA$3</f>
        <v>30675.966840740602</v>
      </c>
      <c r="BB44" s="325">
        <f>(Data!BB41+Data!DO41)/BB$6*100000*BB$3</f>
        <v>29717.261483598904</v>
      </c>
      <c r="BC44" s="325">
        <f>(Data!BC41+Data!DP41)/BC$6*100000*BC$3</f>
        <v>17567.488434736781</v>
      </c>
      <c r="BD44" s="325">
        <f>(Data!BD41+Data!DQ41)/BD$6*100000*BD$3</f>
        <v>8736.0659747702412</v>
      </c>
      <c r="BE44" s="325">
        <f>(Data!BE41+Data!DR41)/BE$6*100000*BE$3</f>
        <v>12748.380955618637</v>
      </c>
    </row>
    <row r="45" spans="1:57" ht="12" customHeight="1">
      <c r="A45" s="30"/>
      <c r="B45" s="144" t="str">
        <f>UPPER(LEFT(TRIM(Data!B42),1)) &amp; MID(TRIM(Data!B42),2,50)</f>
        <v>Leukemijos</v>
      </c>
      <c r="C45" s="123" t="str">
        <f>Data!C42</f>
        <v>C91-C95</v>
      </c>
      <c r="D45" s="136">
        <f>Data!E42+Data!BR42</f>
        <v>260</v>
      </c>
      <c r="E45" s="125">
        <f t="shared" si="6"/>
        <v>8.7906470220499866</v>
      </c>
      <c r="F45" s="126">
        <f t="shared" si="7"/>
        <v>5.6270449977508594</v>
      </c>
      <c r="G45" s="127">
        <f t="shared" si="8"/>
        <v>3.8013387992095069</v>
      </c>
      <c r="H45" s="56"/>
      <c r="I45" s="56"/>
      <c r="J45" s="56"/>
      <c r="K45" s="56"/>
      <c r="L45" s="56"/>
      <c r="M45" s="56"/>
      <c r="N45" s="56"/>
      <c r="O45" s="56"/>
      <c r="P45" s="56"/>
      <c r="Q45" s="307"/>
      <c r="R45" s="327" t="s">
        <v>352</v>
      </c>
      <c r="S45" s="325">
        <f t="shared" si="4"/>
        <v>562704.49977508595</v>
      </c>
      <c r="T45" s="325">
        <f>(Data!AN42+Data!DA42)/T$6*100000*T$3</f>
        <v>0</v>
      </c>
      <c r="U45" s="325">
        <f>(Data!AO42+Data!DB42)/U$6*100000*U$3</f>
        <v>0</v>
      </c>
      <c r="V45" s="325">
        <f>(Data!AP42+Data!DC42)/V$6*100000*V$3</f>
        <v>0</v>
      </c>
      <c r="W45" s="325">
        <f>(Data!AQ42+Data!DD42)/W$6*100000*W$3</f>
        <v>7673.3351603178944</v>
      </c>
      <c r="X45" s="325">
        <f>(Data!AR42+Data!DE42)/X$6*100000*X$3</f>
        <v>9814.5058396309742</v>
      </c>
      <c r="Y45" s="325">
        <f>(Data!AS42+Data!DF42)/Y$6*100000*Y$3</f>
        <v>0</v>
      </c>
      <c r="Z45" s="325">
        <f>(Data!AT42+Data!DG42)/Z$6*100000*Z$3</f>
        <v>3979.488578867778</v>
      </c>
      <c r="AA45" s="325">
        <f>(Data!AU42+Data!DH42)/AA$6*100000*AA$3</f>
        <v>7503.9261613665722</v>
      </c>
      <c r="AB45" s="325">
        <f>(Data!AV42+Data!DI42)/AB$6*100000*AB$3</f>
        <v>23385.784306706944</v>
      </c>
      <c r="AC45" s="325">
        <f>(Data!AW42+Data!DJ42)/AC$6*100000*AC$3</f>
        <v>19561.542008411463</v>
      </c>
      <c r="AD45" s="325">
        <f>(Data!AX42+Data!DK42)/AD$6*100000*AD$3</f>
        <v>38473.571615805449</v>
      </c>
      <c r="AE45" s="325">
        <f>(Data!AY42+Data!DL42)/AE$6*100000*AE$3</f>
        <v>48916.449684845582</v>
      </c>
      <c r="AF45" s="325">
        <f>(Data!AZ42+Data!DM42)/AF$6*100000*AF$3</f>
        <v>67082.382999574183</v>
      </c>
      <c r="AG45" s="325">
        <f>(Data!BA42+Data!DN42)/AG$6*100000*AG$3</f>
        <v>52587.371726983896</v>
      </c>
      <c r="AH45" s="325">
        <f>(Data!BB42+Data!DO42)/AH$6*100000*AH$3</f>
        <v>104010.41519259616</v>
      </c>
      <c r="AI45" s="325">
        <f>(Data!BC42+Data!DP42)/AI$6*100000*AI$3</f>
        <v>78635.424422155105</v>
      </c>
      <c r="AJ45" s="325">
        <f>(Data!BD42+Data!DQ42)/AJ$6*100000*AJ$3</f>
        <v>50086.778255349382</v>
      </c>
      <c r="AK45" s="325">
        <f>(Data!BE42+Data!DR42)/AK$6*100000*AK$3</f>
        <v>50993.523822474548</v>
      </c>
      <c r="AL45" s="327" t="s">
        <v>352</v>
      </c>
      <c r="AM45" s="325">
        <f t="shared" si="5"/>
        <v>380133.87992095068</v>
      </c>
      <c r="AN45" s="325">
        <f>(Data!AN42+Data!DA42)/AN$6*100000*AN$3</f>
        <v>0</v>
      </c>
      <c r="AO45" s="325">
        <f>(Data!AO42+Data!DB42)/AO$6*100000*AO$3</f>
        <v>0</v>
      </c>
      <c r="AP45" s="325">
        <f>(Data!AP42+Data!DC42)/AP$6*100000*AP$3</f>
        <v>0</v>
      </c>
      <c r="AQ45" s="325">
        <f>(Data!AQ42+Data!DD42)/AQ$6*100000*AQ$3</f>
        <v>9865.7166346944359</v>
      </c>
      <c r="AR45" s="325">
        <f>(Data!AR42+Data!DE42)/AR$6*100000*AR$3</f>
        <v>11216.578102435398</v>
      </c>
      <c r="AS45" s="325">
        <f>(Data!AS42+Data!DF42)/AS$6*100000*AS$3</f>
        <v>0</v>
      </c>
      <c r="AT45" s="325">
        <f>(Data!AT42+Data!DG42)/AT$6*100000*AT$3</f>
        <v>3410.9902104580956</v>
      </c>
      <c r="AU45" s="325">
        <f>(Data!AU42+Data!DH42)/AU$6*100000*AU$3</f>
        <v>6431.9367097427757</v>
      </c>
      <c r="AV45" s="325">
        <f>(Data!AV42+Data!DI42)/AV$6*100000*AV$3</f>
        <v>20044.957977177382</v>
      </c>
      <c r="AW45" s="325">
        <f>(Data!AW42+Data!DJ42)/AW$6*100000*AW$3</f>
        <v>16767.036007209826</v>
      </c>
      <c r="AX45" s="325">
        <f>(Data!AX42+Data!DK42)/AX$6*100000*AX$3</f>
        <v>27481.122582718181</v>
      </c>
      <c r="AY45" s="325">
        <f>(Data!AY42+Data!DL42)/AY$6*100000*AY$3</f>
        <v>32610.966456563725</v>
      </c>
      <c r="AZ45" s="325">
        <f>(Data!AZ42+Data!DM42)/AZ$6*100000*AZ$3</f>
        <v>53665.90639965934</v>
      </c>
      <c r="BA45" s="325">
        <f>(Data!BA42+Data!DN42)/BA$6*100000*BA$3</f>
        <v>39440.528795237922</v>
      </c>
      <c r="BB45" s="325">
        <f>(Data!BB42+Data!DO42)/BB$6*100000*BB$3</f>
        <v>69340.276795064114</v>
      </c>
      <c r="BC45" s="325">
        <f>(Data!BC42+Data!DP42)/BC$6*100000*BC$3</f>
        <v>39317.712211077553</v>
      </c>
      <c r="BD45" s="325">
        <f>(Data!BD42+Data!DQ42)/BD$6*100000*BD$3</f>
        <v>25043.389127674691</v>
      </c>
      <c r="BE45" s="325">
        <f>(Data!BE42+Data!DR42)/BE$6*100000*BE$3</f>
        <v>25496.761911237274</v>
      </c>
    </row>
    <row r="46" spans="1:57" ht="12" customHeight="1">
      <c r="A46" s="30"/>
      <c r="B46" s="144" t="str">
        <f>UPPER(LEFT(TRIM(Data!B43),1)) &amp; MID(TRIM(Data!B43),2,50)</f>
        <v>Kiti limfinio, kraujodaros audinių</v>
      </c>
      <c r="C46" s="123" t="str">
        <f>Data!C43</f>
        <v>C88, C96</v>
      </c>
      <c r="D46" s="136">
        <f>Data!E43+Data!BR43</f>
        <v>6</v>
      </c>
      <c r="E46" s="125">
        <f t="shared" si="6"/>
        <v>0.20286108512423043</v>
      </c>
      <c r="F46" s="126">
        <f t="shared" si="7"/>
        <v>0.10805395985475749</v>
      </c>
      <c r="G46" s="127">
        <f t="shared" si="8"/>
        <v>6.13307815561265E-2</v>
      </c>
      <c r="H46" s="56"/>
      <c r="I46" s="56"/>
      <c r="J46" s="56"/>
      <c r="K46" s="56"/>
      <c r="L46" s="56"/>
      <c r="M46" s="56"/>
      <c r="N46" s="56"/>
      <c r="O46" s="56"/>
      <c r="P46" s="56"/>
      <c r="Q46" s="307"/>
      <c r="R46" s="327" t="s">
        <v>352</v>
      </c>
      <c r="S46" s="325">
        <f t="shared" si="4"/>
        <v>10805.395985475749</v>
      </c>
      <c r="T46" s="325">
        <f>(Data!AN43+Data!DA43)/T$6*100000*T$3</f>
        <v>0</v>
      </c>
      <c r="U46" s="325">
        <f>(Data!AO43+Data!DB43)/U$6*100000*U$3</f>
        <v>0</v>
      </c>
      <c r="V46" s="325">
        <f>(Data!AP43+Data!DC43)/V$6*100000*V$3</f>
        <v>0</v>
      </c>
      <c r="W46" s="325">
        <f>(Data!AQ43+Data!DD43)/W$6*100000*W$3</f>
        <v>0</v>
      </c>
      <c r="X46" s="325">
        <f>(Data!AR43+Data!DE43)/X$6*100000*X$3</f>
        <v>0</v>
      </c>
      <c r="Y46" s="325">
        <f>(Data!AS43+Data!DF43)/Y$6*100000*Y$3</f>
        <v>0</v>
      </c>
      <c r="Z46" s="325">
        <f>(Data!AT43+Data!DG43)/Z$6*100000*Z$3</f>
        <v>0</v>
      </c>
      <c r="AA46" s="325">
        <f>(Data!AU43+Data!DH43)/AA$6*100000*AA$3</f>
        <v>0</v>
      </c>
      <c r="AB46" s="325">
        <f>(Data!AV43+Data!DI43)/AB$6*100000*AB$3</f>
        <v>0</v>
      </c>
      <c r="AC46" s="325">
        <f>(Data!AW43+Data!DJ43)/AC$6*100000*AC$3</f>
        <v>0</v>
      </c>
      <c r="AD46" s="325">
        <f>(Data!AX43+Data!DK43)/AD$6*100000*AD$3</f>
        <v>0</v>
      </c>
      <c r="AE46" s="325">
        <f>(Data!AY43+Data!DL43)/AE$6*100000*AE$3</f>
        <v>0</v>
      </c>
      <c r="AF46" s="325">
        <f>(Data!AZ43+Data!DM43)/AF$6*100000*AF$3</f>
        <v>0</v>
      </c>
      <c r="AG46" s="325">
        <f>(Data!BA43+Data!DN43)/AG$6*100000*AG$3</f>
        <v>2921.520651499105</v>
      </c>
      <c r="AH46" s="325">
        <f>(Data!BB43+Data!DO43)/AH$6*100000*AH$3</f>
        <v>0</v>
      </c>
      <c r="AI46" s="325">
        <f>(Data!BC43+Data!DP43)/AI$6*100000*AI$3</f>
        <v>5019.2824099247937</v>
      </c>
      <c r="AJ46" s="325">
        <f>(Data!BD43+Data!DQ43)/AJ$6*100000*AJ$3</f>
        <v>1164.8087966360322</v>
      </c>
      <c r="AK46" s="325">
        <f>(Data!BE43+Data!DR43)/AK$6*100000*AK$3</f>
        <v>1699.7841274158184</v>
      </c>
      <c r="AL46" s="327" t="s">
        <v>352</v>
      </c>
      <c r="AM46" s="325">
        <f t="shared" si="5"/>
        <v>6133.0781556126503</v>
      </c>
      <c r="AN46" s="325">
        <f>(Data!AN43+Data!DA43)/AN$6*100000*AN$3</f>
        <v>0</v>
      </c>
      <c r="AO46" s="325">
        <f>(Data!AO43+Data!DB43)/AO$6*100000*AO$3</f>
        <v>0</v>
      </c>
      <c r="AP46" s="325">
        <f>(Data!AP43+Data!DC43)/AP$6*100000*AP$3</f>
        <v>0</v>
      </c>
      <c r="AQ46" s="325">
        <f>(Data!AQ43+Data!DD43)/AQ$6*100000*AQ$3</f>
        <v>0</v>
      </c>
      <c r="AR46" s="325">
        <f>(Data!AR43+Data!DE43)/AR$6*100000*AR$3</f>
        <v>0</v>
      </c>
      <c r="AS46" s="325">
        <f>(Data!AS43+Data!DF43)/AS$6*100000*AS$3</f>
        <v>0</v>
      </c>
      <c r="AT46" s="325">
        <f>(Data!AT43+Data!DG43)/AT$6*100000*AT$3</f>
        <v>0</v>
      </c>
      <c r="AU46" s="325">
        <f>(Data!AU43+Data!DH43)/AU$6*100000*AU$3</f>
        <v>0</v>
      </c>
      <c r="AV46" s="325">
        <f>(Data!AV43+Data!DI43)/AV$6*100000*AV$3</f>
        <v>0</v>
      </c>
      <c r="AW46" s="325">
        <f>(Data!AW43+Data!DJ43)/AW$6*100000*AW$3</f>
        <v>0</v>
      </c>
      <c r="AX46" s="325">
        <f>(Data!AX43+Data!DK43)/AX$6*100000*AX$3</f>
        <v>0</v>
      </c>
      <c r="AY46" s="325">
        <f>(Data!AY43+Data!DL43)/AY$6*100000*AY$3</f>
        <v>0</v>
      </c>
      <c r="AZ46" s="325">
        <f>(Data!AZ43+Data!DM43)/AZ$6*100000*AZ$3</f>
        <v>0</v>
      </c>
      <c r="BA46" s="325">
        <f>(Data!BA43+Data!DN43)/BA$6*100000*BA$3</f>
        <v>2191.1404886243286</v>
      </c>
      <c r="BB46" s="325">
        <f>(Data!BB43+Data!DO43)/BB$6*100000*BB$3</f>
        <v>0</v>
      </c>
      <c r="BC46" s="325">
        <f>(Data!BC43+Data!DP43)/BC$6*100000*BC$3</f>
        <v>2509.6412049623968</v>
      </c>
      <c r="BD46" s="325">
        <f>(Data!BD43+Data!DQ43)/BD$6*100000*BD$3</f>
        <v>582.40439831801609</v>
      </c>
      <c r="BE46" s="325">
        <f>(Data!BE43+Data!DR43)/BE$6*100000*BE$3</f>
        <v>849.89206370790919</v>
      </c>
    </row>
    <row r="47" spans="1:57" ht="24" customHeight="1">
      <c r="A47" s="30"/>
      <c r="B47" s="132"/>
      <c r="C47" s="132"/>
      <c r="D47" s="133"/>
      <c r="E47" s="134"/>
      <c r="F47" s="135"/>
      <c r="G47" s="135"/>
      <c r="H47" s="56"/>
      <c r="I47" s="56"/>
      <c r="J47" s="56"/>
      <c r="K47" s="56"/>
      <c r="L47" s="56"/>
      <c r="M47" s="56"/>
      <c r="N47" s="56"/>
      <c r="O47" s="56"/>
      <c r="P47" s="56"/>
      <c r="Q47" s="307"/>
      <c r="R47" s="327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7"/>
      <c r="AM47" s="325"/>
      <c r="AN47" s="325"/>
      <c r="AO47" s="325"/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5"/>
      <c r="BC47" s="325"/>
      <c r="BD47" s="325"/>
      <c r="BE47" s="325"/>
    </row>
    <row r="48" spans="1:57" ht="12" customHeight="1">
      <c r="A48" s="30"/>
      <c r="B48" s="139" t="str">
        <f>UPPER(LEFT(TRIM(Data!B44),1)) &amp; MID(TRIM(Data!B44),2,50)</f>
        <v>Melanoma in situ</v>
      </c>
      <c r="C48" s="139" t="str">
        <f>Data!C44</f>
        <v>D03</v>
      </c>
      <c r="D48" s="140">
        <f>Data!E44</f>
        <v>0</v>
      </c>
      <c r="E48" s="141">
        <f t="shared" si="2"/>
        <v>0</v>
      </c>
      <c r="F48" s="142">
        <f t="shared" si="3"/>
        <v>0</v>
      </c>
      <c r="G48" s="142">
        <f t="shared" ref="G48" si="14">AM48/$AM$3</f>
        <v>0</v>
      </c>
      <c r="H48" s="56"/>
      <c r="I48" s="56"/>
      <c r="J48" s="56"/>
      <c r="K48" s="56"/>
      <c r="L48" s="56"/>
      <c r="M48" s="56"/>
      <c r="N48" s="56"/>
      <c r="O48" s="56"/>
      <c r="P48" s="56"/>
      <c r="Q48" s="307"/>
      <c r="R48" s="327" t="s">
        <v>352</v>
      </c>
      <c r="S48" s="325">
        <f t="shared" si="4"/>
        <v>0</v>
      </c>
      <c r="T48" s="325">
        <f>(Data!AN44+Data!DA44)/T$6*100000*T$3</f>
        <v>0</v>
      </c>
      <c r="U48" s="325">
        <f>(Data!AO44+Data!DB44)/U$6*100000*U$3</f>
        <v>0</v>
      </c>
      <c r="V48" s="325">
        <f>(Data!AP44+Data!DC44)/V$6*100000*V$3</f>
        <v>0</v>
      </c>
      <c r="W48" s="325">
        <f>(Data!AQ44+Data!DD44)/W$6*100000*W$3</f>
        <v>0</v>
      </c>
      <c r="X48" s="325">
        <f>(Data!AR44+Data!DE44)/X$6*100000*X$3</f>
        <v>0</v>
      </c>
      <c r="Y48" s="325">
        <f>(Data!AS44+Data!DF44)/Y$6*100000*Y$3</f>
        <v>0</v>
      </c>
      <c r="Z48" s="325">
        <f>(Data!AT44+Data!DG44)/Z$6*100000*Z$3</f>
        <v>0</v>
      </c>
      <c r="AA48" s="325">
        <f>(Data!AU44+Data!DH44)/AA$6*100000*AA$3</f>
        <v>0</v>
      </c>
      <c r="AB48" s="325">
        <f>(Data!AV44+Data!DI44)/AB$6*100000*AB$3</f>
        <v>0</v>
      </c>
      <c r="AC48" s="325">
        <f>(Data!AW44+Data!DJ44)/AC$6*100000*AC$3</f>
        <v>0</v>
      </c>
      <c r="AD48" s="325">
        <f>(Data!AX44+Data!DK44)/AD$6*100000*AD$3</f>
        <v>0</v>
      </c>
      <c r="AE48" s="325">
        <f>(Data!AY44+Data!DL44)/AE$6*100000*AE$3</f>
        <v>0</v>
      </c>
      <c r="AF48" s="325">
        <f>(Data!AZ44+Data!DM44)/AF$6*100000*AF$3</f>
        <v>0</v>
      </c>
      <c r="AG48" s="325">
        <f>(Data!BA44+Data!DN44)/AG$6*100000*AG$3</f>
        <v>0</v>
      </c>
      <c r="AH48" s="325">
        <f>(Data!BB44+Data!DO44)/AH$6*100000*AH$3</f>
        <v>0</v>
      </c>
      <c r="AI48" s="325">
        <f>(Data!BC44+Data!DP44)/AI$6*100000*AI$3</f>
        <v>0</v>
      </c>
      <c r="AJ48" s="325">
        <f>(Data!BD44+Data!DQ44)/AJ$6*100000*AJ$3</f>
        <v>0</v>
      </c>
      <c r="AK48" s="325">
        <f>(Data!BE44+Data!DR44)/AK$6*100000*AK$3</f>
        <v>0</v>
      </c>
      <c r="AL48" s="327" t="s">
        <v>352</v>
      </c>
      <c r="AM48" s="325">
        <f t="shared" si="5"/>
        <v>0</v>
      </c>
      <c r="AN48" s="325">
        <f>(Data!AN44+Data!DA44)/AN$6*100000*AN$3</f>
        <v>0</v>
      </c>
      <c r="AO48" s="325">
        <f>(Data!AO44+Data!DB44)/AO$6*100000*AO$3</f>
        <v>0</v>
      </c>
      <c r="AP48" s="325">
        <f>(Data!AP44+Data!DC44)/AP$6*100000*AP$3</f>
        <v>0</v>
      </c>
      <c r="AQ48" s="325">
        <f>(Data!AQ44+Data!DD44)/AQ$6*100000*AQ$3</f>
        <v>0</v>
      </c>
      <c r="AR48" s="325">
        <f>(Data!AR44+Data!DE44)/AR$6*100000*AR$3</f>
        <v>0</v>
      </c>
      <c r="AS48" s="325">
        <f>(Data!AS44+Data!DF44)/AS$6*100000*AS$3</f>
        <v>0</v>
      </c>
      <c r="AT48" s="325">
        <f>(Data!AT44+Data!DG44)/AT$6*100000*AT$3</f>
        <v>0</v>
      </c>
      <c r="AU48" s="325">
        <f>(Data!AU44+Data!DH44)/AU$6*100000*AU$3</f>
        <v>0</v>
      </c>
      <c r="AV48" s="325">
        <f>(Data!AV44+Data!DI44)/AV$6*100000*AV$3</f>
        <v>0</v>
      </c>
      <c r="AW48" s="325">
        <f>(Data!AW44+Data!DJ44)/AW$6*100000*AW$3</f>
        <v>0</v>
      </c>
      <c r="AX48" s="325">
        <f>(Data!AX44+Data!DK44)/AX$6*100000*AX$3</f>
        <v>0</v>
      </c>
      <c r="AY48" s="325">
        <f>(Data!AY44+Data!DL44)/AY$6*100000*AY$3</f>
        <v>0</v>
      </c>
      <c r="AZ48" s="325">
        <f>(Data!AZ44+Data!DM44)/AZ$6*100000*AZ$3</f>
        <v>0</v>
      </c>
      <c r="BA48" s="325">
        <f>(Data!BA44+Data!DN44)/BA$6*100000*BA$3</f>
        <v>0</v>
      </c>
      <c r="BB48" s="325">
        <f>(Data!BB44+Data!DO44)/BB$6*100000*BB$3</f>
        <v>0</v>
      </c>
      <c r="BC48" s="325">
        <f>(Data!BC44+Data!DP44)/BC$6*100000*BC$3</f>
        <v>0</v>
      </c>
      <c r="BD48" s="325">
        <f>(Data!BD44+Data!DQ44)/BD$6*100000*BD$3</f>
        <v>0</v>
      </c>
      <c r="BE48" s="325">
        <f>(Data!BE44+Data!DR44)/BE$6*100000*BE$3</f>
        <v>0</v>
      </c>
    </row>
    <row r="49" spans="1:69" ht="12" customHeight="1">
      <c r="A49" s="30"/>
      <c r="B49" s="139" t="str">
        <f>UPPER(LEFT(TRIM(Data!B45),1)) &amp; MID(TRIM(Data!B45),2,50)</f>
        <v>Krūties navikai in situ</v>
      </c>
      <c r="C49" s="139" t="str">
        <f>Data!C45</f>
        <v>D05</v>
      </c>
      <c r="D49" s="140">
        <f>Data!E45</f>
        <v>0</v>
      </c>
      <c r="E49" s="141">
        <f t="shared" ref="E49:E55" si="15">D49/$S$6*100000</f>
        <v>0</v>
      </c>
      <c r="F49" s="142">
        <f t="shared" ref="F49:F55" si="16">S49/$S$3</f>
        <v>0</v>
      </c>
      <c r="G49" s="142">
        <f t="shared" ref="G49:G55" si="17">AM49/$AM$3</f>
        <v>0</v>
      </c>
      <c r="H49" s="56"/>
      <c r="I49" s="56"/>
      <c r="J49" s="56"/>
      <c r="K49" s="56"/>
      <c r="L49" s="56"/>
      <c r="M49" s="56"/>
      <c r="N49" s="56"/>
      <c r="O49" s="56"/>
      <c r="P49" s="56"/>
      <c r="Q49" s="307"/>
      <c r="R49" s="327" t="s">
        <v>352</v>
      </c>
      <c r="S49" s="325">
        <f t="shared" si="4"/>
        <v>0</v>
      </c>
      <c r="T49" s="325">
        <f>(Data!AN45+Data!DA45)/T$6*100000*T$3</f>
        <v>0</v>
      </c>
      <c r="U49" s="325">
        <f>(Data!AO45+Data!DB45)/U$6*100000*U$3</f>
        <v>0</v>
      </c>
      <c r="V49" s="325">
        <f>(Data!AP45+Data!DC45)/V$6*100000*V$3</f>
        <v>0</v>
      </c>
      <c r="W49" s="325">
        <f>(Data!AQ45+Data!DD45)/W$6*100000*W$3</f>
        <v>0</v>
      </c>
      <c r="X49" s="325">
        <f>(Data!AR45+Data!DE45)/X$6*100000*X$3</f>
        <v>0</v>
      </c>
      <c r="Y49" s="325">
        <f>(Data!AS45+Data!DF45)/Y$6*100000*Y$3</f>
        <v>0</v>
      </c>
      <c r="Z49" s="325">
        <f>(Data!AT45+Data!DG45)/Z$6*100000*Z$3</f>
        <v>0</v>
      </c>
      <c r="AA49" s="325">
        <f>(Data!AU45+Data!DH45)/AA$6*100000*AA$3</f>
        <v>0</v>
      </c>
      <c r="AB49" s="325">
        <f>(Data!AV45+Data!DI45)/AB$6*100000*AB$3</f>
        <v>0</v>
      </c>
      <c r="AC49" s="325">
        <f>(Data!AW45+Data!DJ45)/AC$6*100000*AC$3</f>
        <v>0</v>
      </c>
      <c r="AD49" s="325">
        <f>(Data!AX45+Data!DK45)/AD$6*100000*AD$3</f>
        <v>0</v>
      </c>
      <c r="AE49" s="325">
        <f>(Data!AY45+Data!DL45)/AE$6*100000*AE$3</f>
        <v>0</v>
      </c>
      <c r="AF49" s="325">
        <f>(Data!AZ45+Data!DM45)/AF$6*100000*AF$3</f>
        <v>0</v>
      </c>
      <c r="AG49" s="325">
        <f>(Data!BA45+Data!DN45)/AG$6*100000*AG$3</f>
        <v>0</v>
      </c>
      <c r="AH49" s="325">
        <f>(Data!BB45+Data!DO45)/AH$6*100000*AH$3</f>
        <v>0</v>
      </c>
      <c r="AI49" s="325">
        <f>(Data!BC45+Data!DP45)/AI$6*100000*AI$3</f>
        <v>0</v>
      </c>
      <c r="AJ49" s="325">
        <f>(Data!BD45+Data!DQ45)/AJ$6*100000*AJ$3</f>
        <v>0</v>
      </c>
      <c r="AK49" s="325">
        <f>(Data!BE45+Data!DR45)/AK$6*100000*AK$3</f>
        <v>0</v>
      </c>
      <c r="AL49" s="327" t="s">
        <v>352</v>
      </c>
      <c r="AM49" s="325">
        <f t="shared" si="5"/>
        <v>0</v>
      </c>
      <c r="AN49" s="325">
        <f>(Data!AN45+Data!DA45)/AN$6*100000*AN$3</f>
        <v>0</v>
      </c>
      <c r="AO49" s="325">
        <f>(Data!AO45+Data!DB45)/AO$6*100000*AO$3</f>
        <v>0</v>
      </c>
      <c r="AP49" s="325">
        <f>(Data!AP45+Data!DC45)/AP$6*100000*AP$3</f>
        <v>0</v>
      </c>
      <c r="AQ49" s="325">
        <f>(Data!AQ45+Data!DD45)/AQ$6*100000*AQ$3</f>
        <v>0</v>
      </c>
      <c r="AR49" s="325">
        <f>(Data!AR45+Data!DE45)/AR$6*100000*AR$3</f>
        <v>0</v>
      </c>
      <c r="AS49" s="325">
        <f>(Data!AS45+Data!DF45)/AS$6*100000*AS$3</f>
        <v>0</v>
      </c>
      <c r="AT49" s="325">
        <f>(Data!AT45+Data!DG45)/AT$6*100000*AT$3</f>
        <v>0</v>
      </c>
      <c r="AU49" s="325">
        <f>(Data!AU45+Data!DH45)/AU$6*100000*AU$3</f>
        <v>0</v>
      </c>
      <c r="AV49" s="325">
        <f>(Data!AV45+Data!DI45)/AV$6*100000*AV$3</f>
        <v>0</v>
      </c>
      <c r="AW49" s="325">
        <f>(Data!AW45+Data!DJ45)/AW$6*100000*AW$3</f>
        <v>0</v>
      </c>
      <c r="AX49" s="325">
        <f>(Data!AX45+Data!DK45)/AX$6*100000*AX$3</f>
        <v>0</v>
      </c>
      <c r="AY49" s="325">
        <f>(Data!AY45+Data!DL45)/AY$6*100000*AY$3</f>
        <v>0</v>
      </c>
      <c r="AZ49" s="325">
        <f>(Data!AZ45+Data!DM45)/AZ$6*100000*AZ$3</f>
        <v>0</v>
      </c>
      <c r="BA49" s="325">
        <f>(Data!BA45+Data!DN45)/BA$6*100000*BA$3</f>
        <v>0</v>
      </c>
      <c r="BB49" s="325">
        <f>(Data!BB45+Data!DO45)/BB$6*100000*BB$3</f>
        <v>0</v>
      </c>
      <c r="BC49" s="325">
        <f>(Data!BC45+Data!DP45)/BC$6*100000*BC$3</f>
        <v>0</v>
      </c>
      <c r="BD49" s="325">
        <f>(Data!BD45+Data!DQ45)/BD$6*100000*BD$3</f>
        <v>0</v>
      </c>
      <c r="BE49" s="325">
        <f>(Data!BE45+Data!DR45)/BE$6*100000*BE$3</f>
        <v>0</v>
      </c>
    </row>
    <row r="50" spans="1:69" s="209" customFormat="1" ht="12" customHeight="1">
      <c r="A50" s="30"/>
      <c r="B50" s="139" t="str">
        <f>UPPER(LEFT(TRIM(Data!B46),1)) &amp; MID(TRIM(Data!B46),2,50)</f>
        <v>Gimdos kaklelio in situ</v>
      </c>
      <c r="C50" s="139" t="str">
        <f>Data!C46</f>
        <v>D06</v>
      </c>
      <c r="D50" s="140">
        <f>Lent10m!D46</f>
        <v>0</v>
      </c>
      <c r="E50" s="141">
        <f>Lent10m!E46</f>
        <v>0</v>
      </c>
      <c r="F50" s="142">
        <f>Lent10m!F46</f>
        <v>0</v>
      </c>
      <c r="G50" s="142">
        <f>Lent10m!G46</f>
        <v>0</v>
      </c>
      <c r="H50" s="56"/>
      <c r="I50" s="56"/>
      <c r="J50" s="56"/>
      <c r="K50" s="56"/>
      <c r="L50" s="56"/>
      <c r="M50" s="56"/>
      <c r="N50" s="56"/>
      <c r="O50" s="56"/>
      <c r="P50" s="56"/>
      <c r="Q50" s="329"/>
      <c r="R50" s="330"/>
      <c r="S50" s="331"/>
      <c r="T50" s="331"/>
      <c r="U50" s="331"/>
      <c r="V50" s="331"/>
      <c r="W50" s="331"/>
      <c r="X50" s="331"/>
      <c r="Y50" s="331"/>
      <c r="Z50" s="331"/>
      <c r="AA50" s="331"/>
      <c r="AB50" s="331"/>
      <c r="AC50" s="331"/>
      <c r="AD50" s="331"/>
      <c r="AE50" s="331"/>
      <c r="AF50" s="331"/>
      <c r="AG50" s="331"/>
      <c r="AH50" s="331"/>
      <c r="AI50" s="331"/>
      <c r="AJ50" s="331"/>
      <c r="AK50" s="331"/>
      <c r="AL50" s="330"/>
      <c r="AM50" s="331"/>
      <c r="AN50" s="331"/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31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</row>
    <row r="51" spans="1:69" ht="12" customHeight="1">
      <c r="A51" s="30"/>
      <c r="B51" s="139" t="str">
        <f>UPPER(LEFT(TRIM(Data!B47),1)) &amp; MID(TRIM(Data!B47),2,50)</f>
        <v>Šlapimo pūslės in situ</v>
      </c>
      <c r="C51" s="139" t="str">
        <f>Data!C47</f>
        <v>D09.0</v>
      </c>
      <c r="D51" s="140">
        <f>Data!E47</f>
        <v>0</v>
      </c>
      <c r="E51" s="141">
        <f t="shared" si="15"/>
        <v>0</v>
      </c>
      <c r="F51" s="142">
        <f t="shared" si="16"/>
        <v>0</v>
      </c>
      <c r="G51" s="142">
        <f t="shared" si="17"/>
        <v>0</v>
      </c>
      <c r="H51" s="56"/>
      <c r="I51" s="56"/>
      <c r="J51" s="56"/>
      <c r="K51" s="56"/>
      <c r="L51" s="56"/>
      <c r="M51" s="56"/>
      <c r="N51" s="56"/>
      <c r="O51" s="56"/>
      <c r="P51" s="56"/>
      <c r="Q51" s="329"/>
      <c r="R51" s="330" t="s">
        <v>352</v>
      </c>
      <c r="S51" s="331">
        <f t="shared" si="4"/>
        <v>0</v>
      </c>
      <c r="T51" s="331">
        <f>(Data!AN47+Data!DA47)/T$6*100000*T$3</f>
        <v>0</v>
      </c>
      <c r="U51" s="331">
        <f>(Data!AO47+Data!DB47)/U$6*100000*U$3</f>
        <v>0</v>
      </c>
      <c r="V51" s="331">
        <f>(Data!AP47+Data!DC47)/V$6*100000*V$3</f>
        <v>0</v>
      </c>
      <c r="W51" s="331">
        <f>(Data!AQ47+Data!DD47)/W$6*100000*W$3</f>
        <v>0</v>
      </c>
      <c r="X51" s="331">
        <f>(Data!AR47+Data!DE47)/X$6*100000*X$3</f>
        <v>0</v>
      </c>
      <c r="Y51" s="331">
        <f>(Data!AS47+Data!DF47)/Y$6*100000*Y$3</f>
        <v>0</v>
      </c>
      <c r="Z51" s="331">
        <f>(Data!AT47+Data!DG47)/Z$6*100000*Z$3</f>
        <v>0</v>
      </c>
      <c r="AA51" s="331">
        <f>(Data!AU47+Data!DH47)/AA$6*100000*AA$3</f>
        <v>0</v>
      </c>
      <c r="AB51" s="331">
        <f>(Data!AV47+Data!DI47)/AB$6*100000*AB$3</f>
        <v>0</v>
      </c>
      <c r="AC51" s="331">
        <f>(Data!AW47+Data!DJ47)/AC$6*100000*AC$3</f>
        <v>0</v>
      </c>
      <c r="AD51" s="331">
        <f>(Data!AX47+Data!DK47)/AD$6*100000*AD$3</f>
        <v>0</v>
      </c>
      <c r="AE51" s="331">
        <f>(Data!AY47+Data!DL47)/AE$6*100000*AE$3</f>
        <v>0</v>
      </c>
      <c r="AF51" s="331">
        <f>(Data!AZ47+Data!DM47)/AF$6*100000*AF$3</f>
        <v>0</v>
      </c>
      <c r="AG51" s="331">
        <f>(Data!BA47+Data!DN47)/AG$6*100000*AG$3</f>
        <v>0</v>
      </c>
      <c r="AH51" s="331">
        <f>(Data!BB47+Data!DO47)/AH$6*100000*AH$3</f>
        <v>0</v>
      </c>
      <c r="AI51" s="331">
        <f>(Data!BC47+Data!DP47)/AI$6*100000*AI$3</f>
        <v>0</v>
      </c>
      <c r="AJ51" s="331">
        <f>(Data!BD47+Data!DQ47)/AJ$6*100000*AJ$3</f>
        <v>0</v>
      </c>
      <c r="AK51" s="331">
        <f>(Data!BE47+Data!DR47)/AK$6*100000*AK$3</f>
        <v>0</v>
      </c>
      <c r="AL51" s="330" t="s">
        <v>352</v>
      </c>
      <c r="AM51" s="331">
        <f t="shared" si="5"/>
        <v>0</v>
      </c>
      <c r="AN51" s="331">
        <f>(Data!AN47+Data!DA47)/AN$6*100000*AN$3</f>
        <v>0</v>
      </c>
      <c r="AO51" s="331">
        <f>(Data!AO47+Data!DB47)/AO$6*100000*AO$3</f>
        <v>0</v>
      </c>
      <c r="AP51" s="331">
        <f>(Data!AP47+Data!DC47)/AP$6*100000*AP$3</f>
        <v>0</v>
      </c>
      <c r="AQ51" s="331">
        <f>(Data!AQ47+Data!DD47)/AQ$6*100000*AQ$3</f>
        <v>0</v>
      </c>
      <c r="AR51" s="331">
        <f>(Data!AR47+Data!DE47)/AR$6*100000*AR$3</f>
        <v>0</v>
      </c>
      <c r="AS51" s="331">
        <f>(Data!AS47+Data!DF47)/AS$6*100000*AS$3</f>
        <v>0</v>
      </c>
      <c r="AT51" s="331">
        <f>(Data!AT47+Data!DG47)/AT$6*100000*AT$3</f>
        <v>0</v>
      </c>
      <c r="AU51" s="331">
        <f>(Data!AU47+Data!DH47)/AU$6*100000*AU$3</f>
        <v>0</v>
      </c>
      <c r="AV51" s="331">
        <f>(Data!AV47+Data!DI47)/AV$6*100000*AV$3</f>
        <v>0</v>
      </c>
      <c r="AW51" s="331">
        <f>(Data!AW47+Data!DJ47)/AW$6*100000*AW$3</f>
        <v>0</v>
      </c>
      <c r="AX51" s="331">
        <f>(Data!AX47+Data!DK47)/AX$6*100000*AX$3</f>
        <v>0</v>
      </c>
      <c r="AY51" s="331">
        <f>(Data!AY47+Data!DL47)/AY$6*100000*AY$3</f>
        <v>0</v>
      </c>
      <c r="AZ51" s="331">
        <f>(Data!AZ47+Data!DM47)/AZ$6*100000*AZ$3</f>
        <v>0</v>
      </c>
      <c r="BA51" s="331">
        <f>(Data!BA47+Data!DN47)/BA$6*100000*BA$3</f>
        <v>0</v>
      </c>
      <c r="BB51" s="331">
        <f>(Data!BB47+Data!DO47)/BB$6*100000*BB$3</f>
        <v>0</v>
      </c>
      <c r="BC51" s="331">
        <f>(Data!BC47+Data!DP47)/BC$6*100000*BC$3</f>
        <v>0</v>
      </c>
      <c r="BD51" s="331">
        <f>(Data!BD47+Data!DQ47)/BD$6*100000*BD$3</f>
        <v>0</v>
      </c>
      <c r="BE51" s="331">
        <f>(Data!BE47+Data!DR47)/BE$6*100000*BE$3</f>
        <v>0</v>
      </c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</row>
    <row r="52" spans="1:69" ht="12" customHeight="1">
      <c r="A52" s="30"/>
      <c r="B52" s="139" t="str">
        <f>UPPER(LEFT(TRIM(Data!B48),1)) &amp; MID(TRIM(Data!B48),2,50)</f>
        <v>Nervų sistemos gerybiniai navikai</v>
      </c>
      <c r="C52" s="139" t="str">
        <f>Data!C48</f>
        <v>D32, D33</v>
      </c>
      <c r="D52" s="140">
        <f>Data!E48</f>
        <v>11</v>
      </c>
      <c r="E52" s="141">
        <f t="shared" si="15"/>
        <v>0.37191198939442244</v>
      </c>
      <c r="F52" s="142">
        <f t="shared" si="16"/>
        <v>0.57625357575212377</v>
      </c>
      <c r="G52" s="142">
        <f t="shared" si="17"/>
        <v>0.37804114902285962</v>
      </c>
      <c r="H52" s="56"/>
      <c r="I52" s="56"/>
      <c r="J52" s="56"/>
      <c r="K52" s="56"/>
      <c r="L52" s="56"/>
      <c r="M52" s="56"/>
      <c r="N52" s="56"/>
      <c r="O52" s="56"/>
      <c r="P52" s="56"/>
      <c r="Q52" s="329"/>
      <c r="R52" s="330" t="s">
        <v>352</v>
      </c>
      <c r="S52" s="331">
        <f t="shared" si="4"/>
        <v>57625.357575212372</v>
      </c>
      <c r="T52" s="331">
        <f>(Data!AN48+Data!DA48)/T$6*100000*T$3</f>
        <v>0</v>
      </c>
      <c r="U52" s="331">
        <f>(Data!AO48+Data!DB48)/U$6*100000*U$3</f>
        <v>0</v>
      </c>
      <c r="V52" s="331">
        <f>(Data!AP48+Data!DC48)/V$6*100000*V$3</f>
        <v>0</v>
      </c>
      <c r="W52" s="331">
        <f>(Data!AQ48+Data!DD48)/W$6*100000*W$3</f>
        <v>0</v>
      </c>
      <c r="X52" s="331">
        <f>(Data!AR48+Data!DE48)/X$6*100000*X$3</f>
        <v>0</v>
      </c>
      <c r="Y52" s="331">
        <f>(Data!AS48+Data!DF48)/Y$6*100000*Y$3</f>
        <v>0</v>
      </c>
      <c r="Z52" s="331">
        <f>(Data!AT48+Data!DG48)/Z$6*100000*Z$3</f>
        <v>3979.488578867778</v>
      </c>
      <c r="AA52" s="331">
        <f>(Data!AU48+Data!DH48)/AA$6*100000*AA$3</f>
        <v>0</v>
      </c>
      <c r="AB52" s="331">
        <f>(Data!AV48+Data!DI48)/AB$6*100000*AB$3</f>
        <v>0</v>
      </c>
      <c r="AC52" s="331">
        <f>(Data!AW48+Data!DJ48)/AC$6*100000*AC$3</f>
        <v>0</v>
      </c>
      <c r="AD52" s="331">
        <f>(Data!AX48+Data!DK48)/AD$6*100000*AD$3</f>
        <v>0</v>
      </c>
      <c r="AE52" s="331">
        <f>(Data!AY48+Data!DL48)/AE$6*100000*AE$3</f>
        <v>0</v>
      </c>
      <c r="AF52" s="331">
        <f>(Data!AZ48+Data!DM48)/AF$6*100000*AF$3</f>
        <v>5833.2506956151456</v>
      </c>
      <c r="AG52" s="331">
        <f>(Data!BA48+Data!DN48)/AG$6*100000*AG$3</f>
        <v>20450.644560493736</v>
      </c>
      <c r="AH52" s="331">
        <f>(Data!BB48+Data!DO48)/AH$6*100000*AH$3</f>
        <v>4245.3230690855571</v>
      </c>
      <c r="AI52" s="331">
        <f>(Data!BC48+Data!DP48)/AI$6*100000*AI$3</f>
        <v>15057.847229774383</v>
      </c>
      <c r="AJ52" s="331">
        <f>(Data!BD48+Data!DQ48)/AJ$6*100000*AJ$3</f>
        <v>4659.2351865441287</v>
      </c>
      <c r="AK52" s="331">
        <f>(Data!BE48+Data!DR48)/AK$6*100000*AK$3</f>
        <v>3399.5682548316368</v>
      </c>
      <c r="AL52" s="330" t="s">
        <v>352</v>
      </c>
      <c r="AM52" s="331">
        <f t="shared" si="5"/>
        <v>37804.114902285961</v>
      </c>
      <c r="AN52" s="331">
        <f>(Data!AN48+Data!DA48)/AN$6*100000*AN$3</f>
        <v>0</v>
      </c>
      <c r="AO52" s="331">
        <f>(Data!AO48+Data!DB48)/AO$6*100000*AO$3</f>
        <v>0</v>
      </c>
      <c r="AP52" s="331">
        <f>(Data!AP48+Data!DC48)/AP$6*100000*AP$3</f>
        <v>0</v>
      </c>
      <c r="AQ52" s="331">
        <f>(Data!AQ48+Data!DD48)/AQ$6*100000*AQ$3</f>
        <v>0</v>
      </c>
      <c r="AR52" s="331">
        <f>(Data!AR48+Data!DE48)/AR$6*100000*AR$3</f>
        <v>0</v>
      </c>
      <c r="AS52" s="331">
        <f>(Data!AS48+Data!DF48)/AS$6*100000*AS$3</f>
        <v>0</v>
      </c>
      <c r="AT52" s="331">
        <f>(Data!AT48+Data!DG48)/AT$6*100000*AT$3</f>
        <v>3410.9902104580956</v>
      </c>
      <c r="AU52" s="331">
        <f>(Data!AU48+Data!DH48)/AU$6*100000*AU$3</f>
        <v>0</v>
      </c>
      <c r="AV52" s="331">
        <f>(Data!AV48+Data!DI48)/AV$6*100000*AV$3</f>
        <v>0</v>
      </c>
      <c r="AW52" s="331">
        <f>(Data!AW48+Data!DJ48)/AW$6*100000*AW$3</f>
        <v>0</v>
      </c>
      <c r="AX52" s="331">
        <f>(Data!AX48+Data!DK48)/AX$6*100000*AX$3</f>
        <v>0</v>
      </c>
      <c r="AY52" s="331">
        <f>(Data!AY48+Data!DL48)/AY$6*100000*AY$3</f>
        <v>0</v>
      </c>
      <c r="AZ52" s="331">
        <f>(Data!AZ48+Data!DM48)/AZ$6*100000*AZ$3</f>
        <v>4666.6005564921161</v>
      </c>
      <c r="BA52" s="331">
        <f>(Data!BA48+Data!DN48)/BA$6*100000*BA$3</f>
        <v>15337.983420370301</v>
      </c>
      <c r="BB52" s="331">
        <f>(Data!BB48+Data!DO48)/BB$6*100000*BB$3</f>
        <v>2830.2153793903717</v>
      </c>
      <c r="BC52" s="331">
        <f>(Data!BC48+Data!DP48)/BC$6*100000*BC$3</f>
        <v>7528.9236148871914</v>
      </c>
      <c r="BD52" s="331">
        <f>(Data!BD48+Data!DQ48)/BD$6*100000*BD$3</f>
        <v>2329.6175932720644</v>
      </c>
      <c r="BE52" s="331">
        <f>(Data!BE48+Data!DR48)/BE$6*100000*BE$3</f>
        <v>1699.7841274158184</v>
      </c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</row>
    <row r="53" spans="1:69" s="209" customFormat="1" ht="12" customHeight="1">
      <c r="A53" s="30"/>
      <c r="B53" s="139" t="str">
        <f>UPPER(LEFT(TRIM(Data!B49),1)) &amp; MID(TRIM(Data!B49),2,50)</f>
        <v>Kiaušidžių</v>
      </c>
      <c r="C53" s="139" t="str">
        <f>Data!C49</f>
        <v>D39.1</v>
      </c>
      <c r="D53" s="140">
        <f>Lent10m!D49</f>
        <v>1</v>
      </c>
      <c r="E53" s="141">
        <f>Lent10m!E49</f>
        <v>6.2686256539743704E-2</v>
      </c>
      <c r="F53" s="142">
        <f>Lent10m!F49</f>
        <v>1.6448721111933549E-2</v>
      </c>
      <c r="G53" s="142">
        <f>Lent10m!G49</f>
        <v>8.2243605559667744E-3</v>
      </c>
      <c r="H53" s="56"/>
      <c r="I53" s="56"/>
      <c r="J53" s="56"/>
      <c r="K53" s="56"/>
      <c r="L53" s="56"/>
      <c r="M53" s="56"/>
      <c r="N53" s="56"/>
      <c r="O53" s="56"/>
      <c r="P53" s="56"/>
      <c r="Q53" s="329"/>
      <c r="R53" s="330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331"/>
      <c r="AK53" s="331"/>
      <c r="AL53" s="330"/>
      <c r="AM53" s="331"/>
      <c r="AN53" s="331"/>
      <c r="AO53" s="331"/>
      <c r="AP53" s="331"/>
      <c r="AQ53" s="331"/>
      <c r="AR53" s="331"/>
      <c r="AS53" s="331"/>
      <c r="AT53" s="331"/>
      <c r="AU53" s="331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</row>
    <row r="54" spans="1:69" ht="12" customHeight="1">
      <c r="A54" s="30"/>
      <c r="B54" s="139" t="str">
        <f>UPPER(LEFT(TRIM(Data!B50),1)) &amp; MID(TRIM(Data!B50),2,50)</f>
        <v>Kiti nervų sistemos</v>
      </c>
      <c r="C54" s="139" t="str">
        <f>Data!C50</f>
        <v>D42, D43</v>
      </c>
      <c r="D54" s="140">
        <f>Data!E50</f>
        <v>4</v>
      </c>
      <c r="E54" s="141">
        <f t="shared" si="15"/>
        <v>0.13524072341615365</v>
      </c>
      <c r="F54" s="142">
        <f t="shared" si="16"/>
        <v>0.16663653769034531</v>
      </c>
      <c r="G54" s="142">
        <f t="shared" si="17"/>
        <v>0.1007013776216714</v>
      </c>
      <c r="H54" s="56"/>
      <c r="I54" s="56"/>
      <c r="J54" s="56"/>
      <c r="K54" s="56"/>
      <c r="L54" s="56"/>
      <c r="M54" s="56"/>
      <c r="N54" s="56"/>
      <c r="O54" s="56"/>
      <c r="P54" s="56"/>
      <c r="Q54" s="307"/>
      <c r="R54" s="327" t="s">
        <v>352</v>
      </c>
      <c r="S54" s="325">
        <f t="shared" si="4"/>
        <v>16663.653769034532</v>
      </c>
      <c r="T54" s="325">
        <f>(Data!AN50+Data!DA50)/T$6*100000*T$3</f>
        <v>0</v>
      </c>
      <c r="U54" s="325">
        <f>(Data!AO50+Data!DB50)/U$6*100000*U$3</f>
        <v>0</v>
      </c>
      <c r="V54" s="325">
        <f>(Data!AP50+Data!DC50)/V$6*100000*V$3</f>
        <v>0</v>
      </c>
      <c r="W54" s="325">
        <f>(Data!AQ50+Data!DD50)/W$6*100000*W$3</f>
        <v>0</v>
      </c>
      <c r="X54" s="325">
        <f>(Data!AR50+Data!DE50)/X$6*100000*X$3</f>
        <v>0</v>
      </c>
      <c r="Y54" s="325">
        <f>(Data!AS50+Data!DF50)/Y$6*100000*Y$3</f>
        <v>0</v>
      </c>
      <c r="Z54" s="325">
        <f>(Data!AT50+Data!DG50)/Z$6*100000*Z$3</f>
        <v>0</v>
      </c>
      <c r="AA54" s="325">
        <f>(Data!AU50+Data!DH50)/AA$6*100000*AA$3</f>
        <v>0</v>
      </c>
      <c r="AB54" s="325">
        <f>(Data!AV50+Data!DI50)/AB$6*100000*AB$3</f>
        <v>0</v>
      </c>
      <c r="AC54" s="325">
        <f>(Data!AW50+Data!DJ50)/AC$6*100000*AC$3</f>
        <v>0</v>
      </c>
      <c r="AD54" s="325">
        <f>(Data!AX50+Data!DK50)/AD$6*100000*AD$3</f>
        <v>0</v>
      </c>
      <c r="AE54" s="325">
        <f>(Data!AY50+Data!DL50)/AE$6*100000*AE$3</f>
        <v>3057.2781053028489</v>
      </c>
      <c r="AF54" s="325">
        <f>(Data!AZ50+Data!DM50)/AF$6*100000*AF$3</f>
        <v>2916.6253478075728</v>
      </c>
      <c r="AG54" s="325">
        <f>(Data!BA50+Data!DN50)/AG$6*100000*AG$3</f>
        <v>0</v>
      </c>
      <c r="AH54" s="325">
        <f>(Data!BB50+Data!DO50)/AH$6*100000*AH$3</f>
        <v>2122.6615345427786</v>
      </c>
      <c r="AI54" s="325">
        <f>(Data!BC50+Data!DP50)/AI$6*100000*AI$3</f>
        <v>1673.0941366415982</v>
      </c>
      <c r="AJ54" s="325">
        <f>(Data!BD50+Data!DQ50)/AJ$6*100000*AJ$3</f>
        <v>3494.4263899080961</v>
      </c>
      <c r="AK54" s="325">
        <f>(Data!BE50+Data!DR50)/AK$6*100000*AK$3</f>
        <v>3399.5682548316368</v>
      </c>
      <c r="AL54" s="327" t="s">
        <v>352</v>
      </c>
      <c r="AM54" s="325">
        <f t="shared" si="5"/>
        <v>10070.13776216714</v>
      </c>
      <c r="AN54" s="325">
        <f>(Data!AN50+Data!DA50)/AN$6*100000*AN$3</f>
        <v>0</v>
      </c>
      <c r="AO54" s="325">
        <f>(Data!AO50+Data!DB50)/AO$6*100000*AO$3</f>
        <v>0</v>
      </c>
      <c r="AP54" s="325">
        <f>(Data!AP50+Data!DC50)/AP$6*100000*AP$3</f>
        <v>0</v>
      </c>
      <c r="AQ54" s="325">
        <f>(Data!AQ50+Data!DD50)/AQ$6*100000*AQ$3</f>
        <v>0</v>
      </c>
      <c r="AR54" s="325">
        <f>(Data!AR50+Data!DE50)/AR$6*100000*AR$3</f>
        <v>0</v>
      </c>
      <c r="AS54" s="325">
        <f>(Data!AS50+Data!DF50)/AS$6*100000*AS$3</f>
        <v>0</v>
      </c>
      <c r="AT54" s="325">
        <f>(Data!AT50+Data!DG50)/AT$6*100000*AT$3</f>
        <v>0</v>
      </c>
      <c r="AU54" s="325">
        <f>(Data!AU50+Data!DH50)/AU$6*100000*AU$3</f>
        <v>0</v>
      </c>
      <c r="AV54" s="325">
        <f>(Data!AV50+Data!DI50)/AV$6*100000*AV$3</f>
        <v>0</v>
      </c>
      <c r="AW54" s="325">
        <f>(Data!AW50+Data!DJ50)/AW$6*100000*AW$3</f>
        <v>0</v>
      </c>
      <c r="AX54" s="325">
        <f>(Data!AX50+Data!DK50)/AX$6*100000*AX$3</f>
        <v>0</v>
      </c>
      <c r="AY54" s="325">
        <f>(Data!AY50+Data!DL50)/AY$6*100000*AY$3</f>
        <v>2038.1854035352328</v>
      </c>
      <c r="AZ54" s="325">
        <f>(Data!AZ50+Data!DM50)/AZ$6*100000*AZ$3</f>
        <v>2333.300278246058</v>
      </c>
      <c r="BA54" s="325">
        <f>(Data!BA50+Data!DN50)/BA$6*100000*BA$3</f>
        <v>0</v>
      </c>
      <c r="BB54" s="325">
        <f>(Data!BB50+Data!DO50)/BB$6*100000*BB$3</f>
        <v>1415.1076896951859</v>
      </c>
      <c r="BC54" s="325">
        <f>(Data!BC50+Data!DP50)/BC$6*100000*BC$3</f>
        <v>836.5470683207991</v>
      </c>
      <c r="BD54" s="325">
        <f>(Data!BD50+Data!DQ50)/BD$6*100000*BD$3</f>
        <v>1747.213194954048</v>
      </c>
      <c r="BE54" s="325">
        <f>(Data!BE50+Data!DR50)/BE$6*100000*BE$3</f>
        <v>1699.7841274158184</v>
      </c>
    </row>
    <row r="55" spans="1:69" ht="12" customHeight="1">
      <c r="A55" s="30"/>
      <c r="B55" s="139" t="str">
        <f>UPPER(LEFT(TRIM(Data!B51),1)) &amp; MID(TRIM(Data!B51),2,50)</f>
        <v>Limfinio ir kraujodaros audinių</v>
      </c>
      <c r="C55" s="139" t="str">
        <f>Data!C51</f>
        <v>D45-D47</v>
      </c>
      <c r="D55" s="140">
        <f>Data!E51</f>
        <v>35</v>
      </c>
      <c r="E55" s="141">
        <f t="shared" si="15"/>
        <v>1.1833563298913443</v>
      </c>
      <c r="F55" s="142">
        <f t="shared" si="16"/>
        <v>1.3640257306952848</v>
      </c>
      <c r="G55" s="142">
        <f t="shared" si="17"/>
        <v>0.86390982754087609</v>
      </c>
      <c r="H55" s="56"/>
      <c r="I55" s="56"/>
      <c r="J55" s="56"/>
      <c r="K55" s="56"/>
      <c r="L55" s="56"/>
      <c r="M55" s="56"/>
      <c r="N55" s="56"/>
      <c r="O55" s="56"/>
      <c r="P55" s="56"/>
      <c r="Q55" s="307"/>
      <c r="R55" s="327" t="s">
        <v>352</v>
      </c>
      <c r="S55" s="325">
        <f t="shared" si="4"/>
        <v>136402.57306952847</v>
      </c>
      <c r="T55" s="325">
        <f>(Data!AN51+Data!DA51)/T$6*100000*T$3</f>
        <v>0</v>
      </c>
      <c r="U55" s="325">
        <f>(Data!AO51+Data!DB51)/U$6*100000*U$3</f>
        <v>0</v>
      </c>
      <c r="V55" s="325">
        <f>(Data!AP51+Data!DC51)/V$6*100000*V$3</f>
        <v>0</v>
      </c>
      <c r="W55" s="325">
        <f>(Data!AQ51+Data!DD51)/W$6*100000*W$3</f>
        <v>0</v>
      </c>
      <c r="X55" s="325">
        <f>(Data!AR51+Data!DE51)/X$6*100000*X$3</f>
        <v>0</v>
      </c>
      <c r="Y55" s="325">
        <f>(Data!AS51+Data!DF51)/Y$6*100000*Y$3</f>
        <v>0</v>
      </c>
      <c r="Z55" s="325">
        <f>(Data!AT51+Data!DG51)/Z$6*100000*Z$3</f>
        <v>0</v>
      </c>
      <c r="AA55" s="325">
        <f>(Data!AU51+Data!DH51)/AA$6*100000*AA$3</f>
        <v>3751.9630806832861</v>
      </c>
      <c r="AB55" s="325">
        <f>(Data!AV51+Data!DI51)/AB$6*100000*AB$3</f>
        <v>0</v>
      </c>
      <c r="AC55" s="325">
        <f>(Data!AW51+Data!DJ51)/AC$6*100000*AC$3</f>
        <v>0</v>
      </c>
      <c r="AD55" s="325">
        <f>(Data!AX51+Data!DK51)/AD$6*100000*AD$3</f>
        <v>5919.0110178162231</v>
      </c>
      <c r="AE55" s="325">
        <f>(Data!AY51+Data!DL51)/AE$6*100000*AE$3</f>
        <v>6114.5562106056977</v>
      </c>
      <c r="AF55" s="325">
        <f>(Data!AZ51+Data!DM51)/AF$6*100000*AF$3</f>
        <v>17499.752086845438</v>
      </c>
      <c r="AG55" s="325">
        <f>(Data!BA51+Data!DN51)/AG$6*100000*AG$3</f>
        <v>14607.603257495526</v>
      </c>
      <c r="AH55" s="325">
        <f>(Data!BB51+Data!DO51)/AH$6*100000*AH$3</f>
        <v>33962.584552684457</v>
      </c>
      <c r="AI55" s="325">
        <f>(Data!BC51+Data!DP51)/AI$6*100000*AI$3</f>
        <v>20077.129639699175</v>
      </c>
      <c r="AJ55" s="325">
        <f>(Data!BD51+Data!DQ51)/AJ$6*100000*AJ$3</f>
        <v>17472.131949540482</v>
      </c>
      <c r="AK55" s="325">
        <f>(Data!BE51+Data!DR51)/AK$6*100000*AK$3</f>
        <v>16997.841274158181</v>
      </c>
      <c r="AL55" s="327" t="s">
        <v>352</v>
      </c>
      <c r="AM55" s="325">
        <f t="shared" si="5"/>
        <v>86390.982754087614</v>
      </c>
      <c r="AN55" s="325">
        <f>(Data!AN51+Data!DA51)/AN$6*100000*AN$3</f>
        <v>0</v>
      </c>
      <c r="AO55" s="325">
        <f>(Data!AO51+Data!DB51)/AO$6*100000*AO$3</f>
        <v>0</v>
      </c>
      <c r="AP55" s="325">
        <f>(Data!AP51+Data!DC51)/AP$6*100000*AP$3</f>
        <v>0</v>
      </c>
      <c r="AQ55" s="325">
        <f>(Data!AQ51+Data!DD51)/AQ$6*100000*AQ$3</f>
        <v>0</v>
      </c>
      <c r="AR55" s="325">
        <f>(Data!AR51+Data!DE51)/AR$6*100000*AR$3</f>
        <v>0</v>
      </c>
      <c r="AS55" s="325">
        <f>(Data!AS51+Data!DF51)/AS$6*100000*AS$3</f>
        <v>0</v>
      </c>
      <c r="AT55" s="325">
        <f>(Data!AT51+Data!DG51)/AT$6*100000*AT$3</f>
        <v>0</v>
      </c>
      <c r="AU55" s="325">
        <f>(Data!AU51+Data!DH51)/AU$6*100000*AU$3</f>
        <v>3215.9683548713879</v>
      </c>
      <c r="AV55" s="325">
        <f>(Data!AV51+Data!DI51)/AV$6*100000*AV$3</f>
        <v>0</v>
      </c>
      <c r="AW55" s="325">
        <f>(Data!AW51+Data!DJ51)/AW$6*100000*AW$3</f>
        <v>0</v>
      </c>
      <c r="AX55" s="325">
        <f>(Data!AX51+Data!DK51)/AX$6*100000*AX$3</f>
        <v>4227.8650127258734</v>
      </c>
      <c r="AY55" s="325">
        <f>(Data!AY51+Data!DL51)/AY$6*100000*AY$3</f>
        <v>4076.3708070704656</v>
      </c>
      <c r="AZ55" s="325">
        <f>(Data!AZ51+Data!DM51)/AZ$6*100000*AZ$3</f>
        <v>13999.80166947635</v>
      </c>
      <c r="BA55" s="325">
        <f>(Data!BA51+Data!DN51)/BA$6*100000*BA$3</f>
        <v>10955.702443121645</v>
      </c>
      <c r="BB55" s="325">
        <f>(Data!BB51+Data!DO51)/BB$6*100000*BB$3</f>
        <v>22641.723035122974</v>
      </c>
      <c r="BC55" s="325">
        <f>(Data!BC51+Data!DP51)/BC$6*100000*BC$3</f>
        <v>10038.564819849587</v>
      </c>
      <c r="BD55" s="325">
        <f>(Data!BD51+Data!DQ51)/BD$6*100000*BD$3</f>
        <v>8736.0659747702412</v>
      </c>
      <c r="BE55" s="325">
        <f>(Data!BE51+Data!DR51)/BE$6*100000*BE$3</f>
        <v>8498.9206370790907</v>
      </c>
    </row>
    <row r="56" spans="1:69">
      <c r="A56" s="30"/>
      <c r="B56" s="30"/>
      <c r="C56" s="30"/>
      <c r="D56" s="30"/>
      <c r="E56" s="30"/>
      <c r="F56" s="30"/>
      <c r="G56" s="30"/>
      <c r="H56" s="56"/>
      <c r="I56" s="56"/>
      <c r="J56" s="56"/>
      <c r="K56" s="56"/>
      <c r="L56" s="56"/>
      <c r="M56" s="56"/>
      <c r="N56" s="56"/>
      <c r="O56" s="56"/>
      <c r="P56" s="5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</row>
    <row r="57" spans="1:69">
      <c r="A57" s="30"/>
      <c r="B57" s="30"/>
      <c r="C57" s="30"/>
      <c r="D57" s="30"/>
      <c r="E57" s="30"/>
      <c r="F57" s="30"/>
      <c r="G57" s="30"/>
      <c r="H57" s="56"/>
      <c r="I57" s="56"/>
      <c r="J57" s="56"/>
      <c r="K57" s="56"/>
      <c r="L57" s="56"/>
      <c r="M57" s="56"/>
      <c r="N57" s="56"/>
      <c r="O57" s="56"/>
      <c r="P57" s="56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</row>
    <row r="58" spans="1:69">
      <c r="R58" s="323" t="s">
        <v>407</v>
      </c>
      <c r="S58" s="325">
        <f>SUM(T58:AK58)</f>
        <v>100000</v>
      </c>
      <c r="T58" s="326">
        <v>8000</v>
      </c>
      <c r="U58" s="326">
        <v>7000</v>
      </c>
      <c r="V58" s="326">
        <v>7000</v>
      </c>
      <c r="W58" s="326">
        <v>7000</v>
      </c>
      <c r="X58" s="326">
        <v>7000</v>
      </c>
      <c r="Y58" s="326">
        <v>7000</v>
      </c>
      <c r="Z58" s="326">
        <v>7000</v>
      </c>
      <c r="AA58" s="326">
        <v>7000</v>
      </c>
      <c r="AB58" s="326">
        <v>7000</v>
      </c>
      <c r="AC58" s="326">
        <v>7000</v>
      </c>
      <c r="AD58" s="326">
        <v>7000</v>
      </c>
      <c r="AE58" s="326">
        <v>6000</v>
      </c>
      <c r="AF58" s="326">
        <v>5000</v>
      </c>
      <c r="AG58" s="326">
        <v>4000</v>
      </c>
      <c r="AH58" s="326">
        <v>3000</v>
      </c>
      <c r="AI58" s="326">
        <v>2000</v>
      </c>
      <c r="AJ58" s="326">
        <v>1000</v>
      </c>
      <c r="AK58" s="326">
        <v>1000</v>
      </c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</row>
    <row r="59" spans="1:69">
      <c r="R59" s="323" t="s">
        <v>408</v>
      </c>
      <c r="S59" s="323">
        <v>100000</v>
      </c>
      <c r="T59" s="323">
        <v>12000</v>
      </c>
      <c r="U59" s="323">
        <v>10000</v>
      </c>
      <c r="V59" s="323">
        <v>9000</v>
      </c>
      <c r="W59" s="323">
        <v>9000</v>
      </c>
      <c r="X59" s="323">
        <v>8000</v>
      </c>
      <c r="Y59" s="323">
        <v>8000</v>
      </c>
      <c r="Z59" s="323">
        <v>6000</v>
      </c>
      <c r="AA59" s="323">
        <v>6000</v>
      </c>
      <c r="AB59" s="323">
        <v>6000</v>
      </c>
      <c r="AC59" s="323">
        <v>6000</v>
      </c>
      <c r="AD59" s="323">
        <v>5000</v>
      </c>
      <c r="AE59" s="323">
        <v>4000</v>
      </c>
      <c r="AF59" s="323">
        <v>4000</v>
      </c>
      <c r="AG59" s="323">
        <v>3000</v>
      </c>
      <c r="AH59" s="323">
        <v>2000</v>
      </c>
      <c r="AI59" s="323">
        <v>1000</v>
      </c>
      <c r="AJ59" s="323">
        <v>500</v>
      </c>
      <c r="AK59" s="323">
        <v>500</v>
      </c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</row>
    <row r="60" spans="1:69">
      <c r="R60" s="323"/>
      <c r="S60" s="323"/>
      <c r="T60" s="323"/>
      <c r="U60" s="323"/>
      <c r="V60" s="323"/>
      <c r="W60" s="323"/>
      <c r="X60" s="323"/>
      <c r="Y60" s="323"/>
      <c r="Z60" s="323"/>
      <c r="AA60" s="323"/>
      <c r="AB60" s="323"/>
      <c r="AC60" s="323"/>
      <c r="AD60" s="323"/>
      <c r="AE60" s="323"/>
      <c r="AF60" s="323"/>
      <c r="AG60" s="323"/>
      <c r="AH60" s="323"/>
      <c r="AI60" s="323"/>
      <c r="AJ60" s="323"/>
      <c r="AK60" s="323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</row>
    <row r="61" spans="1:69"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</row>
    <row r="62" spans="1:69"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</row>
    <row r="63" spans="1:69"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</row>
    <row r="64" spans="1:69"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</row>
    <row r="65" spans="18:57"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</row>
    <row r="66" spans="18:57"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</row>
    <row r="67" spans="18:57"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</row>
    <row r="68" spans="18:57"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</row>
    <row r="69" spans="18:57"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</row>
    <row r="70" spans="18:57"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</row>
    <row r="71" spans="18:57"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</row>
    <row r="72" spans="18:57"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</row>
    <row r="73" spans="18:57"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</row>
    <row r="74" spans="18:57"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</row>
    <row r="75" spans="18:57"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</row>
    <row r="76" spans="18:57"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</row>
    <row r="77" spans="18:57"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</row>
    <row r="78" spans="18:57"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</row>
    <row r="79" spans="18:57"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</row>
    <row r="80" spans="18:57"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</row>
    <row r="81" spans="18:57"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</row>
    <row r="82" spans="18:57"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</row>
    <row r="83" spans="18:57"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</row>
    <row r="84" spans="18:57"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</row>
    <row r="85" spans="18:57"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</row>
    <row r="86" spans="18:57"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</row>
    <row r="87" spans="18:57"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</row>
    <row r="88" spans="18:57"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</row>
    <row r="89" spans="18:57"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</row>
    <row r="90" spans="18:57"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</row>
    <row r="91" spans="18:57"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</row>
    <row r="92" spans="18:57"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</row>
    <row r="93" spans="18:57"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</row>
    <row r="94" spans="18:57"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</row>
    <row r="95" spans="18:57"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</row>
    <row r="96" spans="18:57"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</row>
    <row r="97" spans="18:57"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</row>
    <row r="98" spans="18:57"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</row>
    <row r="99" spans="18:57"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</row>
    <row r="100" spans="18:57"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</row>
    <row r="101" spans="18:57"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</row>
    <row r="102" spans="18:57"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</row>
    <row r="103" spans="18:57"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</row>
    <row r="104" spans="18:57"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</row>
    <row r="105" spans="18:57"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</row>
    <row r="106" spans="18:57"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</row>
    <row r="107" spans="18:57"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</row>
    <row r="108" spans="18:57"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</row>
    <row r="109" spans="18:57"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</row>
    <row r="110" spans="18:57"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</row>
    <row r="111" spans="18:57"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</row>
    <row r="112" spans="18:57"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</row>
    <row r="113" spans="18:57"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</row>
    <row r="114" spans="18:57"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</row>
    <row r="115" spans="18:57"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</row>
    <row r="116" spans="18:57"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</row>
    <row r="117" spans="18:57"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</row>
    <row r="118" spans="18:57"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</row>
    <row r="119" spans="18:57"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</row>
    <row r="120" spans="18:57"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</row>
    <row r="121" spans="18:57"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</row>
    <row r="122" spans="18:57"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</row>
    <row r="123" spans="18:57"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</row>
    <row r="124" spans="18:57"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</row>
    <row r="125" spans="18:57"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</row>
    <row r="126" spans="18:57"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</row>
    <row r="127" spans="18:57"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</row>
    <row r="128" spans="18:57"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</row>
    <row r="129" spans="18:57"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</row>
    <row r="130" spans="18:57"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</row>
    <row r="131" spans="18:57"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</row>
    <row r="132" spans="18:57"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</row>
    <row r="133" spans="18:57"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</row>
    <row r="134" spans="18:57"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</row>
    <row r="135" spans="18:57"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</row>
    <row r="136" spans="18:57"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</row>
    <row r="137" spans="18:57"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</row>
    <row r="138" spans="18:57"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</row>
    <row r="139" spans="18:57"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</row>
    <row r="140" spans="18:57"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</row>
    <row r="141" spans="18:57"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</row>
    <row r="142" spans="18:57"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</row>
    <row r="143" spans="18:57"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</row>
    <row r="144" spans="18:57"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</row>
    <row r="145" spans="18:57"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</row>
  </sheetData>
  <mergeCells count="10">
    <mergeCell ref="B1:D1"/>
    <mergeCell ref="R1:R2"/>
    <mergeCell ref="T2:V2"/>
    <mergeCell ref="AN2:AP2"/>
    <mergeCell ref="B6:B7"/>
    <mergeCell ref="C6:C7"/>
    <mergeCell ref="D6:D7"/>
    <mergeCell ref="E6:E7"/>
    <mergeCell ref="F6:G6"/>
    <mergeCell ref="AL1:AL2"/>
  </mergeCells>
  <pageMargins left="0.59055118110236215" right="0.62992125984251968" top="1.5748031496062993" bottom="1.9685039370078741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9" tint="0.39997558519241921"/>
  </sheetPr>
  <dimension ref="A1:BE55"/>
  <sheetViews>
    <sheetView workbookViewId="0">
      <selection activeCell="B48" sqref="B48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style="60" customWidth="1"/>
    <col min="9" max="15" width="0.85546875" style="71" customWidth="1"/>
    <col min="16" max="16" width="0.85546875" style="60" customWidth="1"/>
    <col min="17" max="17" width="9.42578125" style="60" customWidth="1"/>
    <col min="18" max="18" width="38.42578125" bestFit="1" customWidth="1"/>
    <col min="19" max="19" width="9" bestFit="1" customWidth="1"/>
    <col min="20" max="20" width="7" bestFit="1" customWidth="1"/>
    <col min="21" max="21" width="6" bestFit="1" customWidth="1"/>
    <col min="22" max="24" width="7" bestFit="1" customWidth="1"/>
    <col min="25" max="25" width="7.5703125" bestFit="1" customWidth="1"/>
    <col min="26" max="28" width="7" bestFit="1" customWidth="1"/>
    <col min="29" max="31" width="8" bestFit="1" customWidth="1"/>
    <col min="32" max="34" width="9" bestFit="1" customWidth="1"/>
    <col min="35" max="37" width="8" bestFit="1" customWidth="1"/>
    <col min="38" max="38" width="38.42578125" bestFit="1" customWidth="1"/>
  </cols>
  <sheetData>
    <row r="1" spans="1:57" ht="15">
      <c r="A1" s="30"/>
      <c r="B1" s="463" t="s">
        <v>401</v>
      </c>
      <c r="C1" s="463"/>
      <c r="D1" s="463"/>
      <c r="E1" s="59"/>
      <c r="F1" s="30"/>
      <c r="G1" s="30"/>
      <c r="H1" s="56"/>
      <c r="I1" s="56"/>
      <c r="J1" s="56"/>
      <c r="K1" s="56"/>
      <c r="L1" s="56"/>
      <c r="M1" s="56"/>
      <c r="N1" s="56"/>
      <c r="O1" s="56"/>
      <c r="P1" s="56"/>
      <c r="Q1" s="307"/>
      <c r="R1" s="446" t="s">
        <v>355</v>
      </c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  <c r="AN1" s="308"/>
      <c r="AO1" s="308"/>
      <c r="AP1" s="308"/>
      <c r="AQ1" s="308"/>
      <c r="AR1" s="308"/>
      <c r="AS1" s="308"/>
      <c r="AT1" s="30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</row>
    <row r="2" spans="1:57" ht="12.6" customHeight="1">
      <c r="A2" s="30"/>
      <c r="B2" s="465" t="str">
        <f>"Mirtingumas nuo piktybinių navikų Lietuvoje  " &amp; GrafikaiSerg!A1 &amp; " metais. Vyrai."</f>
        <v>Mirtingumas nuo piktybinių navikų Lietuvoje  2013 metais. Vyrai.</v>
      </c>
      <c r="C2" s="465"/>
      <c r="D2" s="465"/>
      <c r="E2" s="61"/>
      <c r="F2" s="30"/>
      <c r="G2" s="30"/>
      <c r="H2" s="56"/>
      <c r="I2" s="56"/>
      <c r="J2" s="56"/>
      <c r="K2" s="56"/>
      <c r="L2" s="56"/>
      <c r="M2" s="56"/>
      <c r="N2" s="56"/>
      <c r="O2" s="56"/>
      <c r="P2" s="56"/>
      <c r="Q2" s="307"/>
      <c r="R2" s="446"/>
      <c r="S2" s="309" t="s">
        <v>353</v>
      </c>
      <c r="T2" s="447" t="s">
        <v>357</v>
      </c>
      <c r="U2" s="447"/>
      <c r="V2" s="447"/>
      <c r="W2" s="310">
        <f>GrafikaiSerg!A1</f>
        <v>2013</v>
      </c>
      <c r="X2" s="308" t="s">
        <v>356</v>
      </c>
      <c r="Y2" s="308" t="str">
        <f>CONCATENATE("pop",RIGHT(W2,2),"m")</f>
        <v>pop13m</v>
      </c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11" t="s">
        <v>355</v>
      </c>
      <c r="AM2" s="309" t="s">
        <v>353</v>
      </c>
      <c r="AN2" s="447" t="s">
        <v>357</v>
      </c>
      <c r="AO2" s="447"/>
      <c r="AP2" s="447"/>
      <c r="AQ2" s="310" t="e">
        <f>#REF!</f>
        <v>#REF!</v>
      </c>
      <c r="AR2" s="308" t="s">
        <v>356</v>
      </c>
      <c r="AS2" s="308" t="e">
        <f>CONCATENATE("pop",RIGHT(AQ2,2),"m")</f>
        <v>#REF!</v>
      </c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</row>
    <row r="3" spans="1:57" ht="12.6" customHeight="1">
      <c r="A3" s="30"/>
      <c r="B3" s="61" t="s">
        <v>648</v>
      </c>
      <c r="C3" s="30"/>
      <c r="D3" s="30"/>
      <c r="E3" s="30"/>
      <c r="F3" s="55"/>
      <c r="G3" s="55"/>
      <c r="H3" s="56"/>
      <c r="I3" s="56"/>
      <c r="J3" s="56"/>
      <c r="K3" s="56"/>
      <c r="L3" s="56"/>
      <c r="M3" s="56"/>
      <c r="N3" s="56"/>
      <c r="O3" s="56"/>
      <c r="P3" s="56"/>
      <c r="Q3" s="312"/>
      <c r="R3" s="313" t="s">
        <v>407</v>
      </c>
      <c r="S3" s="314">
        <f>SUM(T3:AK3)</f>
        <v>100000</v>
      </c>
      <c r="T3" s="315">
        <v>8000</v>
      </c>
      <c r="U3" s="315">
        <v>7000</v>
      </c>
      <c r="V3" s="315">
        <v>7000</v>
      </c>
      <c r="W3" s="315">
        <v>7000</v>
      </c>
      <c r="X3" s="315">
        <v>7000</v>
      </c>
      <c r="Y3" s="315">
        <v>7000</v>
      </c>
      <c r="Z3" s="315">
        <v>7000</v>
      </c>
      <c r="AA3" s="315">
        <v>7000</v>
      </c>
      <c r="AB3" s="315">
        <v>7000</v>
      </c>
      <c r="AC3" s="315">
        <v>7000</v>
      </c>
      <c r="AD3" s="315">
        <v>7000</v>
      </c>
      <c r="AE3" s="315">
        <v>6000</v>
      </c>
      <c r="AF3" s="315">
        <v>5000</v>
      </c>
      <c r="AG3" s="315">
        <v>4000</v>
      </c>
      <c r="AH3" s="315">
        <v>3000</v>
      </c>
      <c r="AI3" s="315">
        <v>2000</v>
      </c>
      <c r="AJ3" s="315">
        <v>1000</v>
      </c>
      <c r="AK3" s="315">
        <v>1000</v>
      </c>
      <c r="AL3" s="313" t="s">
        <v>408</v>
      </c>
      <c r="AM3" s="314">
        <f>SUM(AN3:BE3)</f>
        <v>100000</v>
      </c>
      <c r="AN3" s="308">
        <v>12000</v>
      </c>
      <c r="AO3" s="308">
        <v>10000</v>
      </c>
      <c r="AP3" s="308">
        <v>9000</v>
      </c>
      <c r="AQ3" s="308">
        <v>9000</v>
      </c>
      <c r="AR3" s="308">
        <v>8000</v>
      </c>
      <c r="AS3" s="308">
        <v>8000</v>
      </c>
      <c r="AT3" s="308">
        <v>6000</v>
      </c>
      <c r="AU3" s="308">
        <v>6000</v>
      </c>
      <c r="AV3" s="308">
        <v>6000</v>
      </c>
      <c r="AW3" s="308">
        <v>6000</v>
      </c>
      <c r="AX3" s="308">
        <v>5000</v>
      </c>
      <c r="AY3" s="308">
        <v>4000</v>
      </c>
      <c r="AZ3" s="308">
        <v>4000</v>
      </c>
      <c r="BA3" s="308">
        <v>3000</v>
      </c>
      <c r="BB3" s="308">
        <v>2000</v>
      </c>
      <c r="BC3" s="308">
        <v>1000</v>
      </c>
      <c r="BD3" s="308">
        <v>500</v>
      </c>
      <c r="BE3" s="308">
        <v>500</v>
      </c>
    </row>
    <row r="4" spans="1:57" ht="12.95" customHeight="1">
      <c r="A4" s="30"/>
      <c r="B4" s="448" t="s">
        <v>350</v>
      </c>
      <c r="C4" s="448" t="s">
        <v>243</v>
      </c>
      <c r="D4" s="450" t="s">
        <v>267</v>
      </c>
      <c r="E4" s="452" t="s">
        <v>354</v>
      </c>
      <c r="F4" s="431" t="s">
        <v>358</v>
      </c>
      <c r="G4" s="431"/>
      <c r="H4" s="56"/>
      <c r="I4" s="56"/>
      <c r="J4" s="56"/>
      <c r="K4" s="56"/>
      <c r="L4" s="56"/>
      <c r="M4" s="56"/>
      <c r="N4" s="56"/>
      <c r="O4" s="56"/>
      <c r="P4" s="56"/>
      <c r="Q4" s="316"/>
      <c r="R4" s="308" t="s">
        <v>415</v>
      </c>
      <c r="S4" s="314">
        <f>SUM(T4:AK4)</f>
        <v>1362443</v>
      </c>
      <c r="T4" s="317">
        <f>HLOOKUP($Y$2,Populiacija!$B$1:$BB$20,2,FALSE)</f>
        <v>77450</v>
      </c>
      <c r="U4" s="317">
        <f>HLOOKUP($Y$2,Populiacija!$B$1:$BB$20,3,FALSE)</f>
        <v>69004</v>
      </c>
      <c r="V4" s="317">
        <f>HLOOKUP($Y$2,Populiacija!$B$1:$BB$20,4,FALSE)</f>
        <v>75796</v>
      </c>
      <c r="W4" s="317">
        <f>HLOOKUP($Y$2,Populiacija!$B$1:$BB$20,5,FALSE)</f>
        <v>93604</v>
      </c>
      <c r="X4" s="317">
        <f>HLOOKUP($Y$2,Populiacija!$B$1:$BB$20,6,FALSE)</f>
        <v>110043</v>
      </c>
      <c r="Y4" s="317">
        <f>HLOOKUP($Y$2,Populiacija!$B$1:$BB$20,7,FALSE)</f>
        <v>99495</v>
      </c>
      <c r="Z4" s="317">
        <f>HLOOKUP($Y$2,Populiacija!$B$1:$BB$20,8,FALSE)</f>
        <v>88515</v>
      </c>
      <c r="AA4" s="317">
        <f>HLOOKUP($Y$2,Populiacija!$B$1:$BB$20,9,FALSE)</f>
        <v>91233</v>
      </c>
      <c r="AB4" s="317">
        <f>HLOOKUP($Y$2,Populiacija!$B$1:$BB$20,10,FALSE)</f>
        <v>101097</v>
      </c>
      <c r="AC4" s="317">
        <f>HLOOKUP($Y$2,Populiacija!$B$1:$BB$20,11,FALSE)</f>
        <v>102448</v>
      </c>
      <c r="AD4" s="317">
        <f>HLOOKUP($Y$2,Populiacija!$B$1:$BB$20,12,FALSE)</f>
        <v>110413</v>
      </c>
      <c r="AE4" s="317">
        <f>HLOOKUP($Y$2,Populiacija!$B$1:$BB$20,13,FALSE)</f>
        <v>88386</v>
      </c>
      <c r="AF4" s="317">
        <f>HLOOKUP($Y$2,Populiacija!$B$1:$BB$20,14,FALSE)</f>
        <v>72515</v>
      </c>
      <c r="AG4" s="317">
        <f>HLOOKUP($Y$2,Populiacija!$B$1:$BB$20,15,FALSE)</f>
        <v>53668</v>
      </c>
      <c r="AH4" s="317">
        <f>HLOOKUP($Y$2,Populiacija!$B$1:$BB$20,16,FALSE)</f>
        <v>51266</v>
      </c>
      <c r="AI4" s="317">
        <f>HLOOKUP($Y$2,Populiacija!$B$1:$BB$20,17,FALSE)</f>
        <v>39045</v>
      </c>
      <c r="AJ4" s="317">
        <f>HLOOKUP($Y$2,Populiacija!$B$1:$BB$20,18,FALSE)</f>
        <v>25056</v>
      </c>
      <c r="AK4" s="317">
        <f>HLOOKUP($Y$2,Populiacija!$B$1:$BB$20,19,FALSE)</f>
        <v>13409</v>
      </c>
      <c r="AL4" s="308" t="s">
        <v>415</v>
      </c>
      <c r="AM4" s="314">
        <f>SUM(AN4:BE4)</f>
        <v>1362443</v>
      </c>
      <c r="AN4" s="317">
        <f>HLOOKUP($Y$2,Populiacija!$B$1:$BB$20,2,FALSE)</f>
        <v>77450</v>
      </c>
      <c r="AO4" s="317">
        <f>HLOOKUP($Y$2,Populiacija!$B$1:$BB$20,3,FALSE)</f>
        <v>69004</v>
      </c>
      <c r="AP4" s="317">
        <f>HLOOKUP($Y$2,Populiacija!$B$1:$BB$20,4,FALSE)</f>
        <v>75796</v>
      </c>
      <c r="AQ4" s="317">
        <f>HLOOKUP($Y$2,Populiacija!$B$1:$BB$20,5,FALSE)</f>
        <v>93604</v>
      </c>
      <c r="AR4" s="317">
        <f>HLOOKUP($Y$2,Populiacija!$B$1:$BB$20,6,FALSE)</f>
        <v>110043</v>
      </c>
      <c r="AS4" s="317">
        <f>HLOOKUP($Y$2,Populiacija!$B$1:$BB$20,7,FALSE)</f>
        <v>99495</v>
      </c>
      <c r="AT4" s="317">
        <f>HLOOKUP($Y$2,Populiacija!$B$1:$BB$20,8,FALSE)</f>
        <v>88515</v>
      </c>
      <c r="AU4" s="317">
        <f>HLOOKUP($Y$2,Populiacija!$B$1:$BB$20,9,FALSE)</f>
        <v>91233</v>
      </c>
      <c r="AV4" s="317">
        <f>HLOOKUP($Y$2,Populiacija!$B$1:$BB$20,10,FALSE)</f>
        <v>101097</v>
      </c>
      <c r="AW4" s="317">
        <f>HLOOKUP($Y$2,Populiacija!$B$1:$BB$20,11,FALSE)</f>
        <v>102448</v>
      </c>
      <c r="AX4" s="317">
        <f>HLOOKUP($Y$2,Populiacija!$B$1:$BB$20,12,FALSE)</f>
        <v>110413</v>
      </c>
      <c r="AY4" s="317">
        <f>HLOOKUP($Y$2,Populiacija!$B$1:$BB$20,13,FALSE)</f>
        <v>88386</v>
      </c>
      <c r="AZ4" s="317">
        <f>HLOOKUP($Y$2,Populiacija!$B$1:$BB$20,14,FALSE)</f>
        <v>72515</v>
      </c>
      <c r="BA4" s="317">
        <f>HLOOKUP($Y$2,Populiacija!$B$1:$BB$20,15,FALSE)</f>
        <v>53668</v>
      </c>
      <c r="BB4" s="317">
        <f>HLOOKUP($Y$2,Populiacija!$B$1:$BB$20,16,FALSE)</f>
        <v>51266</v>
      </c>
      <c r="BC4" s="317">
        <f>HLOOKUP($Y$2,Populiacija!$B$1:$BB$20,17,FALSE)</f>
        <v>39045</v>
      </c>
      <c r="BD4" s="317">
        <f>HLOOKUP($Y$2,Populiacija!$B$1:$BB$20,18,FALSE)</f>
        <v>25056</v>
      </c>
      <c r="BE4" s="317">
        <f>HLOOKUP($Y$2,Populiacija!$B$1:$BB$20,19,FALSE)</f>
        <v>13409</v>
      </c>
    </row>
    <row r="5" spans="1:57" ht="12.95" customHeight="1" thickBot="1">
      <c r="A5" s="30"/>
      <c r="B5" s="449"/>
      <c r="C5" s="449"/>
      <c r="D5" s="451"/>
      <c r="E5" s="453"/>
      <c r="F5" s="138" t="s">
        <v>426</v>
      </c>
      <c r="G5" s="138" t="s">
        <v>427</v>
      </c>
      <c r="H5" s="57"/>
      <c r="I5" s="57"/>
      <c r="J5" s="57"/>
      <c r="K5" s="57"/>
      <c r="L5" s="57"/>
      <c r="M5" s="57"/>
      <c r="N5" s="57"/>
      <c r="O5" s="57"/>
      <c r="P5" s="58"/>
      <c r="Q5" s="318"/>
      <c r="R5" s="308" t="s">
        <v>351</v>
      </c>
      <c r="S5" s="309"/>
      <c r="T5" s="319" t="s">
        <v>13</v>
      </c>
      <c r="U5" s="320" t="s">
        <v>11</v>
      </c>
      <c r="V5" s="320" t="s">
        <v>12</v>
      </c>
      <c r="W5" s="319" t="s">
        <v>14</v>
      </c>
      <c r="X5" s="319" t="s">
        <v>15</v>
      </c>
      <c r="Y5" s="319" t="s">
        <v>16</v>
      </c>
      <c r="Z5" s="319" t="s">
        <v>158</v>
      </c>
      <c r="AA5" s="319" t="s">
        <v>17</v>
      </c>
      <c r="AB5" s="319" t="s">
        <v>18</v>
      </c>
      <c r="AC5" s="319" t="s">
        <v>19</v>
      </c>
      <c r="AD5" s="319" t="s">
        <v>20</v>
      </c>
      <c r="AE5" s="319" t="s">
        <v>21</v>
      </c>
      <c r="AF5" s="319" t="s">
        <v>159</v>
      </c>
      <c r="AG5" s="319" t="s">
        <v>160</v>
      </c>
      <c r="AH5" s="319" t="s">
        <v>161</v>
      </c>
      <c r="AI5" s="319" t="s">
        <v>162</v>
      </c>
      <c r="AJ5" s="319" t="s">
        <v>22</v>
      </c>
      <c r="AK5" s="319" t="s">
        <v>23</v>
      </c>
      <c r="AL5" s="308" t="s">
        <v>351</v>
      </c>
      <c r="AM5" s="309"/>
      <c r="AN5" s="319" t="s">
        <v>13</v>
      </c>
      <c r="AO5" s="320" t="s">
        <v>11</v>
      </c>
      <c r="AP5" s="320" t="s">
        <v>12</v>
      </c>
      <c r="AQ5" s="319" t="s">
        <v>14</v>
      </c>
      <c r="AR5" s="319" t="s">
        <v>15</v>
      </c>
      <c r="AS5" s="319" t="s">
        <v>16</v>
      </c>
      <c r="AT5" s="319" t="s">
        <v>158</v>
      </c>
      <c r="AU5" s="319" t="s">
        <v>17</v>
      </c>
      <c r="AV5" s="319" t="s">
        <v>18</v>
      </c>
      <c r="AW5" s="319" t="s">
        <v>19</v>
      </c>
      <c r="AX5" s="319" t="s">
        <v>20</v>
      </c>
      <c r="AY5" s="319" t="s">
        <v>21</v>
      </c>
      <c r="AZ5" s="319" t="s">
        <v>159</v>
      </c>
      <c r="BA5" s="319" t="s">
        <v>160</v>
      </c>
      <c r="BB5" s="319" t="s">
        <v>161</v>
      </c>
      <c r="BC5" s="319" t="s">
        <v>162</v>
      </c>
      <c r="BD5" s="319" t="s">
        <v>22</v>
      </c>
      <c r="BE5" s="319" t="s">
        <v>23</v>
      </c>
    </row>
    <row r="6" spans="1:57" ht="12" customHeight="1" thickTop="1">
      <c r="A6" s="30"/>
      <c r="B6" s="144" t="str">
        <f>UPPER(LEFT(TRIM(Data!B5),1)) &amp; MID(TRIM(Data!B5),2,50)</f>
        <v>Piktybiniai navikai</v>
      </c>
      <c r="C6" s="123" t="str">
        <f>Data!C5</f>
        <v>C00-C96</v>
      </c>
      <c r="D6" s="136">
        <f>Data!E5</f>
        <v>4330</v>
      </c>
      <c r="E6" s="125">
        <f t="shared" ref="E6:E7" si="0">D6/$S$4*100000</f>
        <v>317.81146073633909</v>
      </c>
      <c r="F6" s="126">
        <f t="shared" ref="F6:F7" si="1">S6/$S$3</f>
        <v>267.13322031258485</v>
      </c>
      <c r="G6" s="127">
        <f>AM6/$AM$3</f>
        <v>178.09847041371501</v>
      </c>
      <c r="H6" s="57"/>
      <c r="I6" s="57"/>
      <c r="J6" s="57"/>
      <c r="K6" s="57"/>
      <c r="L6" s="57"/>
      <c r="M6" s="57"/>
      <c r="N6" s="57"/>
      <c r="O6" s="57"/>
      <c r="P6" s="58"/>
      <c r="Q6" s="321"/>
      <c r="R6" s="322" t="s">
        <v>352</v>
      </c>
      <c r="S6" s="314">
        <f t="shared" ref="S6:S47" si="2">SUM(T6:AK6)</f>
        <v>26713322.031258486</v>
      </c>
      <c r="T6" s="314">
        <f>Data!AN5/T$4*100000*T$3</f>
        <v>20658.489347966432</v>
      </c>
      <c r="U6" s="314">
        <f>Data!AO5/U$4*100000*U$3</f>
        <v>0</v>
      </c>
      <c r="V6" s="314">
        <f>Data!AP5/V$4*100000*V$3</f>
        <v>27705.947543405986</v>
      </c>
      <c r="W6" s="314">
        <f>Data!AQ5/W$4*100000*W$3</f>
        <v>22434.938677834278</v>
      </c>
      <c r="X6" s="314">
        <f>Data!AR5/X$4*100000*X$3</f>
        <v>38166.898394264063</v>
      </c>
      <c r="Y6" s="314">
        <f>Data!AS5/Y$4*100000*Y$3</f>
        <v>56284.235388713008</v>
      </c>
      <c r="Z6" s="314">
        <f>Data!AT5/Z$4*100000*Z$3</f>
        <v>71174.377224199285</v>
      </c>
      <c r="AA6" s="314">
        <f>Data!AU5/AA$4*100000*AA$3</f>
        <v>260870.5183431434</v>
      </c>
      <c r="AB6" s="314">
        <f>Data!AV5/AB$4*100000*AB$3</f>
        <v>422366.63798134465</v>
      </c>
      <c r="AC6" s="314">
        <f>Data!AW5/AC$4*100000*AC$3</f>
        <v>860924.56660940195</v>
      </c>
      <c r="AD6" s="314">
        <f>Data!AX5/AD$4*100000*AD$3</f>
        <v>1591298.1261264526</v>
      </c>
      <c r="AE6" s="314">
        <f>Data!AY5/AE$4*100000*AE$3</f>
        <v>2946167.9451496843</v>
      </c>
      <c r="AF6" s="314">
        <f>Data!AZ5/AF$4*100000*AF$3</f>
        <v>3930221.3335172036</v>
      </c>
      <c r="AG6" s="314">
        <f>Data!BA5/AG$4*100000*AG$3</f>
        <v>4114183.4985466194</v>
      </c>
      <c r="AH6" s="314">
        <f>Data!BB5/AH$4*100000*AH$3</f>
        <v>4295244.4115007995</v>
      </c>
      <c r="AI6" s="314">
        <f>Data!BC5/AI$4*100000*AI$3</f>
        <v>3472915.8663081056</v>
      </c>
      <c r="AJ6" s="314">
        <f>Data!BD5/AJ$4*100000*AJ$3</f>
        <v>2099297.5734355045</v>
      </c>
      <c r="AK6" s="314">
        <f>Data!BE5/AK$4*100000*AK$3</f>
        <v>2483406.6671638452</v>
      </c>
      <c r="AL6" s="322" t="s">
        <v>352</v>
      </c>
      <c r="AM6" s="314">
        <f t="shared" ref="AM6:AM47" si="3">SUM(AN6:BE6)</f>
        <v>17809847.041371502</v>
      </c>
      <c r="AN6" s="314">
        <f>Data!AN5/AN$4*100000*AN$3</f>
        <v>30987.734021949644</v>
      </c>
      <c r="AO6" s="314">
        <f>Data!AO5/AO$4*100000*AO$3</f>
        <v>0</v>
      </c>
      <c r="AP6" s="314">
        <f>Data!AP5/AP$4*100000*AP$3</f>
        <v>35621.932555807696</v>
      </c>
      <c r="AQ6" s="314">
        <f>Data!AQ5/AQ$4*100000*AQ$3</f>
        <v>28844.9211572155</v>
      </c>
      <c r="AR6" s="314">
        <f>Data!AR5/AR$4*100000*AR$3</f>
        <v>43619.312450587502</v>
      </c>
      <c r="AS6" s="314">
        <f>Data!AS5/AS$4*100000*AS$3</f>
        <v>64324.840444243433</v>
      </c>
      <c r="AT6" s="314">
        <f>Data!AT5/AT$4*100000*AT$3</f>
        <v>61006.609049313673</v>
      </c>
      <c r="AU6" s="314">
        <f>Data!AU5/AU$4*100000*AU$3</f>
        <v>223603.30143698005</v>
      </c>
      <c r="AV6" s="314">
        <f>Data!AV5/AV$4*100000*AV$3</f>
        <v>362028.54684115254</v>
      </c>
      <c r="AW6" s="314">
        <f>Data!AW5/AW$4*100000*AW$3</f>
        <v>737935.34280805883</v>
      </c>
      <c r="AX6" s="314">
        <f>Data!AX5/AX$4*100000*AX$3</f>
        <v>1136641.5186617519</v>
      </c>
      <c r="AY6" s="314">
        <f>Data!AY5/AY$4*100000*AY$3</f>
        <v>1964111.9634331227</v>
      </c>
      <c r="AZ6" s="314">
        <f>Data!AZ5/AZ$4*100000*AZ$3</f>
        <v>3144177.0668137628</v>
      </c>
      <c r="BA6" s="314">
        <f>Data!BA5/BA$4*100000*BA$3</f>
        <v>3085637.6239099647</v>
      </c>
      <c r="BB6" s="314">
        <f>Data!BB5/BB$4*100000*BB$3</f>
        <v>2863496.2743338663</v>
      </c>
      <c r="BC6" s="314">
        <f>Data!BC5/BC$4*100000*BC$3</f>
        <v>1736457.9331540528</v>
      </c>
      <c r="BD6" s="314">
        <f>Data!BD5/BD$4*100000*BD$3</f>
        <v>1049648.7867177522</v>
      </c>
      <c r="BE6" s="314">
        <f>Data!BE5/BE$4*100000*BE$3</f>
        <v>1241703.3335819226</v>
      </c>
    </row>
    <row r="7" spans="1:57" ht="12" customHeight="1">
      <c r="A7" s="30"/>
      <c r="B7" s="139" t="str">
        <f>UPPER(LEFT(TRIM(Data!B6),1)) &amp; MID(TRIM(Data!B6),2,50)</f>
        <v>Lūpos</v>
      </c>
      <c r="C7" s="139" t="str">
        <f>Data!C6</f>
        <v>C00</v>
      </c>
      <c r="D7" s="140">
        <f>Data!E6</f>
        <v>5</v>
      </c>
      <c r="E7" s="141">
        <f t="shared" si="0"/>
        <v>0.36698782994958323</v>
      </c>
      <c r="F7" s="142">
        <f t="shared" si="1"/>
        <v>0.27143460976852457</v>
      </c>
      <c r="G7" s="142">
        <f t="shared" ref="G7:G8" si="4">AM7/$AM$3</f>
        <v>0.15522341029525594</v>
      </c>
      <c r="H7" s="57"/>
      <c r="I7" s="57"/>
      <c r="J7" s="57"/>
      <c r="K7" s="57"/>
      <c r="L7" s="57"/>
      <c r="M7" s="57"/>
      <c r="N7" s="57"/>
      <c r="O7" s="57"/>
      <c r="P7" s="58"/>
      <c r="Q7" s="321"/>
      <c r="R7" s="322" t="s">
        <v>352</v>
      </c>
      <c r="S7" s="314">
        <f t="shared" si="2"/>
        <v>27143.460976852457</v>
      </c>
      <c r="T7" s="314">
        <f>Data!AN6/T$4*100000*T$3</f>
        <v>0</v>
      </c>
      <c r="U7" s="314">
        <f>Data!AO6/U$4*100000*U$3</f>
        <v>0</v>
      </c>
      <c r="V7" s="314">
        <f>Data!AP6/V$4*100000*V$3</f>
        <v>0</v>
      </c>
      <c r="W7" s="314">
        <f>Data!AQ6/W$4*100000*W$3</f>
        <v>0</v>
      </c>
      <c r="X7" s="314">
        <f>Data!AR6/X$4*100000*X$3</f>
        <v>0</v>
      </c>
      <c r="Y7" s="314">
        <f>Data!AS6/Y$4*100000*Y$3</f>
        <v>0</v>
      </c>
      <c r="Z7" s="314">
        <f>Data!AT6/Z$4*100000*Z$3</f>
        <v>0</v>
      </c>
      <c r="AA7" s="314">
        <f>Data!AU6/AA$4*100000*AA$3</f>
        <v>0</v>
      </c>
      <c r="AB7" s="314">
        <f>Data!AV6/AB$4*100000*AB$3</f>
        <v>0</v>
      </c>
      <c r="AC7" s="314">
        <f>Data!AW6/AC$4*100000*AC$3</f>
        <v>0</v>
      </c>
      <c r="AD7" s="314">
        <f>Data!AX6/AD$4*100000*AD$3</f>
        <v>0</v>
      </c>
      <c r="AE7" s="314">
        <f>Data!AY6/AE$4*100000*AE$3</f>
        <v>0</v>
      </c>
      <c r="AF7" s="314">
        <f>Data!AZ6/AF$4*100000*AF$3</f>
        <v>0</v>
      </c>
      <c r="AG7" s="314">
        <f>Data!BA6/AG$4*100000*AG$3</f>
        <v>0</v>
      </c>
      <c r="AH7" s="314">
        <f>Data!BB6/AH$4*100000*AH$3</f>
        <v>11703.663246596183</v>
      </c>
      <c r="AI7" s="314">
        <f>Data!BC6/AI$4*100000*AI$3</f>
        <v>0</v>
      </c>
      <c r="AJ7" s="314">
        <f>Data!BD6/AJ$4*100000*AJ$3</f>
        <v>7982.1200510855688</v>
      </c>
      <c r="AK7" s="314">
        <f>Data!BE6/AK$4*100000*AK$3</f>
        <v>7457.6776791707061</v>
      </c>
      <c r="AL7" s="322" t="s">
        <v>352</v>
      </c>
      <c r="AM7" s="314">
        <f t="shared" si="3"/>
        <v>15522.341029525593</v>
      </c>
      <c r="AN7" s="314">
        <f>Data!AN6/AN$4*100000*AN$3</f>
        <v>0</v>
      </c>
      <c r="AO7" s="314">
        <f>Data!AO6/AO$4*100000*AO$3</f>
        <v>0</v>
      </c>
      <c r="AP7" s="314">
        <f>Data!AP6/AP$4*100000*AP$3</f>
        <v>0</v>
      </c>
      <c r="AQ7" s="314">
        <f>Data!AQ6/AQ$4*100000*AQ$3</f>
        <v>0</v>
      </c>
      <c r="AR7" s="314">
        <f>Data!AR6/AR$4*100000*AR$3</f>
        <v>0</v>
      </c>
      <c r="AS7" s="314">
        <f>Data!AS6/AS$4*100000*AS$3</f>
        <v>0</v>
      </c>
      <c r="AT7" s="314">
        <f>Data!AT6/AT$4*100000*AT$3</f>
        <v>0</v>
      </c>
      <c r="AU7" s="314">
        <f>Data!AU6/AU$4*100000*AU$3</f>
        <v>0</v>
      </c>
      <c r="AV7" s="314">
        <f>Data!AV6/AV$4*100000*AV$3</f>
        <v>0</v>
      </c>
      <c r="AW7" s="314">
        <f>Data!AW6/AW$4*100000*AW$3</f>
        <v>0</v>
      </c>
      <c r="AX7" s="314">
        <f>Data!AX6/AX$4*100000*AX$3</f>
        <v>0</v>
      </c>
      <c r="AY7" s="314">
        <f>Data!AY6/AY$4*100000*AY$3</f>
        <v>0</v>
      </c>
      <c r="AZ7" s="314">
        <f>Data!AZ6/AZ$4*100000*AZ$3</f>
        <v>0</v>
      </c>
      <c r="BA7" s="314">
        <f>Data!BA6/BA$4*100000*BA$3</f>
        <v>0</v>
      </c>
      <c r="BB7" s="314">
        <f>Data!BB6/BB$4*100000*BB$3</f>
        <v>7802.4421643974556</v>
      </c>
      <c r="BC7" s="314">
        <f>Data!BC6/BC$4*100000*BC$3</f>
        <v>0</v>
      </c>
      <c r="BD7" s="314">
        <f>Data!BD6/BD$4*100000*BD$3</f>
        <v>3991.0600255427844</v>
      </c>
      <c r="BE7" s="314">
        <f>Data!BE6/BE$4*100000*BE$3</f>
        <v>3728.8388395853531</v>
      </c>
    </row>
    <row r="8" spans="1:57" ht="12" customHeight="1">
      <c r="A8" s="30"/>
      <c r="B8" s="144" t="str">
        <f>UPPER(LEFT(TRIM(Data!B7),1)) &amp; MID(TRIM(Data!B7),2,50)</f>
        <v>Burnos ertmės ir ryklės</v>
      </c>
      <c r="C8" s="123" t="str">
        <f>Data!C7</f>
        <v>C01-C14</v>
      </c>
      <c r="D8" s="136">
        <f>Data!E7</f>
        <v>209</v>
      </c>
      <c r="E8" s="125">
        <f t="shared" ref="E8:E47" si="5">D8/$S$4*100000</f>
        <v>15.340091291892577</v>
      </c>
      <c r="F8" s="126">
        <f t="shared" ref="F8:F47" si="6">S8/$S$3</f>
        <v>13.904800241253167</v>
      </c>
      <c r="G8" s="127">
        <f t="shared" si="4"/>
        <v>9.9943432319258463</v>
      </c>
      <c r="H8" s="57"/>
      <c r="I8" s="57"/>
      <c r="J8" s="57"/>
      <c r="K8" s="57"/>
      <c r="L8" s="57"/>
      <c r="M8" s="57"/>
      <c r="N8" s="57"/>
      <c r="O8" s="57"/>
      <c r="P8" s="58"/>
      <c r="Q8" s="307"/>
      <c r="R8" s="322" t="s">
        <v>352</v>
      </c>
      <c r="S8" s="314">
        <f t="shared" si="2"/>
        <v>1390480.0241253166</v>
      </c>
      <c r="T8" s="314">
        <f>Data!AN7/T$4*100000*T$3</f>
        <v>0</v>
      </c>
      <c r="U8" s="314">
        <f>Data!AO7/U$4*100000*U$3</f>
        <v>0</v>
      </c>
      <c r="V8" s="314">
        <f>Data!AP7/V$4*100000*V$3</f>
        <v>0</v>
      </c>
      <c r="W8" s="314">
        <f>Data!AQ7/W$4*100000*W$3</f>
        <v>0</v>
      </c>
      <c r="X8" s="314">
        <f>Data!AR7/X$4*100000*X$3</f>
        <v>0</v>
      </c>
      <c r="Y8" s="314">
        <f>Data!AS7/Y$4*100000*Y$3</f>
        <v>0</v>
      </c>
      <c r="Z8" s="314">
        <f>Data!AT7/Z$4*100000*Z$3</f>
        <v>0</v>
      </c>
      <c r="AA8" s="314">
        <f>Data!AU7/AA$4*100000*AA$3</f>
        <v>38363.311521050498</v>
      </c>
      <c r="AB8" s="314">
        <f>Data!AV7/AB$4*100000*AB$3</f>
        <v>34620.216227979072</v>
      </c>
      <c r="AC8" s="314">
        <f>Data!AW7/AC$4*100000*AC$3</f>
        <v>61494.611900671553</v>
      </c>
      <c r="AD8" s="314">
        <f>Data!AX7/AD$4*100000*AD$3</f>
        <v>158495.82929546339</v>
      </c>
      <c r="AE8" s="314">
        <f>Data!AY7/AE$4*100000*AE$3</f>
        <v>298689.83775711089</v>
      </c>
      <c r="AF8" s="314">
        <f>Data!AZ7/AF$4*100000*AF$3</f>
        <v>317175.75673998485</v>
      </c>
      <c r="AG8" s="314">
        <f>Data!BA7/AG$4*100000*AG$3</f>
        <v>231050.16024446595</v>
      </c>
      <c r="AH8" s="314">
        <f>Data!BB7/AH$4*100000*AH$3</f>
        <v>117036.63246596184</v>
      </c>
      <c r="AI8" s="314">
        <f>Data!BC7/AI$4*100000*AI$3</f>
        <v>76834.421820975811</v>
      </c>
      <c r="AJ8" s="314">
        <f>Data!BD7/AJ$4*100000*AJ$3</f>
        <v>11973.180076628352</v>
      </c>
      <c r="AK8" s="314">
        <f>Data!BE7/AK$4*100000*AK$3</f>
        <v>44746.066075024239</v>
      </c>
      <c r="AL8" s="322" t="s">
        <v>352</v>
      </c>
      <c r="AM8" s="314">
        <f t="shared" si="3"/>
        <v>999434.32319258456</v>
      </c>
      <c r="AN8" s="314">
        <f>Data!AN7/AN$4*100000*AN$3</f>
        <v>0</v>
      </c>
      <c r="AO8" s="314">
        <f>Data!AO7/AO$4*100000*AO$3</f>
        <v>0</v>
      </c>
      <c r="AP8" s="314">
        <f>Data!AP7/AP$4*100000*AP$3</f>
        <v>0</v>
      </c>
      <c r="AQ8" s="314">
        <f>Data!AQ7/AQ$4*100000*AQ$3</f>
        <v>0</v>
      </c>
      <c r="AR8" s="314">
        <f>Data!AR7/AR$4*100000*AR$3</f>
        <v>0</v>
      </c>
      <c r="AS8" s="314">
        <f>Data!AS7/AS$4*100000*AS$3</f>
        <v>0</v>
      </c>
      <c r="AT8" s="314">
        <f>Data!AT7/AT$4*100000*AT$3</f>
        <v>0</v>
      </c>
      <c r="AU8" s="314">
        <f>Data!AU7/AU$4*100000*AU$3</f>
        <v>32882.838446614711</v>
      </c>
      <c r="AV8" s="314">
        <f>Data!AV7/AV$4*100000*AV$3</f>
        <v>29674.471052553487</v>
      </c>
      <c r="AW8" s="314">
        <f>Data!AW7/AW$4*100000*AW$3</f>
        <v>52709.66734343276</v>
      </c>
      <c r="AX8" s="314">
        <f>Data!AX7/AX$4*100000*AX$3</f>
        <v>113211.30663961671</v>
      </c>
      <c r="AY8" s="314">
        <f>Data!AY7/AY$4*100000*AY$3</f>
        <v>199126.55850474059</v>
      </c>
      <c r="AZ8" s="314">
        <f>Data!AZ7/AZ$4*100000*AZ$3</f>
        <v>253740.60539198789</v>
      </c>
      <c r="BA8" s="314">
        <f>Data!BA7/BA$4*100000*BA$3</f>
        <v>173287.62018334947</v>
      </c>
      <c r="BB8" s="314">
        <f>Data!BB7/BB$4*100000*BB$3</f>
        <v>78024.421643974565</v>
      </c>
      <c r="BC8" s="314">
        <f>Data!BC7/BC$4*100000*BC$3</f>
        <v>38417.210910487905</v>
      </c>
      <c r="BD8" s="314">
        <f>Data!BD7/BD$4*100000*BD$3</f>
        <v>5986.5900383141761</v>
      </c>
      <c r="BE8" s="314">
        <f>Data!BE7/BE$4*100000*BE$3</f>
        <v>22373.033037512119</v>
      </c>
    </row>
    <row r="9" spans="1:57" ht="12" customHeight="1">
      <c r="A9" s="30"/>
      <c r="B9" s="139" t="str">
        <f>UPPER(LEFT(TRIM(Data!B8),1)) &amp; MID(TRIM(Data!B8),2,50)</f>
        <v>Stemplės</v>
      </c>
      <c r="C9" s="139" t="str">
        <f>Data!C8</f>
        <v>C15</v>
      </c>
      <c r="D9" s="140">
        <f>Data!E8</f>
        <v>156</v>
      </c>
      <c r="E9" s="141">
        <f t="shared" si="5"/>
        <v>11.450020294426997</v>
      </c>
      <c r="F9" s="142">
        <f t="shared" si="6"/>
        <v>10.15227795260347</v>
      </c>
      <c r="G9" s="142">
        <f t="shared" ref="G9:G47" si="7">AM9/$AM$3</f>
        <v>7.1500326829503376</v>
      </c>
      <c r="H9" s="57"/>
      <c r="I9" s="57"/>
      <c r="J9" s="57"/>
      <c r="K9" s="57"/>
      <c r="L9" s="57"/>
      <c r="M9" s="57"/>
      <c r="N9" s="57"/>
      <c r="O9" s="57"/>
      <c r="P9" s="58"/>
      <c r="Q9" s="307"/>
      <c r="R9" s="322" t="s">
        <v>352</v>
      </c>
      <c r="S9" s="314">
        <f t="shared" si="2"/>
        <v>1015227.795260347</v>
      </c>
      <c r="T9" s="314">
        <f>Data!AN8/T$4*100000*T$3</f>
        <v>0</v>
      </c>
      <c r="U9" s="314">
        <f>Data!AO8/U$4*100000*U$3</f>
        <v>0</v>
      </c>
      <c r="V9" s="314">
        <f>Data!AP8/V$4*100000*V$3</f>
        <v>0</v>
      </c>
      <c r="W9" s="314">
        <f>Data!AQ8/W$4*100000*W$3</f>
        <v>0</v>
      </c>
      <c r="X9" s="314">
        <f>Data!AR8/X$4*100000*X$3</f>
        <v>0</v>
      </c>
      <c r="Y9" s="314">
        <f>Data!AS8/Y$4*100000*Y$3</f>
        <v>0</v>
      </c>
      <c r="Z9" s="314">
        <f>Data!AT8/Z$4*100000*Z$3</f>
        <v>0</v>
      </c>
      <c r="AA9" s="314">
        <f>Data!AU8/AA$4*100000*AA$3</f>
        <v>15345.3246084202</v>
      </c>
      <c r="AB9" s="314">
        <f>Data!AV8/AB$4*100000*AB$3</f>
        <v>13848.086491191629</v>
      </c>
      <c r="AC9" s="314">
        <f>Data!AW8/AC$4*100000*AC$3</f>
        <v>61494.611900671553</v>
      </c>
      <c r="AD9" s="314">
        <f>Data!AX8/AD$4*100000*AD$3</f>
        <v>95097.497577278045</v>
      </c>
      <c r="AE9" s="314">
        <f>Data!AY8/AE$4*100000*AE$3</f>
        <v>217228.97291426244</v>
      </c>
      <c r="AF9" s="314">
        <f>Data!AZ8/AF$4*100000*AF$3</f>
        <v>193063.50410259949</v>
      </c>
      <c r="AG9" s="314">
        <f>Data!BA8/AG$4*100000*AG$3</f>
        <v>163971.0814638146</v>
      </c>
      <c r="AH9" s="314">
        <f>Data!BB8/AH$4*100000*AH$3</f>
        <v>117036.63246596184</v>
      </c>
      <c r="AI9" s="314">
        <f>Data!BC8/AI$4*100000*AI$3</f>
        <v>61467.537456780643</v>
      </c>
      <c r="AJ9" s="314">
        <f>Data!BD8/AJ$4*100000*AJ$3</f>
        <v>31928.480204342275</v>
      </c>
      <c r="AK9" s="314">
        <f>Data!BE8/AK$4*100000*AK$3</f>
        <v>44746.066075024239</v>
      </c>
      <c r="AL9" s="322" t="s">
        <v>352</v>
      </c>
      <c r="AM9" s="314">
        <f t="shared" si="3"/>
        <v>715003.26829503372</v>
      </c>
      <c r="AN9" s="314">
        <f>Data!AN8/AN$4*100000*AN$3</f>
        <v>0</v>
      </c>
      <c r="AO9" s="314">
        <f>Data!AO8/AO$4*100000*AO$3</f>
        <v>0</v>
      </c>
      <c r="AP9" s="314">
        <f>Data!AP8/AP$4*100000*AP$3</f>
        <v>0</v>
      </c>
      <c r="AQ9" s="314">
        <f>Data!AQ8/AQ$4*100000*AQ$3</f>
        <v>0</v>
      </c>
      <c r="AR9" s="314">
        <f>Data!AR8/AR$4*100000*AR$3</f>
        <v>0</v>
      </c>
      <c r="AS9" s="314">
        <f>Data!AS8/AS$4*100000*AS$3</f>
        <v>0</v>
      </c>
      <c r="AT9" s="314">
        <f>Data!AT8/AT$4*100000*AT$3</f>
        <v>0</v>
      </c>
      <c r="AU9" s="314">
        <f>Data!AU8/AU$4*100000*AU$3</f>
        <v>13153.135378645886</v>
      </c>
      <c r="AV9" s="314">
        <f>Data!AV8/AV$4*100000*AV$3</f>
        <v>11869.788421021396</v>
      </c>
      <c r="AW9" s="314">
        <f>Data!AW8/AW$4*100000*AW$3</f>
        <v>52709.66734343276</v>
      </c>
      <c r="AX9" s="314">
        <f>Data!AX8/AX$4*100000*AX$3</f>
        <v>67926.78398377003</v>
      </c>
      <c r="AY9" s="314">
        <f>Data!AY8/AY$4*100000*AY$3</f>
        <v>144819.31527617495</v>
      </c>
      <c r="AZ9" s="314">
        <f>Data!AZ8/AZ$4*100000*AZ$3</f>
        <v>154450.80328207958</v>
      </c>
      <c r="BA9" s="314">
        <f>Data!BA8/BA$4*100000*BA$3</f>
        <v>122978.31109786093</v>
      </c>
      <c r="BB9" s="314">
        <f>Data!BB8/BB$4*100000*BB$3</f>
        <v>78024.421643974565</v>
      </c>
      <c r="BC9" s="314">
        <f>Data!BC8/BC$4*100000*BC$3</f>
        <v>30733.768728390321</v>
      </c>
      <c r="BD9" s="314">
        <f>Data!BD8/BD$4*100000*BD$3</f>
        <v>15964.240102171138</v>
      </c>
      <c r="BE9" s="314">
        <f>Data!BE8/BE$4*100000*BE$3</f>
        <v>22373.033037512119</v>
      </c>
    </row>
    <row r="10" spans="1:57" ht="12" customHeight="1">
      <c r="A10" s="30"/>
      <c r="B10" s="144" t="str">
        <f>UPPER(LEFT(TRIM(Data!B9),1)) &amp; MID(TRIM(Data!B9),2,50)</f>
        <v>Skrandžio</v>
      </c>
      <c r="C10" s="123" t="str">
        <f>Data!C9</f>
        <v>C16</v>
      </c>
      <c r="D10" s="136">
        <f>Data!E9</f>
        <v>396</v>
      </c>
      <c r="E10" s="125">
        <f t="shared" si="5"/>
        <v>29.06543613200699</v>
      </c>
      <c r="F10" s="126">
        <f t="shared" si="6"/>
        <v>24.535275475009438</v>
      </c>
      <c r="G10" s="127">
        <f t="shared" si="7"/>
        <v>16.553074729152105</v>
      </c>
      <c r="H10" s="57"/>
      <c r="I10" s="57"/>
      <c r="J10" s="57"/>
      <c r="K10" s="57"/>
      <c r="L10" s="57"/>
      <c r="M10" s="57"/>
      <c r="N10" s="57"/>
      <c r="O10" s="57"/>
      <c r="P10" s="58"/>
      <c r="Q10" s="307"/>
      <c r="R10" s="322" t="s">
        <v>352</v>
      </c>
      <c r="S10" s="314">
        <f t="shared" si="2"/>
        <v>2453527.5475009438</v>
      </c>
      <c r="T10" s="314">
        <f>Data!AN9/T$4*100000*T$3</f>
        <v>0</v>
      </c>
      <c r="U10" s="314">
        <f>Data!AO9/U$4*100000*U$3</f>
        <v>0</v>
      </c>
      <c r="V10" s="314">
        <f>Data!AP9/V$4*100000*V$3</f>
        <v>0</v>
      </c>
      <c r="W10" s="314">
        <f>Data!AQ9/W$4*100000*W$3</f>
        <v>0</v>
      </c>
      <c r="X10" s="314">
        <f>Data!AR9/X$4*100000*X$3</f>
        <v>6361.1497323773438</v>
      </c>
      <c r="Y10" s="314">
        <f>Data!AS9/Y$4*100000*Y$3</f>
        <v>7035.5294235891261</v>
      </c>
      <c r="Z10" s="314">
        <f>Data!AT9/Z$4*100000*Z$3</f>
        <v>7908.2641360221432</v>
      </c>
      <c r="AA10" s="314">
        <f>Data!AU9/AA$4*100000*AA$3</f>
        <v>46035.973825260589</v>
      </c>
      <c r="AB10" s="314">
        <f>Data!AV9/AB$4*100000*AB$3</f>
        <v>83088.518947149772</v>
      </c>
      <c r="AC10" s="314">
        <f>Data!AW9/AC$4*100000*AC$3</f>
        <v>109323.75449008278</v>
      </c>
      <c r="AD10" s="314">
        <f>Data!AX9/AD$4*100000*AD$3</f>
        <v>202874.66149819316</v>
      </c>
      <c r="AE10" s="314">
        <f>Data!AY9/AE$4*100000*AE$3</f>
        <v>190075.35129997964</v>
      </c>
      <c r="AF10" s="314">
        <f>Data!AZ9/AF$4*100000*AF$3</f>
        <v>324070.88188650628</v>
      </c>
      <c r="AG10" s="314">
        <f>Data!BA9/AG$4*100000*AG$3</f>
        <v>365208.31780576881</v>
      </c>
      <c r="AH10" s="314">
        <f>Data!BB9/AH$4*100000*AH$3</f>
        <v>409628.21363086643</v>
      </c>
      <c r="AI10" s="314">
        <f>Data!BC9/AI$4*100000*AI$3</f>
        <v>225380.97067486233</v>
      </c>
      <c r="AJ10" s="314">
        <f>Data!BD9/AJ$4*100000*AJ$3</f>
        <v>215517.24137931035</v>
      </c>
      <c r="AK10" s="314">
        <f>Data!BE9/AK$4*100000*AK$3</f>
        <v>261018.71877097472</v>
      </c>
      <c r="AL10" s="322" t="s">
        <v>352</v>
      </c>
      <c r="AM10" s="314">
        <f t="shared" si="3"/>
        <v>1655307.4729152105</v>
      </c>
      <c r="AN10" s="314">
        <f>Data!AN9/AN$4*100000*AN$3</f>
        <v>0</v>
      </c>
      <c r="AO10" s="314">
        <f>Data!AO9/AO$4*100000*AO$3</f>
        <v>0</v>
      </c>
      <c r="AP10" s="314">
        <f>Data!AP9/AP$4*100000*AP$3</f>
        <v>0</v>
      </c>
      <c r="AQ10" s="314">
        <f>Data!AQ9/AQ$4*100000*AQ$3</f>
        <v>0</v>
      </c>
      <c r="AR10" s="314">
        <f>Data!AR9/AR$4*100000*AR$3</f>
        <v>7269.8854084312497</v>
      </c>
      <c r="AS10" s="314">
        <f>Data!AS9/AS$4*100000*AS$3</f>
        <v>8040.6050555304291</v>
      </c>
      <c r="AT10" s="314">
        <f>Data!AT9/AT$4*100000*AT$3</f>
        <v>6778.5121165904084</v>
      </c>
      <c r="AU10" s="314">
        <f>Data!AU9/AU$4*100000*AU$3</f>
        <v>39459.40613593765</v>
      </c>
      <c r="AV10" s="314">
        <f>Data!AV9/AV$4*100000*AV$3</f>
        <v>71218.730526128376</v>
      </c>
      <c r="AW10" s="314">
        <f>Data!AW9/AW$4*100000*AW$3</f>
        <v>93706.075277213808</v>
      </c>
      <c r="AX10" s="314">
        <f>Data!AX9/AX$4*100000*AX$3</f>
        <v>144910.47249870939</v>
      </c>
      <c r="AY10" s="314">
        <f>Data!AY9/AY$4*100000*AY$3</f>
        <v>126716.90086665309</v>
      </c>
      <c r="AZ10" s="314">
        <f>Data!AZ9/AZ$4*100000*AZ$3</f>
        <v>259256.705509205</v>
      </c>
      <c r="BA10" s="314">
        <f>Data!BA9/BA$4*100000*BA$3</f>
        <v>273906.23835432658</v>
      </c>
      <c r="BB10" s="314">
        <f>Data!BB9/BB$4*100000*BB$3</f>
        <v>273085.47575391096</v>
      </c>
      <c r="BC10" s="314">
        <f>Data!BC9/BC$4*100000*BC$3</f>
        <v>112690.48533743116</v>
      </c>
      <c r="BD10" s="314">
        <f>Data!BD9/BD$4*100000*BD$3</f>
        <v>107758.62068965517</v>
      </c>
      <c r="BE10" s="314">
        <f>Data!BE9/BE$4*100000*BE$3</f>
        <v>130509.35938548736</v>
      </c>
    </row>
    <row r="11" spans="1:57" ht="12" customHeight="1">
      <c r="A11" s="30"/>
      <c r="B11" s="139" t="str">
        <f>UPPER(LEFT(TRIM(Data!B10),1)) &amp; MID(TRIM(Data!B10),2,50)</f>
        <v>Gaubtinės žarnos</v>
      </c>
      <c r="C11" s="139" t="str">
        <f>Data!C10</f>
        <v>C18</v>
      </c>
      <c r="D11" s="140">
        <f>Data!E10</f>
        <v>250</v>
      </c>
      <c r="E11" s="141">
        <f t="shared" si="5"/>
        <v>18.349391497479161</v>
      </c>
      <c r="F11" s="142">
        <f t="shared" si="6"/>
        <v>14.956688879965716</v>
      </c>
      <c r="G11" s="142">
        <f t="shared" si="7"/>
        <v>9.4662150250175383</v>
      </c>
      <c r="H11" s="57"/>
      <c r="I11" s="57"/>
      <c r="J11" s="57"/>
      <c r="K11" s="57"/>
      <c r="L11" s="57"/>
      <c r="M11" s="57"/>
      <c r="N11" s="57"/>
      <c r="O11" s="57"/>
      <c r="P11" s="58"/>
      <c r="Q11" s="307"/>
      <c r="R11" s="322" t="s">
        <v>352</v>
      </c>
      <c r="S11" s="314">
        <f t="shared" si="2"/>
        <v>1495668.8879965716</v>
      </c>
      <c r="T11" s="314">
        <f>Data!AN10/T$4*100000*T$3</f>
        <v>0</v>
      </c>
      <c r="U11" s="314">
        <f>Data!AO10/U$4*100000*U$3</f>
        <v>0</v>
      </c>
      <c r="V11" s="314">
        <f>Data!AP10/V$4*100000*V$3</f>
        <v>0</v>
      </c>
      <c r="W11" s="314">
        <f>Data!AQ10/W$4*100000*W$3</f>
        <v>0</v>
      </c>
      <c r="X11" s="314">
        <f>Data!AR10/X$4*100000*X$3</f>
        <v>0</v>
      </c>
      <c r="Y11" s="314">
        <f>Data!AS10/Y$4*100000*Y$3</f>
        <v>0</v>
      </c>
      <c r="Z11" s="314">
        <f>Data!AT10/Z$4*100000*Z$3</f>
        <v>7908.2641360221432</v>
      </c>
      <c r="AA11" s="314">
        <f>Data!AU10/AA$4*100000*AA$3</f>
        <v>0</v>
      </c>
      <c r="AB11" s="314">
        <f>Data!AV10/AB$4*100000*AB$3</f>
        <v>6924.0432455958144</v>
      </c>
      <c r="AC11" s="314">
        <f>Data!AW10/AC$4*100000*AC$3</f>
        <v>20498.20396689052</v>
      </c>
      <c r="AD11" s="314">
        <f>Data!AX10/AD$4*100000*AD$3</f>
        <v>44378.832202729754</v>
      </c>
      <c r="AE11" s="314">
        <f>Data!AY10/AE$4*100000*AE$3</f>
        <v>101826.08105356054</v>
      </c>
      <c r="AF11" s="314">
        <f>Data!AZ10/AF$4*100000*AF$3</f>
        <v>199958.62924912089</v>
      </c>
      <c r="AG11" s="314">
        <f>Data!BA10/AG$4*100000*AG$3</f>
        <v>231050.16024446595</v>
      </c>
      <c r="AH11" s="314">
        <f>Data!BB10/AH$4*100000*AH$3</f>
        <v>251628.75980181794</v>
      </c>
      <c r="AI11" s="314">
        <f>Data!BC10/AI$4*100000*AI$3</f>
        <v>235625.56025099245</v>
      </c>
      <c r="AJ11" s="314">
        <f>Data!BD10/AJ$4*100000*AJ$3</f>
        <v>179597.70114942529</v>
      </c>
      <c r="AK11" s="314">
        <f>Data!BE10/AK$4*100000*AK$3</f>
        <v>216272.65269595047</v>
      </c>
      <c r="AL11" s="322" t="s">
        <v>352</v>
      </c>
      <c r="AM11" s="314">
        <f t="shared" si="3"/>
        <v>946621.50250175386</v>
      </c>
      <c r="AN11" s="314">
        <f>Data!AN10/AN$4*100000*AN$3</f>
        <v>0</v>
      </c>
      <c r="AO11" s="314">
        <f>Data!AO10/AO$4*100000*AO$3</f>
        <v>0</v>
      </c>
      <c r="AP11" s="314">
        <f>Data!AP10/AP$4*100000*AP$3</f>
        <v>0</v>
      </c>
      <c r="AQ11" s="314">
        <f>Data!AQ10/AQ$4*100000*AQ$3</f>
        <v>0</v>
      </c>
      <c r="AR11" s="314">
        <f>Data!AR10/AR$4*100000*AR$3</f>
        <v>0</v>
      </c>
      <c r="AS11" s="314">
        <f>Data!AS10/AS$4*100000*AS$3</f>
        <v>0</v>
      </c>
      <c r="AT11" s="314">
        <f>Data!AT10/AT$4*100000*AT$3</f>
        <v>6778.5121165904084</v>
      </c>
      <c r="AU11" s="314">
        <f>Data!AU10/AU$4*100000*AU$3</f>
        <v>0</v>
      </c>
      <c r="AV11" s="314">
        <f>Data!AV10/AV$4*100000*AV$3</f>
        <v>5934.894210510698</v>
      </c>
      <c r="AW11" s="314">
        <f>Data!AW10/AW$4*100000*AW$3</f>
        <v>17569.889114477592</v>
      </c>
      <c r="AX11" s="314">
        <f>Data!AX10/AX$4*100000*AX$3</f>
        <v>31699.165859092678</v>
      </c>
      <c r="AY11" s="314">
        <f>Data!AY10/AY$4*100000*AY$3</f>
        <v>67884.054035707028</v>
      </c>
      <c r="AZ11" s="314">
        <f>Data!AZ10/AZ$4*100000*AZ$3</f>
        <v>159966.90339929672</v>
      </c>
      <c r="BA11" s="314">
        <f>Data!BA10/BA$4*100000*BA$3</f>
        <v>173287.62018334947</v>
      </c>
      <c r="BB11" s="314">
        <f>Data!BB10/BB$4*100000*BB$3</f>
        <v>167752.5065345453</v>
      </c>
      <c r="BC11" s="314">
        <f>Data!BC10/BC$4*100000*BC$3</f>
        <v>117812.78012549623</v>
      </c>
      <c r="BD11" s="314">
        <f>Data!BD10/BD$4*100000*BD$3</f>
        <v>89798.850574712647</v>
      </c>
      <c r="BE11" s="314">
        <f>Data!BE10/BE$4*100000*BE$3</f>
        <v>108136.32634797523</v>
      </c>
    </row>
    <row r="12" spans="1:57" ht="12" customHeight="1">
      <c r="A12" s="30"/>
      <c r="B12" s="144" t="str">
        <f>UPPER(LEFT(TRIM(Data!B11),1)) &amp; MID(TRIM(Data!B11),2,50)</f>
        <v>Tiesiosios žarnos, išangės</v>
      </c>
      <c r="C12" s="123" t="str">
        <f>Data!C11</f>
        <v>C19-C21</v>
      </c>
      <c r="D12" s="136">
        <f>Data!E11</f>
        <v>226</v>
      </c>
      <c r="E12" s="125">
        <f t="shared" si="5"/>
        <v>16.587849913721161</v>
      </c>
      <c r="F12" s="126">
        <f t="shared" si="6"/>
        <v>13.828141542573976</v>
      </c>
      <c r="G12" s="127">
        <f t="shared" si="7"/>
        <v>8.70651276768948</v>
      </c>
      <c r="H12" s="57"/>
      <c r="I12" s="57"/>
      <c r="J12" s="57"/>
      <c r="K12" s="57"/>
      <c r="L12" s="57"/>
      <c r="M12" s="57"/>
      <c r="N12" s="57"/>
      <c r="O12" s="57"/>
      <c r="P12" s="58"/>
      <c r="Q12" s="307"/>
      <c r="R12" s="322" t="s">
        <v>352</v>
      </c>
      <c r="S12" s="314">
        <f t="shared" si="2"/>
        <v>1382814.1542573976</v>
      </c>
      <c r="T12" s="314">
        <f>Data!AN11/T$4*100000*T$3</f>
        <v>0</v>
      </c>
      <c r="U12" s="314">
        <f>Data!AO11/U$4*100000*U$3</f>
        <v>0</v>
      </c>
      <c r="V12" s="314">
        <f>Data!AP11/V$4*100000*V$3</f>
        <v>0</v>
      </c>
      <c r="W12" s="314">
        <f>Data!AQ11/W$4*100000*W$3</f>
        <v>0</v>
      </c>
      <c r="X12" s="314">
        <f>Data!AR11/X$4*100000*X$3</f>
        <v>0</v>
      </c>
      <c r="Y12" s="314">
        <f>Data!AS11/Y$4*100000*Y$3</f>
        <v>7035.5294235891261</v>
      </c>
      <c r="Z12" s="314">
        <f>Data!AT11/Z$4*100000*Z$3</f>
        <v>0</v>
      </c>
      <c r="AA12" s="314">
        <f>Data!AU11/AA$4*100000*AA$3</f>
        <v>7672.6623042101</v>
      </c>
      <c r="AB12" s="314">
        <f>Data!AV11/AB$4*100000*AB$3</f>
        <v>13848.086491191629</v>
      </c>
      <c r="AC12" s="314">
        <f>Data!AW11/AC$4*100000*AC$3</f>
        <v>27330.938622520694</v>
      </c>
      <c r="AD12" s="314">
        <f>Data!AX11/AD$4*100000*AD$3</f>
        <v>38038.999030911211</v>
      </c>
      <c r="AE12" s="314">
        <f>Data!AY11/AE$4*100000*AE$3</f>
        <v>156133.32428212612</v>
      </c>
      <c r="AF12" s="314">
        <f>Data!AZ11/AF$4*100000*AF$3</f>
        <v>103426.87719782114</v>
      </c>
      <c r="AG12" s="314">
        <f>Data!BA11/AG$4*100000*AG$3</f>
        <v>216143.69829321012</v>
      </c>
      <c r="AH12" s="314">
        <f>Data!BB11/AH$4*100000*AH$3</f>
        <v>228221.43330862559</v>
      </c>
      <c r="AI12" s="314">
        <f>Data!BC11/AI$4*100000*AI$3</f>
        <v>215136.38109873224</v>
      </c>
      <c r="AJ12" s="314">
        <f>Data!BD11/AJ$4*100000*AJ$3</f>
        <v>123722.86079182632</v>
      </c>
      <c r="AK12" s="314">
        <f>Data!BE11/AK$4*100000*AK$3</f>
        <v>246103.36341263331</v>
      </c>
      <c r="AL12" s="322" t="s">
        <v>352</v>
      </c>
      <c r="AM12" s="314">
        <f t="shared" si="3"/>
        <v>870651.27676894795</v>
      </c>
      <c r="AN12" s="314">
        <f>Data!AN11/AN$4*100000*AN$3</f>
        <v>0</v>
      </c>
      <c r="AO12" s="314">
        <f>Data!AO11/AO$4*100000*AO$3</f>
        <v>0</v>
      </c>
      <c r="AP12" s="314">
        <f>Data!AP11/AP$4*100000*AP$3</f>
        <v>0</v>
      </c>
      <c r="AQ12" s="314">
        <f>Data!AQ11/AQ$4*100000*AQ$3</f>
        <v>0</v>
      </c>
      <c r="AR12" s="314">
        <f>Data!AR11/AR$4*100000*AR$3</f>
        <v>0</v>
      </c>
      <c r="AS12" s="314">
        <f>Data!AS11/AS$4*100000*AS$3</f>
        <v>8040.6050555304291</v>
      </c>
      <c r="AT12" s="314">
        <f>Data!AT11/AT$4*100000*AT$3</f>
        <v>0</v>
      </c>
      <c r="AU12" s="314">
        <f>Data!AU11/AU$4*100000*AU$3</f>
        <v>6576.5676893229429</v>
      </c>
      <c r="AV12" s="314">
        <f>Data!AV11/AV$4*100000*AV$3</f>
        <v>11869.788421021396</v>
      </c>
      <c r="AW12" s="314">
        <f>Data!AW11/AW$4*100000*AW$3</f>
        <v>23426.518819303452</v>
      </c>
      <c r="AX12" s="314">
        <f>Data!AX11/AX$4*100000*AX$3</f>
        <v>27170.713593508008</v>
      </c>
      <c r="AY12" s="314">
        <f>Data!AY11/AY$4*100000*AY$3</f>
        <v>104088.88285475074</v>
      </c>
      <c r="AZ12" s="314">
        <f>Data!AZ11/AZ$4*100000*AZ$3</f>
        <v>82741.501758256913</v>
      </c>
      <c r="BA12" s="314">
        <f>Data!BA11/BA$4*100000*BA$3</f>
        <v>162107.77371990759</v>
      </c>
      <c r="BB12" s="314">
        <f>Data!BB11/BB$4*100000*BB$3</f>
        <v>152147.62220575041</v>
      </c>
      <c r="BC12" s="314">
        <f>Data!BC11/BC$4*100000*BC$3</f>
        <v>107568.19054936612</v>
      </c>
      <c r="BD12" s="314">
        <f>Data!BD11/BD$4*100000*BD$3</f>
        <v>61861.430395913158</v>
      </c>
      <c r="BE12" s="314">
        <f>Data!BE11/BE$4*100000*BE$3</f>
        <v>123051.68170631665</v>
      </c>
    </row>
    <row r="13" spans="1:57" ht="12" customHeight="1">
      <c r="A13" s="30"/>
      <c r="B13" s="139" t="str">
        <f>UPPER(LEFT(TRIM(Data!B12),1)) &amp; MID(TRIM(Data!B12),2,50)</f>
        <v>Kepenų</v>
      </c>
      <c r="C13" s="139" t="str">
        <f>Data!C12</f>
        <v>C22</v>
      </c>
      <c r="D13" s="140">
        <f>Data!E12</f>
        <v>99</v>
      </c>
      <c r="E13" s="141">
        <f t="shared" si="5"/>
        <v>7.2663590330017476</v>
      </c>
      <c r="F13" s="142">
        <f t="shared" si="6"/>
        <v>6.3220592037451473</v>
      </c>
      <c r="G13" s="142">
        <f t="shared" si="7"/>
        <v>4.4026654121654367</v>
      </c>
      <c r="H13" s="57"/>
      <c r="I13" s="57"/>
      <c r="J13" s="57"/>
      <c r="K13" s="57"/>
      <c r="L13" s="57"/>
      <c r="M13" s="57"/>
      <c r="N13" s="57"/>
      <c r="O13" s="57"/>
      <c r="P13" s="58"/>
      <c r="Q13" s="307"/>
      <c r="R13" s="322" t="s">
        <v>352</v>
      </c>
      <c r="S13" s="314">
        <f t="shared" si="2"/>
        <v>632205.92037451477</v>
      </c>
      <c r="T13" s="314">
        <f>Data!AN12/T$4*100000*T$3</f>
        <v>10329.244673983216</v>
      </c>
      <c r="U13" s="314">
        <f>Data!AO12/U$4*100000*U$3</f>
        <v>0</v>
      </c>
      <c r="V13" s="314">
        <f>Data!AP12/V$4*100000*V$3</f>
        <v>9235.3158478019941</v>
      </c>
      <c r="W13" s="314">
        <f>Data!AQ12/W$4*100000*W$3</f>
        <v>0</v>
      </c>
      <c r="X13" s="314">
        <f>Data!AR12/X$4*100000*X$3</f>
        <v>0</v>
      </c>
      <c r="Y13" s="314">
        <f>Data!AS12/Y$4*100000*Y$3</f>
        <v>0</v>
      </c>
      <c r="Z13" s="314">
        <f>Data!AT12/Z$4*100000*Z$3</f>
        <v>0</v>
      </c>
      <c r="AA13" s="314">
        <f>Data!AU12/AA$4*100000*AA$3</f>
        <v>0</v>
      </c>
      <c r="AB13" s="314">
        <f>Data!AV12/AB$4*100000*AB$3</f>
        <v>13848.086491191629</v>
      </c>
      <c r="AC13" s="314">
        <f>Data!AW12/AC$4*100000*AC$3</f>
        <v>54661.877245041389</v>
      </c>
      <c r="AD13" s="314">
        <f>Data!AX12/AD$4*100000*AD$3</f>
        <v>25359.332687274145</v>
      </c>
      <c r="AE13" s="314">
        <f>Data!AY12/AE$4*100000*AE$3</f>
        <v>95037.675649989818</v>
      </c>
      <c r="AF13" s="314">
        <f>Data!AZ12/AF$4*100000*AF$3</f>
        <v>82741.501758256927</v>
      </c>
      <c r="AG13" s="314">
        <f>Data!BA12/AG$4*100000*AG$3</f>
        <v>89438.771707535227</v>
      </c>
      <c r="AH13" s="314">
        <f>Data!BB12/AH$4*100000*AH$3</f>
        <v>81925.642726173304</v>
      </c>
      <c r="AI13" s="314">
        <f>Data!BC12/AI$4*100000*AI$3</f>
        <v>66589.832244845675</v>
      </c>
      <c r="AJ13" s="314">
        <f>Data!BD12/AJ$4*100000*AJ$3</f>
        <v>35919.54022988506</v>
      </c>
      <c r="AK13" s="314">
        <f>Data!BE12/AK$4*100000*AK$3</f>
        <v>67119.099112536351</v>
      </c>
      <c r="AL13" s="322" t="s">
        <v>352</v>
      </c>
      <c r="AM13" s="314">
        <f t="shared" si="3"/>
        <v>440266.54121654364</v>
      </c>
      <c r="AN13" s="314">
        <f>Data!AN12/AN$4*100000*AN$3</f>
        <v>15493.867010974822</v>
      </c>
      <c r="AO13" s="314">
        <f>Data!AO12/AO$4*100000*AO$3</f>
        <v>0</v>
      </c>
      <c r="AP13" s="314">
        <f>Data!AP12/AP$4*100000*AP$3</f>
        <v>11873.977518602564</v>
      </c>
      <c r="AQ13" s="314">
        <f>Data!AQ12/AQ$4*100000*AQ$3</f>
        <v>0</v>
      </c>
      <c r="AR13" s="314">
        <f>Data!AR12/AR$4*100000*AR$3</f>
        <v>0</v>
      </c>
      <c r="AS13" s="314">
        <f>Data!AS12/AS$4*100000*AS$3</f>
        <v>0</v>
      </c>
      <c r="AT13" s="314">
        <f>Data!AT12/AT$4*100000*AT$3</f>
        <v>0</v>
      </c>
      <c r="AU13" s="314">
        <f>Data!AU12/AU$4*100000*AU$3</f>
        <v>0</v>
      </c>
      <c r="AV13" s="314">
        <f>Data!AV12/AV$4*100000*AV$3</f>
        <v>11869.788421021396</v>
      </c>
      <c r="AW13" s="314">
        <f>Data!AW12/AW$4*100000*AW$3</f>
        <v>46853.037638606904</v>
      </c>
      <c r="AX13" s="314">
        <f>Data!AX12/AX$4*100000*AX$3</f>
        <v>18113.809062338674</v>
      </c>
      <c r="AY13" s="314">
        <f>Data!AY12/AY$4*100000*AY$3</f>
        <v>63358.450433326543</v>
      </c>
      <c r="AZ13" s="314">
        <f>Data!AZ12/AZ$4*100000*AZ$3</f>
        <v>66193.201406605542</v>
      </c>
      <c r="BA13" s="314">
        <f>Data!BA12/BA$4*100000*BA$3</f>
        <v>67079.078780651413</v>
      </c>
      <c r="BB13" s="314">
        <f>Data!BB12/BB$4*100000*BB$3</f>
        <v>54617.095150782196</v>
      </c>
      <c r="BC13" s="314">
        <f>Data!BC12/BC$4*100000*BC$3</f>
        <v>33294.916122422837</v>
      </c>
      <c r="BD13" s="314">
        <f>Data!BD12/BD$4*100000*BD$3</f>
        <v>17959.77011494253</v>
      </c>
      <c r="BE13" s="314">
        <f>Data!BE12/BE$4*100000*BE$3</f>
        <v>33559.549556268175</v>
      </c>
    </row>
    <row r="14" spans="1:57" ht="12" customHeight="1">
      <c r="A14" s="30"/>
      <c r="B14" s="144" t="str">
        <f>UPPER(LEFT(TRIM(Data!B13),1)) &amp; MID(TRIM(Data!B13),2,50)</f>
        <v>Tulžies pūslės, ekstrahepatinių takų</v>
      </c>
      <c r="C14" s="123" t="str">
        <f>Data!C13</f>
        <v>C23, C24</v>
      </c>
      <c r="D14" s="136">
        <f>Data!E13</f>
        <v>31</v>
      </c>
      <c r="E14" s="125">
        <f t="shared" si="5"/>
        <v>2.275324545687416</v>
      </c>
      <c r="F14" s="126">
        <f t="shared" si="6"/>
        <v>1.9481843658925202</v>
      </c>
      <c r="G14" s="127">
        <f t="shared" si="7"/>
        <v>1.3000270100342242</v>
      </c>
      <c r="H14" s="57"/>
      <c r="I14" s="57"/>
      <c r="J14" s="57"/>
      <c r="K14" s="57"/>
      <c r="L14" s="57"/>
      <c r="M14" s="57"/>
      <c r="N14" s="57"/>
      <c r="O14" s="57"/>
      <c r="P14" s="58"/>
      <c r="Q14" s="307"/>
      <c r="R14" s="322" t="s">
        <v>352</v>
      </c>
      <c r="S14" s="314">
        <f t="shared" si="2"/>
        <v>194818.43658925203</v>
      </c>
      <c r="T14" s="314">
        <f>Data!AN13/T$4*100000*T$3</f>
        <v>0</v>
      </c>
      <c r="U14" s="314">
        <f>Data!AO13/U$4*100000*U$3</f>
        <v>0</v>
      </c>
      <c r="V14" s="314">
        <f>Data!AP13/V$4*100000*V$3</f>
        <v>0</v>
      </c>
      <c r="W14" s="314">
        <f>Data!AQ13/W$4*100000*W$3</f>
        <v>0</v>
      </c>
      <c r="X14" s="314">
        <f>Data!AR13/X$4*100000*X$3</f>
        <v>0</v>
      </c>
      <c r="Y14" s="314">
        <f>Data!AS13/Y$4*100000*Y$3</f>
        <v>0</v>
      </c>
      <c r="Z14" s="314">
        <f>Data!AT13/Z$4*100000*Z$3</f>
        <v>0</v>
      </c>
      <c r="AA14" s="314">
        <f>Data!AU13/AA$4*100000*AA$3</f>
        <v>0</v>
      </c>
      <c r="AB14" s="314">
        <f>Data!AV13/AB$4*100000*AB$3</f>
        <v>0</v>
      </c>
      <c r="AC14" s="314">
        <f>Data!AW13/AC$4*100000*AC$3</f>
        <v>6832.7346556301736</v>
      </c>
      <c r="AD14" s="314">
        <f>Data!AX13/AD$4*100000*AD$3</f>
        <v>19019.499515455605</v>
      </c>
      <c r="AE14" s="314">
        <f>Data!AY13/AE$4*100000*AE$3</f>
        <v>6788.4054035707013</v>
      </c>
      <c r="AF14" s="314">
        <f>Data!AZ13/AF$4*100000*AF$3</f>
        <v>48265.876025649872</v>
      </c>
      <c r="AG14" s="314">
        <f>Data!BA13/AG$4*100000*AG$3</f>
        <v>22359.692926883807</v>
      </c>
      <c r="AH14" s="314">
        <f>Data!BB13/AH$4*100000*AH$3</f>
        <v>29259.15811649046</v>
      </c>
      <c r="AI14" s="314">
        <f>Data!BC13/AI$4*100000*AI$3</f>
        <v>20489.179152260211</v>
      </c>
      <c r="AJ14" s="314">
        <f>Data!BD13/AJ$4*100000*AJ$3</f>
        <v>11973.180076628352</v>
      </c>
      <c r="AK14" s="314">
        <f>Data!BE13/AK$4*100000*AK$3</f>
        <v>29830.710716682825</v>
      </c>
      <c r="AL14" s="322" t="s">
        <v>352</v>
      </c>
      <c r="AM14" s="314">
        <f t="shared" si="3"/>
        <v>130002.70100342241</v>
      </c>
      <c r="AN14" s="314">
        <f>Data!AN13/AN$4*100000*AN$3</f>
        <v>0</v>
      </c>
      <c r="AO14" s="314">
        <f>Data!AO13/AO$4*100000*AO$3</f>
        <v>0</v>
      </c>
      <c r="AP14" s="314">
        <f>Data!AP13/AP$4*100000*AP$3</f>
        <v>0</v>
      </c>
      <c r="AQ14" s="314">
        <f>Data!AQ13/AQ$4*100000*AQ$3</f>
        <v>0</v>
      </c>
      <c r="AR14" s="314">
        <f>Data!AR13/AR$4*100000*AR$3</f>
        <v>0</v>
      </c>
      <c r="AS14" s="314">
        <f>Data!AS13/AS$4*100000*AS$3</f>
        <v>0</v>
      </c>
      <c r="AT14" s="314">
        <f>Data!AT13/AT$4*100000*AT$3</f>
        <v>0</v>
      </c>
      <c r="AU14" s="314">
        <f>Data!AU13/AU$4*100000*AU$3</f>
        <v>0</v>
      </c>
      <c r="AV14" s="314">
        <f>Data!AV13/AV$4*100000*AV$3</f>
        <v>0</v>
      </c>
      <c r="AW14" s="314">
        <f>Data!AW13/AW$4*100000*AW$3</f>
        <v>5856.629704825863</v>
      </c>
      <c r="AX14" s="314">
        <f>Data!AX13/AX$4*100000*AX$3</f>
        <v>13585.356796754004</v>
      </c>
      <c r="AY14" s="314">
        <f>Data!AY13/AY$4*100000*AY$3</f>
        <v>4525.6036023804672</v>
      </c>
      <c r="AZ14" s="314">
        <f>Data!AZ13/AZ$4*100000*AZ$3</f>
        <v>38612.700820519894</v>
      </c>
      <c r="BA14" s="314">
        <f>Data!BA13/BA$4*100000*BA$3</f>
        <v>16769.769695162853</v>
      </c>
      <c r="BB14" s="314">
        <f>Data!BB13/BB$4*100000*BB$3</f>
        <v>19506.105410993641</v>
      </c>
      <c r="BC14" s="314">
        <f>Data!BC13/BC$4*100000*BC$3</f>
        <v>10244.589576130105</v>
      </c>
      <c r="BD14" s="314">
        <f>Data!BD13/BD$4*100000*BD$3</f>
        <v>5986.5900383141761</v>
      </c>
      <c r="BE14" s="314">
        <f>Data!BE13/BE$4*100000*BE$3</f>
        <v>14915.355358341412</v>
      </c>
    </row>
    <row r="15" spans="1:57" ht="12" customHeight="1">
      <c r="A15" s="30"/>
      <c r="B15" s="139" t="str">
        <f>UPPER(LEFT(TRIM(Data!B14),1)) &amp; MID(TRIM(Data!B14),2,50)</f>
        <v>Kasos</v>
      </c>
      <c r="C15" s="139" t="str">
        <f>Data!C14</f>
        <v>C25</v>
      </c>
      <c r="D15" s="140">
        <f>Data!E14</f>
        <v>227</v>
      </c>
      <c r="E15" s="141">
        <f t="shared" si="5"/>
        <v>16.661247479711079</v>
      </c>
      <c r="F15" s="142">
        <f t="shared" si="6"/>
        <v>14.120884927891277</v>
      </c>
      <c r="G15" s="142">
        <f t="shared" si="7"/>
        <v>9.5302379689115355</v>
      </c>
      <c r="H15" s="57"/>
      <c r="I15" s="57"/>
      <c r="J15" s="57"/>
      <c r="K15" s="57"/>
      <c r="L15" s="57"/>
      <c r="M15" s="57"/>
      <c r="N15" s="57"/>
      <c r="O15" s="57"/>
      <c r="P15" s="58"/>
      <c r="Q15" s="307"/>
      <c r="R15" s="322" t="s">
        <v>352</v>
      </c>
      <c r="S15" s="314">
        <f t="shared" si="2"/>
        <v>1412088.4927891276</v>
      </c>
      <c r="T15" s="314">
        <f>Data!AN14/T$4*100000*T$3</f>
        <v>0</v>
      </c>
      <c r="U15" s="314">
        <f>Data!AO14/U$4*100000*U$3</f>
        <v>0</v>
      </c>
      <c r="V15" s="314">
        <f>Data!AP14/V$4*100000*V$3</f>
        <v>0</v>
      </c>
      <c r="W15" s="314">
        <f>Data!AQ14/W$4*100000*W$3</f>
        <v>0</v>
      </c>
      <c r="X15" s="314">
        <f>Data!AR14/X$4*100000*X$3</f>
        <v>0</v>
      </c>
      <c r="Y15" s="314">
        <f>Data!AS14/Y$4*100000*Y$3</f>
        <v>0</v>
      </c>
      <c r="Z15" s="314">
        <f>Data!AT14/Z$4*100000*Z$3</f>
        <v>15816.528272044286</v>
      </c>
      <c r="AA15" s="314">
        <f>Data!AU14/AA$4*100000*AA$3</f>
        <v>7672.6623042101</v>
      </c>
      <c r="AB15" s="314">
        <f>Data!AV14/AB$4*100000*AB$3</f>
        <v>20772.129736787443</v>
      </c>
      <c r="AC15" s="314">
        <f>Data!AW14/AC$4*100000*AC$3</f>
        <v>54661.877245041389</v>
      </c>
      <c r="AD15" s="314">
        <f>Data!AX14/AD$4*100000*AD$3</f>
        <v>120456.83026455219</v>
      </c>
      <c r="AE15" s="314">
        <f>Data!AY14/AE$4*100000*AE$3</f>
        <v>135768.10807141403</v>
      </c>
      <c r="AF15" s="314">
        <f>Data!AZ14/AF$4*100000*AF$3</f>
        <v>193063.50410259949</v>
      </c>
      <c r="AG15" s="314">
        <f>Data!BA14/AG$4*100000*AG$3</f>
        <v>253409.85317134977</v>
      </c>
      <c r="AH15" s="314">
        <f>Data!BB14/AH$4*100000*AH$3</f>
        <v>251628.75980181794</v>
      </c>
      <c r="AI15" s="314">
        <f>Data!BC14/AI$4*100000*AI$3</f>
        <v>189524.90715840698</v>
      </c>
      <c r="AJ15" s="314">
        <f>Data!BD14/AJ$4*100000*AJ$3</f>
        <v>79821.200510855691</v>
      </c>
      <c r="AK15" s="314">
        <f>Data!BE14/AK$4*100000*AK$3</f>
        <v>89492.132150048477</v>
      </c>
      <c r="AL15" s="322" t="s">
        <v>352</v>
      </c>
      <c r="AM15" s="314">
        <f t="shared" si="3"/>
        <v>953023.79689115356</v>
      </c>
      <c r="AN15" s="314">
        <f>Data!AN14/AN$4*100000*AN$3</f>
        <v>0</v>
      </c>
      <c r="AO15" s="314">
        <f>Data!AO14/AO$4*100000*AO$3</f>
        <v>0</v>
      </c>
      <c r="AP15" s="314">
        <f>Data!AP14/AP$4*100000*AP$3</f>
        <v>0</v>
      </c>
      <c r="AQ15" s="314">
        <f>Data!AQ14/AQ$4*100000*AQ$3</f>
        <v>0</v>
      </c>
      <c r="AR15" s="314">
        <f>Data!AR14/AR$4*100000*AR$3</f>
        <v>0</v>
      </c>
      <c r="AS15" s="314">
        <f>Data!AS14/AS$4*100000*AS$3</f>
        <v>0</v>
      </c>
      <c r="AT15" s="314">
        <f>Data!AT14/AT$4*100000*AT$3</f>
        <v>13557.024233180817</v>
      </c>
      <c r="AU15" s="314">
        <f>Data!AU14/AU$4*100000*AU$3</f>
        <v>6576.5676893229429</v>
      </c>
      <c r="AV15" s="314">
        <f>Data!AV14/AV$4*100000*AV$3</f>
        <v>17804.682631532094</v>
      </c>
      <c r="AW15" s="314">
        <f>Data!AW14/AW$4*100000*AW$3</f>
        <v>46853.037638606904</v>
      </c>
      <c r="AX15" s="314">
        <f>Data!AX14/AX$4*100000*AX$3</f>
        <v>86040.593046108712</v>
      </c>
      <c r="AY15" s="314">
        <f>Data!AY14/AY$4*100000*AY$3</f>
        <v>90512.072047609356</v>
      </c>
      <c r="AZ15" s="314">
        <f>Data!AZ14/AZ$4*100000*AZ$3</f>
        <v>154450.80328207958</v>
      </c>
      <c r="BA15" s="314">
        <f>Data!BA14/BA$4*100000*BA$3</f>
        <v>190057.38987851233</v>
      </c>
      <c r="BB15" s="314">
        <f>Data!BB14/BB$4*100000*BB$3</f>
        <v>167752.5065345453</v>
      </c>
      <c r="BC15" s="314">
        <f>Data!BC14/BC$4*100000*BC$3</f>
        <v>94762.453579203488</v>
      </c>
      <c r="BD15" s="314">
        <f>Data!BD14/BD$4*100000*BD$3</f>
        <v>39910.600255427846</v>
      </c>
      <c r="BE15" s="314">
        <f>Data!BE14/BE$4*100000*BE$3</f>
        <v>44746.066075024239</v>
      </c>
    </row>
    <row r="16" spans="1:57" ht="12" customHeight="1">
      <c r="A16" s="30"/>
      <c r="B16" s="144" t="str">
        <f>UPPER(LEFT(TRIM(Data!B15),1)) &amp; MID(TRIM(Data!B15),2,50)</f>
        <v>Kitų virškinimo sistemos organų</v>
      </c>
      <c r="C16" s="123" t="str">
        <f>Data!C15</f>
        <v>C17, C26, C48</v>
      </c>
      <c r="D16" s="136">
        <f>Data!E15</f>
        <v>30</v>
      </c>
      <c r="E16" s="125">
        <f t="shared" si="5"/>
        <v>2.2019269796974994</v>
      </c>
      <c r="F16" s="126">
        <f t="shared" si="6"/>
        <v>1.8180074420547563</v>
      </c>
      <c r="G16" s="127">
        <f t="shared" si="7"/>
        <v>1.1686186200684572</v>
      </c>
      <c r="H16" s="57"/>
      <c r="I16" s="57"/>
      <c r="J16" s="57"/>
      <c r="K16" s="57"/>
      <c r="L16" s="57"/>
      <c r="M16" s="57"/>
      <c r="N16" s="57"/>
      <c r="O16" s="57"/>
      <c r="P16" s="58"/>
      <c r="Q16" s="307"/>
      <c r="R16" s="322" t="s">
        <v>352</v>
      </c>
      <c r="S16" s="314">
        <f t="shared" si="2"/>
        <v>181800.74420547564</v>
      </c>
      <c r="T16" s="314">
        <f>Data!AN15/T$4*100000*T$3</f>
        <v>0</v>
      </c>
      <c r="U16" s="314">
        <f>Data!AO15/U$4*100000*U$3</f>
        <v>0</v>
      </c>
      <c r="V16" s="314">
        <f>Data!AP15/V$4*100000*V$3</f>
        <v>0</v>
      </c>
      <c r="W16" s="314">
        <f>Data!AQ15/W$4*100000*W$3</f>
        <v>0</v>
      </c>
      <c r="X16" s="314">
        <f>Data!AR15/X$4*100000*X$3</f>
        <v>0</v>
      </c>
      <c r="Y16" s="314">
        <f>Data!AS15/Y$4*100000*Y$3</f>
        <v>0</v>
      </c>
      <c r="Z16" s="314">
        <f>Data!AT15/Z$4*100000*Z$3</f>
        <v>0</v>
      </c>
      <c r="AA16" s="314">
        <f>Data!AU15/AA$4*100000*AA$3</f>
        <v>0</v>
      </c>
      <c r="AB16" s="314">
        <f>Data!AV15/AB$4*100000*AB$3</f>
        <v>6924.0432455958144</v>
      </c>
      <c r="AC16" s="314">
        <f>Data!AW15/AC$4*100000*AC$3</f>
        <v>13665.469311260347</v>
      </c>
      <c r="AD16" s="314">
        <f>Data!AX15/AD$4*100000*AD$3</f>
        <v>12679.666343637073</v>
      </c>
      <c r="AE16" s="314">
        <f>Data!AY15/AE$4*100000*AE$3</f>
        <v>13576.810807141403</v>
      </c>
      <c r="AF16" s="314">
        <f>Data!AZ15/AF$4*100000*AF$3</f>
        <v>13790.250293042818</v>
      </c>
      <c r="AG16" s="314">
        <f>Data!BA15/AG$4*100000*AG$3</f>
        <v>22359.692926883807</v>
      </c>
      <c r="AH16" s="314">
        <f>Data!BB15/AH$4*100000*AH$3</f>
        <v>23407.326493192366</v>
      </c>
      <c r="AI16" s="314">
        <f>Data!BC15/AI$4*100000*AI$3</f>
        <v>25611.473940325264</v>
      </c>
      <c r="AJ16" s="314">
        <f>Data!BD15/AJ$4*100000*AJ$3</f>
        <v>19955.300127713923</v>
      </c>
      <c r="AK16" s="314">
        <f>Data!BE15/AK$4*100000*AK$3</f>
        <v>29830.710716682825</v>
      </c>
      <c r="AL16" s="322" t="s">
        <v>352</v>
      </c>
      <c r="AM16" s="314">
        <f t="shared" si="3"/>
        <v>116861.86200684572</v>
      </c>
      <c r="AN16" s="314">
        <f>Data!AN15/AN$4*100000*AN$3</f>
        <v>0</v>
      </c>
      <c r="AO16" s="314">
        <f>Data!AO15/AO$4*100000*AO$3</f>
        <v>0</v>
      </c>
      <c r="AP16" s="314">
        <f>Data!AP15/AP$4*100000*AP$3</f>
        <v>0</v>
      </c>
      <c r="AQ16" s="314">
        <f>Data!AQ15/AQ$4*100000*AQ$3</f>
        <v>0</v>
      </c>
      <c r="AR16" s="314">
        <f>Data!AR15/AR$4*100000*AR$3</f>
        <v>0</v>
      </c>
      <c r="AS16" s="314">
        <f>Data!AS15/AS$4*100000*AS$3</f>
        <v>0</v>
      </c>
      <c r="AT16" s="314">
        <f>Data!AT15/AT$4*100000*AT$3</f>
        <v>0</v>
      </c>
      <c r="AU16" s="314">
        <f>Data!AU15/AU$4*100000*AU$3</f>
        <v>0</v>
      </c>
      <c r="AV16" s="314">
        <f>Data!AV15/AV$4*100000*AV$3</f>
        <v>5934.894210510698</v>
      </c>
      <c r="AW16" s="314">
        <f>Data!AW15/AW$4*100000*AW$3</f>
        <v>11713.259409651726</v>
      </c>
      <c r="AX16" s="314">
        <f>Data!AX15/AX$4*100000*AX$3</f>
        <v>9056.9045311693371</v>
      </c>
      <c r="AY16" s="314">
        <f>Data!AY15/AY$4*100000*AY$3</f>
        <v>9051.2072047609345</v>
      </c>
      <c r="AZ16" s="314">
        <f>Data!AZ15/AZ$4*100000*AZ$3</f>
        <v>11032.200234434255</v>
      </c>
      <c r="BA16" s="314">
        <f>Data!BA15/BA$4*100000*BA$3</f>
        <v>16769.769695162853</v>
      </c>
      <c r="BB16" s="314">
        <f>Data!BB15/BB$4*100000*BB$3</f>
        <v>15604.884328794911</v>
      </c>
      <c r="BC16" s="314">
        <f>Data!BC15/BC$4*100000*BC$3</f>
        <v>12805.736970162632</v>
      </c>
      <c r="BD16" s="314">
        <f>Data!BD15/BD$4*100000*BD$3</f>
        <v>9977.6500638569614</v>
      </c>
      <c r="BE16" s="314">
        <f>Data!BE15/BE$4*100000*BE$3</f>
        <v>14915.355358341412</v>
      </c>
    </row>
    <row r="17" spans="1:57" ht="12" customHeight="1">
      <c r="A17" s="30"/>
      <c r="B17" s="139" t="str">
        <f>UPPER(LEFT(TRIM(Data!B16),1)) &amp; MID(TRIM(Data!B16),2,50)</f>
        <v>Nosies ertmės, vid.ausies ir ančių</v>
      </c>
      <c r="C17" s="139" t="str">
        <f>Data!C16</f>
        <v>C30, C31</v>
      </c>
      <c r="D17" s="140">
        <f>Data!E16</f>
        <v>9</v>
      </c>
      <c r="E17" s="141">
        <f t="shared" si="5"/>
        <v>0.66057809390924971</v>
      </c>
      <c r="F17" s="142">
        <f t="shared" si="6"/>
        <v>0.52759513028265259</v>
      </c>
      <c r="G17" s="142">
        <f t="shared" si="7"/>
        <v>0.37514461930171311</v>
      </c>
      <c r="H17" s="57"/>
      <c r="I17" s="57"/>
      <c r="J17" s="57"/>
      <c r="K17" s="57"/>
      <c r="L17" s="57"/>
      <c r="M17" s="57"/>
      <c r="N17" s="57"/>
      <c r="O17" s="57"/>
      <c r="P17" s="58"/>
      <c r="Q17" s="307"/>
      <c r="R17" s="322" t="s">
        <v>352</v>
      </c>
      <c r="S17" s="314">
        <f t="shared" si="2"/>
        <v>52759.513028265261</v>
      </c>
      <c r="T17" s="314">
        <f>Data!AN16/T$4*100000*T$3</f>
        <v>0</v>
      </c>
      <c r="U17" s="314">
        <f>Data!AO16/U$4*100000*U$3</f>
        <v>0</v>
      </c>
      <c r="V17" s="314">
        <f>Data!AP16/V$4*100000*V$3</f>
        <v>0</v>
      </c>
      <c r="W17" s="314">
        <f>Data!AQ16/W$4*100000*W$3</f>
        <v>0</v>
      </c>
      <c r="X17" s="314">
        <f>Data!AR16/X$4*100000*X$3</f>
        <v>0</v>
      </c>
      <c r="Y17" s="314">
        <f>Data!AS16/Y$4*100000*Y$3</f>
        <v>0</v>
      </c>
      <c r="Z17" s="314">
        <f>Data!AT16/Z$4*100000*Z$3</f>
        <v>0</v>
      </c>
      <c r="AA17" s="314">
        <f>Data!AU16/AA$4*100000*AA$3</f>
        <v>0</v>
      </c>
      <c r="AB17" s="314">
        <f>Data!AV16/AB$4*100000*AB$3</f>
        <v>0</v>
      </c>
      <c r="AC17" s="314">
        <f>Data!AW16/AC$4*100000*AC$3</f>
        <v>20498.20396689052</v>
      </c>
      <c r="AD17" s="314">
        <f>Data!AX16/AD$4*100000*AD$3</f>
        <v>0</v>
      </c>
      <c r="AE17" s="314">
        <f>Data!AY16/AE$4*100000*AE$3</f>
        <v>0</v>
      </c>
      <c r="AF17" s="314">
        <f>Data!AZ16/AF$4*100000*AF$3</f>
        <v>0</v>
      </c>
      <c r="AG17" s="314">
        <f>Data!BA16/AG$4*100000*AG$3</f>
        <v>7453.2309756279355</v>
      </c>
      <c r="AH17" s="314">
        <f>Data!BB16/AH$4*100000*AH$3</f>
        <v>11703.663246596183</v>
      </c>
      <c r="AI17" s="314">
        <f>Data!BC16/AI$4*100000*AI$3</f>
        <v>5122.2947880650527</v>
      </c>
      <c r="AJ17" s="314">
        <f>Data!BD16/AJ$4*100000*AJ$3</f>
        <v>7982.1200510855688</v>
      </c>
      <c r="AK17" s="314">
        <f>Data!BE16/AK$4*100000*AK$3</f>
        <v>0</v>
      </c>
      <c r="AL17" s="322" t="s">
        <v>352</v>
      </c>
      <c r="AM17" s="314">
        <f t="shared" si="3"/>
        <v>37514.46193017131</v>
      </c>
      <c r="AN17" s="314">
        <f>Data!AN16/AN$4*100000*AN$3</f>
        <v>0</v>
      </c>
      <c r="AO17" s="314">
        <f>Data!AO16/AO$4*100000*AO$3</f>
        <v>0</v>
      </c>
      <c r="AP17" s="314">
        <f>Data!AP16/AP$4*100000*AP$3</f>
        <v>0</v>
      </c>
      <c r="AQ17" s="314">
        <f>Data!AQ16/AQ$4*100000*AQ$3</f>
        <v>0</v>
      </c>
      <c r="AR17" s="314">
        <f>Data!AR16/AR$4*100000*AR$3</f>
        <v>0</v>
      </c>
      <c r="AS17" s="314">
        <f>Data!AS16/AS$4*100000*AS$3</f>
        <v>0</v>
      </c>
      <c r="AT17" s="314">
        <f>Data!AT16/AT$4*100000*AT$3</f>
        <v>0</v>
      </c>
      <c r="AU17" s="314">
        <f>Data!AU16/AU$4*100000*AU$3</f>
        <v>0</v>
      </c>
      <c r="AV17" s="314">
        <f>Data!AV16/AV$4*100000*AV$3</f>
        <v>0</v>
      </c>
      <c r="AW17" s="314">
        <f>Data!AW16/AW$4*100000*AW$3</f>
        <v>17569.889114477592</v>
      </c>
      <c r="AX17" s="314">
        <f>Data!AX16/AX$4*100000*AX$3</f>
        <v>0</v>
      </c>
      <c r="AY17" s="314">
        <f>Data!AY16/AY$4*100000*AY$3</f>
        <v>0</v>
      </c>
      <c r="AZ17" s="314">
        <f>Data!AZ16/AZ$4*100000*AZ$3</f>
        <v>0</v>
      </c>
      <c r="BA17" s="314">
        <f>Data!BA16/BA$4*100000*BA$3</f>
        <v>5589.9232317209517</v>
      </c>
      <c r="BB17" s="314">
        <f>Data!BB16/BB$4*100000*BB$3</f>
        <v>7802.4421643974556</v>
      </c>
      <c r="BC17" s="314">
        <f>Data!BC16/BC$4*100000*BC$3</f>
        <v>2561.1473940325263</v>
      </c>
      <c r="BD17" s="314">
        <f>Data!BD16/BD$4*100000*BD$3</f>
        <v>3991.0600255427844</v>
      </c>
      <c r="BE17" s="314">
        <f>Data!BE16/BE$4*100000*BE$3</f>
        <v>0</v>
      </c>
    </row>
    <row r="18" spans="1:57" ht="12" customHeight="1">
      <c r="A18" s="30"/>
      <c r="B18" s="144" t="str">
        <f>UPPER(LEFT(TRIM(Data!B17),1)) &amp; MID(TRIM(Data!B17),2,50)</f>
        <v>Gerklų</v>
      </c>
      <c r="C18" s="123" t="str">
        <f>Data!C17</f>
        <v>C32</v>
      </c>
      <c r="D18" s="136">
        <f>Data!E17</f>
        <v>101</v>
      </c>
      <c r="E18" s="125">
        <f t="shared" si="5"/>
        <v>7.4131541649815809</v>
      </c>
      <c r="F18" s="126">
        <f t="shared" si="6"/>
        <v>6.4190827113430249</v>
      </c>
      <c r="G18" s="127">
        <f t="shared" si="7"/>
        <v>4.5418134023098533</v>
      </c>
      <c r="H18" s="57"/>
      <c r="I18" s="57"/>
      <c r="J18" s="57"/>
      <c r="K18" s="57"/>
      <c r="L18" s="57"/>
      <c r="M18" s="57"/>
      <c r="N18" s="57"/>
      <c r="O18" s="57"/>
      <c r="P18" s="58"/>
      <c r="Q18" s="307"/>
      <c r="R18" s="322" t="s">
        <v>352</v>
      </c>
      <c r="S18" s="314">
        <f t="shared" si="2"/>
        <v>641908.27113430249</v>
      </c>
      <c r="T18" s="314">
        <f>Data!AN17/T$4*100000*T$3</f>
        <v>0</v>
      </c>
      <c r="U18" s="314">
        <f>Data!AO17/U$4*100000*U$3</f>
        <v>0</v>
      </c>
      <c r="V18" s="314">
        <f>Data!AP17/V$4*100000*V$3</f>
        <v>0</v>
      </c>
      <c r="W18" s="314">
        <f>Data!AQ17/W$4*100000*W$3</f>
        <v>0</v>
      </c>
      <c r="X18" s="314">
        <f>Data!AR17/X$4*100000*X$3</f>
        <v>0</v>
      </c>
      <c r="Y18" s="314">
        <f>Data!AS17/Y$4*100000*Y$3</f>
        <v>0</v>
      </c>
      <c r="Z18" s="314">
        <f>Data!AT17/Z$4*100000*Z$3</f>
        <v>0</v>
      </c>
      <c r="AA18" s="314">
        <f>Data!AU17/AA$4*100000*AA$3</f>
        <v>0</v>
      </c>
      <c r="AB18" s="314">
        <f>Data!AV17/AB$4*100000*AB$3</f>
        <v>27696.172982383257</v>
      </c>
      <c r="AC18" s="314">
        <f>Data!AW17/AC$4*100000*AC$3</f>
        <v>47829.142589411218</v>
      </c>
      <c r="AD18" s="314">
        <f>Data!AX17/AD$4*100000*AD$3</f>
        <v>82417.831233640958</v>
      </c>
      <c r="AE18" s="314">
        <f>Data!AY17/AE$4*100000*AE$3</f>
        <v>74672.459439277722</v>
      </c>
      <c r="AF18" s="314">
        <f>Data!AZ17/AF$4*100000*AF$3</f>
        <v>137902.50293042816</v>
      </c>
      <c r="AG18" s="314">
        <f>Data!BA17/AG$4*100000*AG$3</f>
        <v>111798.46463441903</v>
      </c>
      <c r="AH18" s="314">
        <f>Data!BB17/AH$4*100000*AH$3</f>
        <v>40962.821363086652</v>
      </c>
      <c r="AI18" s="314">
        <f>Data!BC17/AI$4*100000*AI$3</f>
        <v>56345.242668715582</v>
      </c>
      <c r="AJ18" s="314">
        <f>Data!BD17/AJ$4*100000*AJ$3</f>
        <v>39910.600255427846</v>
      </c>
      <c r="AK18" s="314">
        <f>Data!BE17/AK$4*100000*AK$3</f>
        <v>22373.033037512119</v>
      </c>
      <c r="AL18" s="322" t="s">
        <v>352</v>
      </c>
      <c r="AM18" s="314">
        <f t="shared" si="3"/>
        <v>454181.34023098531</v>
      </c>
      <c r="AN18" s="314">
        <f>Data!AN17/AN$4*100000*AN$3</f>
        <v>0</v>
      </c>
      <c r="AO18" s="314">
        <f>Data!AO17/AO$4*100000*AO$3</f>
        <v>0</v>
      </c>
      <c r="AP18" s="314">
        <f>Data!AP17/AP$4*100000*AP$3</f>
        <v>0</v>
      </c>
      <c r="AQ18" s="314">
        <f>Data!AQ17/AQ$4*100000*AQ$3</f>
        <v>0</v>
      </c>
      <c r="AR18" s="314">
        <f>Data!AR17/AR$4*100000*AR$3</f>
        <v>0</v>
      </c>
      <c r="AS18" s="314">
        <f>Data!AS17/AS$4*100000*AS$3</f>
        <v>0</v>
      </c>
      <c r="AT18" s="314">
        <f>Data!AT17/AT$4*100000*AT$3</f>
        <v>0</v>
      </c>
      <c r="AU18" s="314">
        <f>Data!AU17/AU$4*100000*AU$3</f>
        <v>0</v>
      </c>
      <c r="AV18" s="314">
        <f>Data!AV17/AV$4*100000*AV$3</f>
        <v>23739.576842042792</v>
      </c>
      <c r="AW18" s="314">
        <f>Data!AW17/AW$4*100000*AW$3</f>
        <v>40996.40793378104</v>
      </c>
      <c r="AX18" s="314">
        <f>Data!AX17/AX$4*100000*AX$3</f>
        <v>58869.87945260069</v>
      </c>
      <c r="AY18" s="314">
        <f>Data!AY17/AY$4*100000*AY$3</f>
        <v>49781.639626185148</v>
      </c>
      <c r="AZ18" s="314">
        <f>Data!AZ17/AZ$4*100000*AZ$3</f>
        <v>110322.00234434253</v>
      </c>
      <c r="BA18" s="314">
        <f>Data!BA17/BA$4*100000*BA$3</f>
        <v>83848.848475814259</v>
      </c>
      <c r="BB18" s="314">
        <f>Data!BB17/BB$4*100000*BB$3</f>
        <v>27308.547575391098</v>
      </c>
      <c r="BC18" s="314">
        <f>Data!BC17/BC$4*100000*BC$3</f>
        <v>28172.621334357791</v>
      </c>
      <c r="BD18" s="314">
        <f>Data!BD17/BD$4*100000*BD$3</f>
        <v>19955.300127713923</v>
      </c>
      <c r="BE18" s="314">
        <f>Data!BE17/BE$4*100000*BE$3</f>
        <v>11186.51651875606</v>
      </c>
    </row>
    <row r="19" spans="1:57" ht="12" customHeight="1">
      <c r="A19" s="30"/>
      <c r="B19" s="139" t="str">
        <f>UPPER(LEFT(TRIM(Data!B18),1)) &amp; MID(TRIM(Data!B18),2,50)</f>
        <v>Plaučių, trachėjos, bronchų</v>
      </c>
      <c r="C19" s="139" t="str">
        <f>Data!C18</f>
        <v>C33, C34</v>
      </c>
      <c r="D19" s="140">
        <f>Data!E18</f>
        <v>1058</v>
      </c>
      <c r="E19" s="141">
        <f t="shared" si="5"/>
        <v>77.654624817331808</v>
      </c>
      <c r="F19" s="142">
        <f t="shared" si="6"/>
        <v>66.048527035466762</v>
      </c>
      <c r="G19" s="142">
        <f t="shared" si="7"/>
        <v>45.079446415719922</v>
      </c>
      <c r="H19" s="57"/>
      <c r="I19" s="57"/>
      <c r="J19" s="57"/>
      <c r="K19" s="57"/>
      <c r="L19" s="57"/>
      <c r="M19" s="57"/>
      <c r="N19" s="57"/>
      <c r="O19" s="57"/>
      <c r="P19" s="58"/>
      <c r="Q19" s="307"/>
      <c r="R19" s="322" t="s">
        <v>352</v>
      </c>
      <c r="S19" s="314">
        <f t="shared" si="2"/>
        <v>6604852.7035466759</v>
      </c>
      <c r="T19" s="314">
        <f>Data!AN18/T$4*100000*T$3</f>
        <v>0</v>
      </c>
      <c r="U19" s="314">
        <f>Data!AO18/U$4*100000*U$3</f>
        <v>0</v>
      </c>
      <c r="V19" s="314">
        <f>Data!AP18/V$4*100000*V$3</f>
        <v>0</v>
      </c>
      <c r="W19" s="314">
        <f>Data!AQ18/W$4*100000*W$3</f>
        <v>0</v>
      </c>
      <c r="X19" s="314">
        <f>Data!AR18/X$4*100000*X$3</f>
        <v>0</v>
      </c>
      <c r="Y19" s="314">
        <f>Data!AS18/Y$4*100000*Y$3</f>
        <v>7035.5294235891261</v>
      </c>
      <c r="Z19" s="314">
        <f>Data!AT18/Z$4*100000*Z$3</f>
        <v>0</v>
      </c>
      <c r="AA19" s="314">
        <f>Data!AU18/AA$4*100000*AA$3</f>
        <v>7672.6623042101</v>
      </c>
      <c r="AB19" s="314">
        <f>Data!AV18/AB$4*100000*AB$3</f>
        <v>55392.345964766515</v>
      </c>
      <c r="AC19" s="314">
        <f>Data!AW18/AC$4*100000*AC$3</f>
        <v>163985.63173512416</v>
      </c>
      <c r="AD19" s="314">
        <f>Data!AX18/AD$4*100000*AD$3</f>
        <v>355030.65762183804</v>
      </c>
      <c r="AE19" s="314">
        <f>Data!AY18/AE$4*100000*AE$3</f>
        <v>787455.02681420126</v>
      </c>
      <c r="AF19" s="314">
        <f>Data!AZ18/AF$4*100000*AF$3</f>
        <v>1358339.6538647176</v>
      </c>
      <c r="AG19" s="314">
        <f>Data!BA18/AG$4*100000*AG$3</f>
        <v>1259596.0348811208</v>
      </c>
      <c r="AH19" s="314">
        <f>Data!BB18/AH$4*100000*AH$3</f>
        <v>1141107.1665431282</v>
      </c>
      <c r="AI19" s="314">
        <f>Data!BC18/AI$4*100000*AI$3</f>
        <v>875912.40875912423</v>
      </c>
      <c r="AJ19" s="314">
        <f>Data!BD18/AJ$4*100000*AJ$3</f>
        <v>347222.22222222225</v>
      </c>
      <c r="AK19" s="314">
        <f>Data!BE18/AK$4*100000*AK$3</f>
        <v>246103.36341263331</v>
      </c>
      <c r="AL19" s="322" t="s">
        <v>352</v>
      </c>
      <c r="AM19" s="314">
        <f t="shared" si="3"/>
        <v>4507944.6415719921</v>
      </c>
      <c r="AN19" s="314">
        <f>Data!AN18/AN$4*100000*AN$3</f>
        <v>0</v>
      </c>
      <c r="AO19" s="314">
        <f>Data!AO18/AO$4*100000*AO$3</f>
        <v>0</v>
      </c>
      <c r="AP19" s="314">
        <f>Data!AP18/AP$4*100000*AP$3</f>
        <v>0</v>
      </c>
      <c r="AQ19" s="314">
        <f>Data!AQ18/AQ$4*100000*AQ$3</f>
        <v>0</v>
      </c>
      <c r="AR19" s="314">
        <f>Data!AR18/AR$4*100000*AR$3</f>
        <v>0</v>
      </c>
      <c r="AS19" s="314">
        <f>Data!AS18/AS$4*100000*AS$3</f>
        <v>8040.6050555304291</v>
      </c>
      <c r="AT19" s="314">
        <f>Data!AT18/AT$4*100000*AT$3</f>
        <v>0</v>
      </c>
      <c r="AU19" s="314">
        <f>Data!AU18/AU$4*100000*AU$3</f>
        <v>6576.5676893229429</v>
      </c>
      <c r="AV19" s="314">
        <f>Data!AV18/AV$4*100000*AV$3</f>
        <v>47479.153684085584</v>
      </c>
      <c r="AW19" s="314">
        <f>Data!AW18/AW$4*100000*AW$3</f>
        <v>140559.11291582073</v>
      </c>
      <c r="AX19" s="314">
        <f>Data!AX18/AX$4*100000*AX$3</f>
        <v>253593.32687274143</v>
      </c>
      <c r="AY19" s="314">
        <f>Data!AY18/AY$4*100000*AY$3</f>
        <v>524970.01787613414</v>
      </c>
      <c r="AZ19" s="314">
        <f>Data!AZ18/AZ$4*100000*AZ$3</f>
        <v>1086671.7230917742</v>
      </c>
      <c r="BA19" s="314">
        <f>Data!BA18/BA$4*100000*BA$3</f>
        <v>944697.02616084064</v>
      </c>
      <c r="BB19" s="314">
        <f>Data!BB18/BB$4*100000*BB$3</f>
        <v>760738.11102875206</v>
      </c>
      <c r="BC19" s="314">
        <f>Data!BC18/BC$4*100000*BC$3</f>
        <v>437956.20437956211</v>
      </c>
      <c r="BD19" s="314">
        <f>Data!BD18/BD$4*100000*BD$3</f>
        <v>173611.11111111112</v>
      </c>
      <c r="BE19" s="314">
        <f>Data!BE18/BE$4*100000*BE$3</f>
        <v>123051.68170631665</v>
      </c>
    </row>
    <row r="20" spans="1:57" ht="12" customHeight="1">
      <c r="A20" s="30"/>
      <c r="B20" s="144" t="str">
        <f>UPPER(LEFT(TRIM(Data!B19),1)) &amp; MID(TRIM(Data!B19),2,50)</f>
        <v>Kitų kvėpavimo sistemos organų</v>
      </c>
      <c r="C20" s="123" t="str">
        <f>Data!C19</f>
        <v>C37-C39</v>
      </c>
      <c r="D20" s="136">
        <f>Data!E19</f>
        <v>8</v>
      </c>
      <c r="E20" s="125">
        <f t="shared" si="5"/>
        <v>0.58718052791933317</v>
      </c>
      <c r="F20" s="126">
        <f t="shared" si="6"/>
        <v>0.51307211476075587</v>
      </c>
      <c r="G20" s="127">
        <f t="shared" si="7"/>
        <v>0.36116440670258343</v>
      </c>
      <c r="H20" s="56"/>
      <c r="I20" s="56"/>
      <c r="J20" s="56"/>
      <c r="K20" s="56"/>
      <c r="L20" s="56"/>
      <c r="M20" s="56"/>
      <c r="N20" s="56"/>
      <c r="O20" s="56"/>
      <c r="P20" s="58"/>
      <c r="Q20" s="307"/>
      <c r="R20" s="322" t="s">
        <v>352</v>
      </c>
      <c r="S20" s="314">
        <f t="shared" si="2"/>
        <v>51307.211476075587</v>
      </c>
      <c r="T20" s="314">
        <f>Data!AN19/T$4*100000*T$3</f>
        <v>0</v>
      </c>
      <c r="U20" s="314">
        <f>Data!AO19/U$4*100000*U$3</f>
        <v>0</v>
      </c>
      <c r="V20" s="314">
        <f>Data!AP19/V$4*100000*V$3</f>
        <v>0</v>
      </c>
      <c r="W20" s="314">
        <f>Data!AQ19/W$4*100000*W$3</f>
        <v>0</v>
      </c>
      <c r="X20" s="314">
        <f>Data!AR19/X$4*100000*X$3</f>
        <v>0</v>
      </c>
      <c r="Y20" s="314">
        <f>Data!AS19/Y$4*100000*Y$3</f>
        <v>0</v>
      </c>
      <c r="Z20" s="314">
        <f>Data!AT19/Z$4*100000*Z$3</f>
        <v>0</v>
      </c>
      <c r="AA20" s="314">
        <f>Data!AU19/AA$4*100000*AA$3</f>
        <v>0</v>
      </c>
      <c r="AB20" s="314">
        <f>Data!AV19/AB$4*100000*AB$3</f>
        <v>0</v>
      </c>
      <c r="AC20" s="314">
        <f>Data!AW19/AC$4*100000*AC$3</f>
        <v>0</v>
      </c>
      <c r="AD20" s="314">
        <f>Data!AX19/AD$4*100000*AD$3</f>
        <v>12679.666343637073</v>
      </c>
      <c r="AE20" s="314">
        <f>Data!AY19/AE$4*100000*AE$3</f>
        <v>0</v>
      </c>
      <c r="AF20" s="314">
        <f>Data!AZ19/AF$4*100000*AF$3</f>
        <v>6895.1251465214091</v>
      </c>
      <c r="AG20" s="314">
        <f>Data!BA19/AG$4*100000*AG$3</f>
        <v>14906.461951255871</v>
      </c>
      <c r="AH20" s="314">
        <f>Data!BB19/AH$4*100000*AH$3</f>
        <v>11703.663246596183</v>
      </c>
      <c r="AI20" s="314">
        <f>Data!BC19/AI$4*100000*AI$3</f>
        <v>5122.2947880650527</v>
      </c>
      <c r="AJ20" s="314">
        <f>Data!BD19/AJ$4*100000*AJ$3</f>
        <v>0</v>
      </c>
      <c r="AK20" s="314">
        <f>Data!BE19/AK$4*100000*AK$3</f>
        <v>0</v>
      </c>
      <c r="AL20" s="322" t="s">
        <v>352</v>
      </c>
      <c r="AM20" s="314">
        <f t="shared" si="3"/>
        <v>36116.440670258344</v>
      </c>
      <c r="AN20" s="314">
        <f>Data!AN19/AN$4*100000*AN$3</f>
        <v>0</v>
      </c>
      <c r="AO20" s="314">
        <f>Data!AO19/AO$4*100000*AO$3</f>
        <v>0</v>
      </c>
      <c r="AP20" s="314">
        <f>Data!AP19/AP$4*100000*AP$3</f>
        <v>0</v>
      </c>
      <c r="AQ20" s="314">
        <f>Data!AQ19/AQ$4*100000*AQ$3</f>
        <v>0</v>
      </c>
      <c r="AR20" s="314">
        <f>Data!AR19/AR$4*100000*AR$3</f>
        <v>0</v>
      </c>
      <c r="AS20" s="314">
        <f>Data!AS19/AS$4*100000*AS$3</f>
        <v>0</v>
      </c>
      <c r="AT20" s="314">
        <f>Data!AT19/AT$4*100000*AT$3</f>
        <v>0</v>
      </c>
      <c r="AU20" s="314">
        <f>Data!AU19/AU$4*100000*AU$3</f>
        <v>0</v>
      </c>
      <c r="AV20" s="314">
        <f>Data!AV19/AV$4*100000*AV$3</f>
        <v>0</v>
      </c>
      <c r="AW20" s="314">
        <f>Data!AW19/AW$4*100000*AW$3</f>
        <v>0</v>
      </c>
      <c r="AX20" s="314">
        <f>Data!AX19/AX$4*100000*AX$3</f>
        <v>9056.9045311693371</v>
      </c>
      <c r="AY20" s="314">
        <f>Data!AY19/AY$4*100000*AY$3</f>
        <v>0</v>
      </c>
      <c r="AZ20" s="314">
        <f>Data!AZ19/AZ$4*100000*AZ$3</f>
        <v>5516.1001172171273</v>
      </c>
      <c r="BA20" s="314">
        <f>Data!BA19/BA$4*100000*BA$3</f>
        <v>11179.846463441903</v>
      </c>
      <c r="BB20" s="314">
        <f>Data!BB19/BB$4*100000*BB$3</f>
        <v>7802.4421643974556</v>
      </c>
      <c r="BC20" s="314">
        <f>Data!BC19/BC$4*100000*BC$3</f>
        <v>2561.1473940325263</v>
      </c>
      <c r="BD20" s="314">
        <f>Data!BD19/BD$4*100000*BD$3</f>
        <v>0</v>
      </c>
      <c r="BE20" s="314">
        <f>Data!BE19/BE$4*100000*BE$3</f>
        <v>0</v>
      </c>
    </row>
    <row r="21" spans="1:57" ht="12" customHeight="1">
      <c r="A21" s="30"/>
      <c r="B21" s="139" t="str">
        <f>UPPER(LEFT(TRIM(Data!B20),1)) &amp; MID(TRIM(Data!B20),2,50)</f>
        <v>Kaulų ir jungiamojo audinio</v>
      </c>
      <c r="C21" s="139" t="str">
        <f>Data!C20</f>
        <v>C40-C41, C45-C47, C49</v>
      </c>
      <c r="D21" s="140">
        <f>Data!E20</f>
        <v>32</v>
      </c>
      <c r="E21" s="141">
        <f t="shared" si="5"/>
        <v>2.3487221116773327</v>
      </c>
      <c r="F21" s="142">
        <f t="shared" si="6"/>
        <v>2.1351131725723538</v>
      </c>
      <c r="G21" s="142">
        <f t="shared" si="7"/>
        <v>1.6918166384087345</v>
      </c>
      <c r="H21" s="56"/>
      <c r="I21" s="56"/>
      <c r="J21" s="56"/>
      <c r="K21" s="56"/>
      <c r="L21" s="56"/>
      <c r="M21" s="56"/>
      <c r="N21" s="56"/>
      <c r="O21" s="56"/>
      <c r="P21" s="58"/>
      <c r="Q21" s="307"/>
      <c r="R21" s="322" t="s">
        <v>352</v>
      </c>
      <c r="S21" s="314">
        <f t="shared" si="2"/>
        <v>213511.31725723538</v>
      </c>
      <c r="T21" s="314">
        <f>Data!AN20/T$4*100000*T$3</f>
        <v>10329.244673983216</v>
      </c>
      <c r="U21" s="314">
        <f>Data!AO20/U$4*100000*U$3</f>
        <v>0</v>
      </c>
      <c r="V21" s="314">
        <f>Data!AP20/V$4*100000*V$3</f>
        <v>0</v>
      </c>
      <c r="W21" s="314">
        <f>Data!AQ20/W$4*100000*W$3</f>
        <v>0</v>
      </c>
      <c r="X21" s="314">
        <f>Data!AR20/X$4*100000*X$3</f>
        <v>6361.1497323773438</v>
      </c>
      <c r="Y21" s="314">
        <f>Data!AS20/Y$4*100000*Y$3</f>
        <v>7035.5294235891261</v>
      </c>
      <c r="Z21" s="314">
        <f>Data!AT20/Z$4*100000*Z$3</f>
        <v>15816.528272044286</v>
      </c>
      <c r="AA21" s="314">
        <f>Data!AU20/AA$4*100000*AA$3</f>
        <v>7672.6623042101</v>
      </c>
      <c r="AB21" s="314">
        <f>Data!AV20/AB$4*100000*AB$3</f>
        <v>13848.086491191629</v>
      </c>
      <c r="AC21" s="314">
        <f>Data!AW20/AC$4*100000*AC$3</f>
        <v>13665.469311260347</v>
      </c>
      <c r="AD21" s="314">
        <f>Data!AX20/AD$4*100000*AD$3</f>
        <v>6339.8331718185364</v>
      </c>
      <c r="AE21" s="314">
        <f>Data!AY20/AE$4*100000*AE$3</f>
        <v>20365.216210712104</v>
      </c>
      <c r="AF21" s="314">
        <f>Data!AZ20/AF$4*100000*AF$3</f>
        <v>27580.500586085636</v>
      </c>
      <c r="AG21" s="314">
        <f>Data!BA20/AG$4*100000*AG$3</f>
        <v>37266.15487813967</v>
      </c>
      <c r="AH21" s="314">
        <f>Data!BB20/AH$4*100000*AH$3</f>
        <v>17555.494869894275</v>
      </c>
      <c r="AI21" s="314">
        <f>Data!BC20/AI$4*100000*AI$3</f>
        <v>10244.589576130105</v>
      </c>
      <c r="AJ21" s="314">
        <f>Data!BD20/AJ$4*100000*AJ$3</f>
        <v>11973.180076628352</v>
      </c>
      <c r="AK21" s="314">
        <f>Data!BE20/AK$4*100000*AK$3</f>
        <v>7457.6776791707061</v>
      </c>
      <c r="AL21" s="322" t="s">
        <v>352</v>
      </c>
      <c r="AM21" s="314">
        <f t="shared" si="3"/>
        <v>169181.66384087346</v>
      </c>
      <c r="AN21" s="314">
        <f>Data!AN20/AN$4*100000*AN$3</f>
        <v>15493.867010974822</v>
      </c>
      <c r="AO21" s="314">
        <f>Data!AO20/AO$4*100000*AO$3</f>
        <v>0</v>
      </c>
      <c r="AP21" s="314">
        <f>Data!AP20/AP$4*100000*AP$3</f>
        <v>0</v>
      </c>
      <c r="AQ21" s="314">
        <f>Data!AQ20/AQ$4*100000*AQ$3</f>
        <v>0</v>
      </c>
      <c r="AR21" s="314">
        <f>Data!AR20/AR$4*100000*AR$3</f>
        <v>7269.8854084312497</v>
      </c>
      <c r="AS21" s="314">
        <f>Data!AS20/AS$4*100000*AS$3</f>
        <v>8040.6050555304291</v>
      </c>
      <c r="AT21" s="314">
        <f>Data!AT20/AT$4*100000*AT$3</f>
        <v>13557.024233180817</v>
      </c>
      <c r="AU21" s="314">
        <f>Data!AU20/AU$4*100000*AU$3</f>
        <v>6576.5676893229429</v>
      </c>
      <c r="AV21" s="314">
        <f>Data!AV20/AV$4*100000*AV$3</f>
        <v>11869.788421021396</v>
      </c>
      <c r="AW21" s="314">
        <f>Data!AW20/AW$4*100000*AW$3</f>
        <v>11713.259409651726</v>
      </c>
      <c r="AX21" s="314">
        <f>Data!AX20/AX$4*100000*AX$3</f>
        <v>4528.4522655846686</v>
      </c>
      <c r="AY21" s="314">
        <f>Data!AY20/AY$4*100000*AY$3</f>
        <v>13576.810807141403</v>
      </c>
      <c r="AZ21" s="314">
        <f>Data!AZ20/AZ$4*100000*AZ$3</f>
        <v>22064.400468868509</v>
      </c>
      <c r="BA21" s="314">
        <f>Data!BA20/BA$4*100000*BA$3</f>
        <v>27949.616158604756</v>
      </c>
      <c r="BB21" s="314">
        <f>Data!BB20/BB$4*100000*BB$3</f>
        <v>11703.663246596185</v>
      </c>
      <c r="BC21" s="314">
        <f>Data!BC20/BC$4*100000*BC$3</f>
        <v>5122.2947880650527</v>
      </c>
      <c r="BD21" s="314">
        <f>Data!BD20/BD$4*100000*BD$3</f>
        <v>5986.5900383141761</v>
      </c>
      <c r="BE21" s="314">
        <f>Data!BE20/BE$4*100000*BE$3</f>
        <v>3728.8388395853531</v>
      </c>
    </row>
    <row r="22" spans="1:57" ht="12" customHeight="1">
      <c r="A22" s="30"/>
      <c r="B22" s="144" t="str">
        <f>UPPER(LEFT(TRIM(Data!B21),1)) &amp; MID(TRIM(Data!B21),2,50)</f>
        <v>Odos melanoma</v>
      </c>
      <c r="C22" s="123" t="str">
        <f>Data!C21</f>
        <v>C43</v>
      </c>
      <c r="D22" s="136">
        <f>Data!E21</f>
        <v>41</v>
      </c>
      <c r="E22" s="125">
        <f t="shared" si="5"/>
        <v>3.0093002055865825</v>
      </c>
      <c r="F22" s="126">
        <f t="shared" si="6"/>
        <v>2.5713596350652339</v>
      </c>
      <c r="G22" s="127">
        <f t="shared" si="7"/>
        <v>1.7975573723820046</v>
      </c>
      <c r="H22" s="56"/>
      <c r="I22" s="56"/>
      <c r="J22" s="56"/>
      <c r="K22" s="56"/>
      <c r="L22" s="56"/>
      <c r="M22" s="56"/>
      <c r="N22" s="56"/>
      <c r="O22" s="56"/>
      <c r="P22" s="58"/>
      <c r="Q22" s="307"/>
      <c r="R22" s="322" t="s">
        <v>352</v>
      </c>
      <c r="S22" s="314">
        <f t="shared" si="2"/>
        <v>257135.9635065234</v>
      </c>
      <c r="T22" s="314">
        <f>Data!AN21/T$4*100000*T$3</f>
        <v>0</v>
      </c>
      <c r="U22" s="314">
        <f>Data!AO21/U$4*100000*U$3</f>
        <v>0</v>
      </c>
      <c r="V22" s="314">
        <f>Data!AP21/V$4*100000*V$3</f>
        <v>0</v>
      </c>
      <c r="W22" s="314">
        <f>Data!AQ21/W$4*100000*W$3</f>
        <v>0</v>
      </c>
      <c r="X22" s="314">
        <f>Data!AR21/X$4*100000*X$3</f>
        <v>0</v>
      </c>
      <c r="Y22" s="314">
        <f>Data!AS21/Y$4*100000*Y$3</f>
        <v>7035.5294235891261</v>
      </c>
      <c r="Z22" s="314">
        <f>Data!AT21/Z$4*100000*Z$3</f>
        <v>0</v>
      </c>
      <c r="AA22" s="314">
        <f>Data!AU21/AA$4*100000*AA$3</f>
        <v>15345.3246084202</v>
      </c>
      <c r="AB22" s="314">
        <f>Data!AV21/AB$4*100000*AB$3</f>
        <v>13848.086491191629</v>
      </c>
      <c r="AC22" s="314">
        <f>Data!AW21/AC$4*100000*AC$3</f>
        <v>20498.20396689052</v>
      </c>
      <c r="AD22" s="314">
        <f>Data!AX21/AD$4*100000*AD$3</f>
        <v>6339.8331718185364</v>
      </c>
      <c r="AE22" s="314">
        <f>Data!AY21/AE$4*100000*AE$3</f>
        <v>33942.027017853507</v>
      </c>
      <c r="AF22" s="314">
        <f>Data!AZ21/AF$4*100000*AF$3</f>
        <v>41370.750879128464</v>
      </c>
      <c r="AG22" s="314">
        <f>Data!BA21/AG$4*100000*AG$3</f>
        <v>22359.692926883807</v>
      </c>
      <c r="AH22" s="314">
        <f>Data!BB21/AH$4*100000*AH$3</f>
        <v>23407.326493192366</v>
      </c>
      <c r="AI22" s="314">
        <f>Data!BC21/AI$4*100000*AI$3</f>
        <v>46100.653092585482</v>
      </c>
      <c r="AJ22" s="314">
        <f>Data!BD21/AJ$4*100000*AJ$3</f>
        <v>11973.180076628352</v>
      </c>
      <c r="AK22" s="314">
        <f>Data!BE21/AK$4*100000*AK$3</f>
        <v>14915.355358341412</v>
      </c>
      <c r="AL22" s="322" t="s">
        <v>352</v>
      </c>
      <c r="AM22" s="314">
        <f t="shared" si="3"/>
        <v>179755.73723820047</v>
      </c>
      <c r="AN22" s="314">
        <f>Data!AN21/AN$4*100000*AN$3</f>
        <v>0</v>
      </c>
      <c r="AO22" s="314">
        <f>Data!AO21/AO$4*100000*AO$3</f>
        <v>0</v>
      </c>
      <c r="AP22" s="314">
        <f>Data!AP21/AP$4*100000*AP$3</f>
        <v>0</v>
      </c>
      <c r="AQ22" s="314">
        <f>Data!AQ21/AQ$4*100000*AQ$3</f>
        <v>0</v>
      </c>
      <c r="AR22" s="314">
        <f>Data!AR21/AR$4*100000*AR$3</f>
        <v>0</v>
      </c>
      <c r="AS22" s="314">
        <f>Data!AS21/AS$4*100000*AS$3</f>
        <v>8040.6050555304291</v>
      </c>
      <c r="AT22" s="314">
        <f>Data!AT21/AT$4*100000*AT$3</f>
        <v>0</v>
      </c>
      <c r="AU22" s="314">
        <f>Data!AU21/AU$4*100000*AU$3</f>
        <v>13153.135378645886</v>
      </c>
      <c r="AV22" s="314">
        <f>Data!AV21/AV$4*100000*AV$3</f>
        <v>11869.788421021396</v>
      </c>
      <c r="AW22" s="314">
        <f>Data!AW21/AW$4*100000*AW$3</f>
        <v>17569.889114477592</v>
      </c>
      <c r="AX22" s="314">
        <f>Data!AX21/AX$4*100000*AX$3</f>
        <v>4528.4522655846686</v>
      </c>
      <c r="AY22" s="314">
        <f>Data!AY21/AY$4*100000*AY$3</f>
        <v>22628.018011902339</v>
      </c>
      <c r="AZ22" s="314">
        <f>Data!AZ21/AZ$4*100000*AZ$3</f>
        <v>33096.600703302771</v>
      </c>
      <c r="BA22" s="314">
        <f>Data!BA21/BA$4*100000*BA$3</f>
        <v>16769.769695162853</v>
      </c>
      <c r="BB22" s="314">
        <f>Data!BB21/BB$4*100000*BB$3</f>
        <v>15604.884328794911</v>
      </c>
      <c r="BC22" s="314">
        <f>Data!BC21/BC$4*100000*BC$3</f>
        <v>23050.326546292741</v>
      </c>
      <c r="BD22" s="314">
        <f>Data!BD21/BD$4*100000*BD$3</f>
        <v>5986.5900383141761</v>
      </c>
      <c r="BE22" s="314">
        <f>Data!BE21/BE$4*100000*BE$3</f>
        <v>7457.6776791707061</v>
      </c>
    </row>
    <row r="23" spans="1:57" ht="12" customHeight="1">
      <c r="A23" s="30"/>
      <c r="B23" s="139" t="str">
        <f>UPPER(LEFT(TRIM(Data!B22),1)) &amp; MID(TRIM(Data!B22),2,50)</f>
        <v>Kiti odos piktybiniai navikai</v>
      </c>
      <c r="C23" s="139" t="str">
        <f>Data!C22</f>
        <v>C44</v>
      </c>
      <c r="D23" s="140">
        <f>Data!E22</f>
        <v>18</v>
      </c>
      <c r="E23" s="141">
        <f t="shared" si="5"/>
        <v>1.3211561878184994</v>
      </c>
      <c r="F23" s="142">
        <f t="shared" si="6"/>
        <v>1.1103679500904913</v>
      </c>
      <c r="G23" s="142">
        <f t="shared" si="7"/>
        <v>0.68521671523086658</v>
      </c>
      <c r="H23" s="56"/>
      <c r="I23" s="56"/>
      <c r="J23" s="56"/>
      <c r="K23" s="56"/>
      <c r="L23" s="56"/>
      <c r="M23" s="56"/>
      <c r="N23" s="56"/>
      <c r="O23" s="56"/>
      <c r="P23" s="58"/>
      <c r="Q23" s="307"/>
      <c r="R23" s="322" t="s">
        <v>352</v>
      </c>
      <c r="S23" s="314">
        <f t="shared" si="2"/>
        <v>111036.79500904912</v>
      </c>
      <c r="T23" s="314">
        <f>Data!AN22/T$4*100000*T$3</f>
        <v>0</v>
      </c>
      <c r="U23" s="314">
        <f>Data!AO22/U$4*100000*U$3</f>
        <v>0</v>
      </c>
      <c r="V23" s="314">
        <f>Data!AP22/V$4*100000*V$3</f>
        <v>0</v>
      </c>
      <c r="W23" s="314">
        <f>Data!AQ22/W$4*100000*W$3</f>
        <v>0</v>
      </c>
      <c r="X23" s="314">
        <f>Data!AR22/X$4*100000*X$3</f>
        <v>0</v>
      </c>
      <c r="Y23" s="314">
        <f>Data!AS22/Y$4*100000*Y$3</f>
        <v>0</v>
      </c>
      <c r="Z23" s="314">
        <f>Data!AT22/Z$4*100000*Z$3</f>
        <v>0</v>
      </c>
      <c r="AA23" s="314">
        <f>Data!AU22/AA$4*100000*AA$3</f>
        <v>0</v>
      </c>
      <c r="AB23" s="314">
        <f>Data!AV22/AB$4*100000*AB$3</f>
        <v>0</v>
      </c>
      <c r="AC23" s="314">
        <f>Data!AW22/AC$4*100000*AC$3</f>
        <v>0</v>
      </c>
      <c r="AD23" s="314">
        <f>Data!AX22/AD$4*100000*AD$3</f>
        <v>0</v>
      </c>
      <c r="AE23" s="314">
        <f>Data!AY22/AE$4*100000*AE$3</f>
        <v>20365.216210712104</v>
      </c>
      <c r="AF23" s="314">
        <f>Data!AZ22/AF$4*100000*AF$3</f>
        <v>6895.1251465214091</v>
      </c>
      <c r="AG23" s="314">
        <f>Data!BA22/AG$4*100000*AG$3</f>
        <v>22359.692926883807</v>
      </c>
      <c r="AH23" s="314">
        <f>Data!BB22/AH$4*100000*AH$3</f>
        <v>11703.663246596183</v>
      </c>
      <c r="AI23" s="314">
        <f>Data!BC22/AI$4*100000*AI$3</f>
        <v>15366.884364195161</v>
      </c>
      <c r="AJ23" s="314">
        <f>Data!BD22/AJ$4*100000*AJ$3</f>
        <v>11973.180076628352</v>
      </c>
      <c r="AK23" s="314">
        <f>Data!BE22/AK$4*100000*AK$3</f>
        <v>22373.033037512119</v>
      </c>
      <c r="AL23" s="322" t="s">
        <v>352</v>
      </c>
      <c r="AM23" s="314">
        <f t="shared" si="3"/>
        <v>68521.671523086654</v>
      </c>
      <c r="AN23" s="314">
        <f>Data!AN22/AN$4*100000*AN$3</f>
        <v>0</v>
      </c>
      <c r="AO23" s="314">
        <f>Data!AO22/AO$4*100000*AO$3</f>
        <v>0</v>
      </c>
      <c r="AP23" s="314">
        <f>Data!AP22/AP$4*100000*AP$3</f>
        <v>0</v>
      </c>
      <c r="AQ23" s="314">
        <f>Data!AQ22/AQ$4*100000*AQ$3</f>
        <v>0</v>
      </c>
      <c r="AR23" s="314">
        <f>Data!AR22/AR$4*100000*AR$3</f>
        <v>0</v>
      </c>
      <c r="AS23" s="314">
        <f>Data!AS22/AS$4*100000*AS$3</f>
        <v>0</v>
      </c>
      <c r="AT23" s="314">
        <f>Data!AT22/AT$4*100000*AT$3</f>
        <v>0</v>
      </c>
      <c r="AU23" s="314">
        <f>Data!AU22/AU$4*100000*AU$3</f>
        <v>0</v>
      </c>
      <c r="AV23" s="314">
        <f>Data!AV22/AV$4*100000*AV$3</f>
        <v>0</v>
      </c>
      <c r="AW23" s="314">
        <f>Data!AW22/AW$4*100000*AW$3</f>
        <v>0</v>
      </c>
      <c r="AX23" s="314">
        <f>Data!AX22/AX$4*100000*AX$3</f>
        <v>0</v>
      </c>
      <c r="AY23" s="314">
        <f>Data!AY22/AY$4*100000*AY$3</f>
        <v>13576.810807141403</v>
      </c>
      <c r="AZ23" s="314">
        <f>Data!AZ22/AZ$4*100000*AZ$3</f>
        <v>5516.1001172171273</v>
      </c>
      <c r="BA23" s="314">
        <f>Data!BA22/BA$4*100000*BA$3</f>
        <v>16769.769695162853</v>
      </c>
      <c r="BB23" s="314">
        <f>Data!BB22/BB$4*100000*BB$3</f>
        <v>7802.4421643974556</v>
      </c>
      <c r="BC23" s="314">
        <f>Data!BC22/BC$4*100000*BC$3</f>
        <v>7683.4421820975804</v>
      </c>
      <c r="BD23" s="314">
        <f>Data!BD22/BD$4*100000*BD$3</f>
        <v>5986.5900383141761</v>
      </c>
      <c r="BE23" s="314">
        <f>Data!BE22/BE$4*100000*BE$3</f>
        <v>11186.51651875606</v>
      </c>
    </row>
    <row r="24" spans="1:57" ht="12" customHeight="1">
      <c r="A24" s="30"/>
      <c r="B24" s="144" t="str">
        <f>UPPER(LEFT(TRIM(Data!B23),1)) &amp; MID(TRIM(Data!B23),2,50)</f>
        <v>Krūties</v>
      </c>
      <c r="C24" s="123" t="str">
        <f>Data!C23</f>
        <v>C50</v>
      </c>
      <c r="D24" s="136">
        <f>Data!E23</f>
        <v>4</v>
      </c>
      <c r="E24" s="125">
        <f t="shared" si="5"/>
        <v>0.29359026395966659</v>
      </c>
      <c r="F24" s="126">
        <f t="shared" si="6"/>
        <v>0.24283635713831939</v>
      </c>
      <c r="G24" s="127">
        <f t="shared" si="7"/>
        <v>0.14092428398015333</v>
      </c>
      <c r="H24" s="56"/>
      <c r="I24" s="56"/>
      <c r="J24" s="56"/>
      <c r="K24" s="56"/>
      <c r="L24" s="56"/>
      <c r="M24" s="56"/>
      <c r="N24" s="56"/>
      <c r="O24" s="56"/>
      <c r="P24" s="58"/>
      <c r="Q24" s="307"/>
      <c r="R24" s="322" t="s">
        <v>352</v>
      </c>
      <c r="S24" s="314">
        <f t="shared" si="2"/>
        <v>24283.63571383194</v>
      </c>
      <c r="T24" s="314">
        <f>Data!AN23/T$4*100000*T$3</f>
        <v>0</v>
      </c>
      <c r="U24" s="314">
        <f>Data!AO23/U$4*100000*U$3</f>
        <v>0</v>
      </c>
      <c r="V24" s="314">
        <f>Data!AP23/V$4*100000*V$3</f>
        <v>0</v>
      </c>
      <c r="W24" s="314">
        <f>Data!AQ23/W$4*100000*W$3</f>
        <v>0</v>
      </c>
      <c r="X24" s="314">
        <f>Data!AR23/X$4*100000*X$3</f>
        <v>0</v>
      </c>
      <c r="Y24" s="314">
        <f>Data!AS23/Y$4*100000*Y$3</f>
        <v>0</v>
      </c>
      <c r="Z24" s="314">
        <f>Data!AT23/Z$4*100000*Z$3</f>
        <v>0</v>
      </c>
      <c r="AA24" s="314">
        <f>Data!AU23/AA$4*100000*AA$3</f>
        <v>0</v>
      </c>
      <c r="AB24" s="314">
        <f>Data!AV23/AB$4*100000*AB$3</f>
        <v>0</v>
      </c>
      <c r="AC24" s="314">
        <f>Data!AW23/AC$4*100000*AC$3</f>
        <v>0</v>
      </c>
      <c r="AD24" s="314">
        <f>Data!AX23/AD$4*100000*AD$3</f>
        <v>0</v>
      </c>
      <c r="AE24" s="314">
        <f>Data!AY23/AE$4*100000*AE$3</f>
        <v>0</v>
      </c>
      <c r="AF24" s="314">
        <f>Data!AZ23/AF$4*100000*AF$3</f>
        <v>0</v>
      </c>
      <c r="AG24" s="314">
        <f>Data!BA23/AG$4*100000*AG$3</f>
        <v>0</v>
      </c>
      <c r="AH24" s="314">
        <f>Data!BB23/AH$4*100000*AH$3</f>
        <v>11703.663246596183</v>
      </c>
      <c r="AI24" s="314">
        <f>Data!BC23/AI$4*100000*AI$3</f>
        <v>5122.2947880650527</v>
      </c>
      <c r="AJ24" s="314">
        <f>Data!BD23/AJ$4*100000*AJ$3</f>
        <v>0</v>
      </c>
      <c r="AK24" s="314">
        <f>Data!BE23/AK$4*100000*AK$3</f>
        <v>7457.6776791707061</v>
      </c>
      <c r="AL24" s="322" t="s">
        <v>352</v>
      </c>
      <c r="AM24" s="314">
        <f t="shared" si="3"/>
        <v>14092.428398015334</v>
      </c>
      <c r="AN24" s="314">
        <f>Data!AN23/AN$4*100000*AN$3</f>
        <v>0</v>
      </c>
      <c r="AO24" s="314">
        <f>Data!AO23/AO$4*100000*AO$3</f>
        <v>0</v>
      </c>
      <c r="AP24" s="314">
        <f>Data!AP23/AP$4*100000*AP$3</f>
        <v>0</v>
      </c>
      <c r="AQ24" s="314">
        <f>Data!AQ23/AQ$4*100000*AQ$3</f>
        <v>0</v>
      </c>
      <c r="AR24" s="314">
        <f>Data!AR23/AR$4*100000*AR$3</f>
        <v>0</v>
      </c>
      <c r="AS24" s="314">
        <f>Data!AS23/AS$4*100000*AS$3</f>
        <v>0</v>
      </c>
      <c r="AT24" s="314">
        <f>Data!AT23/AT$4*100000*AT$3</f>
        <v>0</v>
      </c>
      <c r="AU24" s="314">
        <f>Data!AU23/AU$4*100000*AU$3</f>
        <v>0</v>
      </c>
      <c r="AV24" s="314">
        <f>Data!AV23/AV$4*100000*AV$3</f>
        <v>0</v>
      </c>
      <c r="AW24" s="314">
        <f>Data!AW23/AW$4*100000*AW$3</f>
        <v>0</v>
      </c>
      <c r="AX24" s="314">
        <f>Data!AX23/AX$4*100000*AX$3</f>
        <v>0</v>
      </c>
      <c r="AY24" s="314">
        <f>Data!AY23/AY$4*100000*AY$3</f>
        <v>0</v>
      </c>
      <c r="AZ24" s="314">
        <f>Data!AZ23/AZ$4*100000*AZ$3</f>
        <v>0</v>
      </c>
      <c r="BA24" s="314">
        <f>Data!BA23/BA$4*100000*BA$3</f>
        <v>0</v>
      </c>
      <c r="BB24" s="314">
        <f>Data!BB23/BB$4*100000*BB$3</f>
        <v>7802.4421643974556</v>
      </c>
      <c r="BC24" s="314">
        <f>Data!BC23/BC$4*100000*BC$3</f>
        <v>2561.1473940325263</v>
      </c>
      <c r="BD24" s="314">
        <f>Data!BD23/BD$4*100000*BD$3</f>
        <v>0</v>
      </c>
      <c r="BE24" s="314">
        <f>Data!BE23/BE$4*100000*BE$3</f>
        <v>3728.8388395853531</v>
      </c>
    </row>
    <row r="25" spans="1:57" ht="12" customHeight="1">
      <c r="A25" s="30"/>
      <c r="B25" s="139" t="str">
        <f>UPPER(LEFT(TRIM(Data!B28),1)) &amp; MID(TRIM(Data!B28),2,50)</f>
        <v>Priešinės liaukos</v>
      </c>
      <c r="C25" s="139" t="str">
        <f>Data!C28</f>
        <v>C61</v>
      </c>
      <c r="D25" s="140">
        <f>Data!E28</f>
        <v>529</v>
      </c>
      <c r="E25" s="141">
        <f t="shared" si="5"/>
        <v>38.827312408665904</v>
      </c>
      <c r="F25" s="142">
        <f t="shared" si="6"/>
        <v>30.453752312666605</v>
      </c>
      <c r="G25" s="142">
        <f t="shared" si="7"/>
        <v>18.10938916506699</v>
      </c>
      <c r="H25" s="56"/>
      <c r="I25" s="56"/>
      <c r="J25" s="56"/>
      <c r="K25" s="56"/>
      <c r="L25" s="56"/>
      <c r="M25" s="56"/>
      <c r="N25" s="56"/>
      <c r="O25" s="56"/>
      <c r="P25" s="56"/>
      <c r="Q25" s="307"/>
      <c r="R25" s="322" t="s">
        <v>352</v>
      </c>
      <c r="S25" s="314">
        <f t="shared" si="2"/>
        <v>3045375.2312666606</v>
      </c>
      <c r="T25" s="314">
        <f>Data!AN28/T$4*100000*T$3</f>
        <v>0</v>
      </c>
      <c r="U25" s="314">
        <f>Data!AO28/U$4*100000*U$3</f>
        <v>0</v>
      </c>
      <c r="V25" s="314">
        <f>Data!AP28/V$4*100000*V$3</f>
        <v>0</v>
      </c>
      <c r="W25" s="314">
        <f>Data!AQ28/W$4*100000*W$3</f>
        <v>0</v>
      </c>
      <c r="X25" s="314">
        <f>Data!AR28/X$4*100000*X$3</f>
        <v>0</v>
      </c>
      <c r="Y25" s="314">
        <f>Data!AS28/Y$4*100000*Y$3</f>
        <v>7035.5294235891261</v>
      </c>
      <c r="Z25" s="314">
        <f>Data!AT28/Z$4*100000*Z$3</f>
        <v>0</v>
      </c>
      <c r="AA25" s="314">
        <f>Data!AU28/AA$4*100000*AA$3</f>
        <v>0</v>
      </c>
      <c r="AB25" s="314">
        <f>Data!AV28/AB$4*100000*AB$3</f>
        <v>0</v>
      </c>
      <c r="AC25" s="314">
        <f>Data!AW28/AC$4*100000*AC$3</f>
        <v>20498.20396689052</v>
      </c>
      <c r="AD25" s="314">
        <f>Data!AX28/AD$4*100000*AD$3</f>
        <v>25359.332687274145</v>
      </c>
      <c r="AE25" s="314">
        <f>Data!AY28/AE$4*100000*AE$3</f>
        <v>128979.70266784332</v>
      </c>
      <c r="AF25" s="314">
        <f>Data!AZ28/AF$4*100000*AF$3</f>
        <v>206853.75439564229</v>
      </c>
      <c r="AG25" s="314">
        <f>Data!BA28/AG$4*100000*AG$3</f>
        <v>402474.47268390848</v>
      </c>
      <c r="AH25" s="314">
        <f>Data!BB28/AH$4*100000*AH$3</f>
        <v>520813.01447353023</v>
      </c>
      <c r="AI25" s="314">
        <f>Data!BC28/AI$4*100000*AI$3</f>
        <v>553207.8371110257</v>
      </c>
      <c r="AJ25" s="314">
        <f>Data!BD28/AJ$4*100000*AJ$3</f>
        <v>538793.10344827594</v>
      </c>
      <c r="AK25" s="314">
        <f>Data!BE28/AK$4*100000*AK$3</f>
        <v>641360.28040868079</v>
      </c>
      <c r="AL25" s="322" t="s">
        <v>352</v>
      </c>
      <c r="AM25" s="314">
        <f t="shared" si="3"/>
        <v>1810938.9165066988</v>
      </c>
      <c r="AN25" s="314">
        <f>Data!AN28/AN$4*100000*AN$3</f>
        <v>0</v>
      </c>
      <c r="AO25" s="314">
        <f>Data!AO28/AO$4*100000*AO$3</f>
        <v>0</v>
      </c>
      <c r="AP25" s="314">
        <f>Data!AP28/AP$4*100000*AP$3</f>
        <v>0</v>
      </c>
      <c r="AQ25" s="314">
        <f>Data!AQ28/AQ$4*100000*AQ$3</f>
        <v>0</v>
      </c>
      <c r="AR25" s="314">
        <f>Data!AR28/AR$4*100000*AR$3</f>
        <v>0</v>
      </c>
      <c r="AS25" s="314">
        <f>Data!AS28/AS$4*100000*AS$3</f>
        <v>8040.6050555304291</v>
      </c>
      <c r="AT25" s="314">
        <f>Data!AT28/AT$4*100000*AT$3</f>
        <v>0</v>
      </c>
      <c r="AU25" s="314">
        <f>Data!AU28/AU$4*100000*AU$3</f>
        <v>0</v>
      </c>
      <c r="AV25" s="314">
        <f>Data!AV28/AV$4*100000*AV$3</f>
        <v>0</v>
      </c>
      <c r="AW25" s="314">
        <f>Data!AW28/AW$4*100000*AW$3</f>
        <v>17569.889114477592</v>
      </c>
      <c r="AX25" s="314">
        <f>Data!AX28/AX$4*100000*AX$3</f>
        <v>18113.809062338674</v>
      </c>
      <c r="AY25" s="314">
        <f>Data!AY28/AY$4*100000*AY$3</f>
        <v>85986.468445228878</v>
      </c>
      <c r="AZ25" s="314">
        <f>Data!AZ28/AZ$4*100000*AZ$3</f>
        <v>165483.00351651383</v>
      </c>
      <c r="BA25" s="314">
        <f>Data!BA28/BA$4*100000*BA$3</f>
        <v>301855.85451293137</v>
      </c>
      <c r="BB25" s="314">
        <f>Data!BB28/BB$4*100000*BB$3</f>
        <v>347208.67631568684</v>
      </c>
      <c r="BC25" s="314">
        <f>Data!BC28/BC$4*100000*BC$3</f>
        <v>276603.91855551285</v>
      </c>
      <c r="BD25" s="314">
        <f>Data!BD28/BD$4*100000*BD$3</f>
        <v>269396.55172413797</v>
      </c>
      <c r="BE25" s="314">
        <f>Data!BE28/BE$4*100000*BE$3</f>
        <v>320680.14020434039</v>
      </c>
    </row>
    <row r="26" spans="1:57" ht="12" customHeight="1">
      <c r="A26" s="30"/>
      <c r="B26" s="144" t="str">
        <f>UPPER(LEFT(TRIM(Data!B29),1)) &amp; MID(TRIM(Data!B29),2,50)</f>
        <v>Sėklidžių</v>
      </c>
      <c r="C26" s="123" t="str">
        <f>Data!C29</f>
        <v>C62</v>
      </c>
      <c r="D26" s="136">
        <f>Data!E29</f>
        <v>7</v>
      </c>
      <c r="E26" s="125">
        <f t="shared" si="5"/>
        <v>0.51378296192941653</v>
      </c>
      <c r="F26" s="126">
        <f t="shared" si="6"/>
        <v>0.47103603507058767</v>
      </c>
      <c r="G26" s="127">
        <f t="shared" si="7"/>
        <v>0.37262101959303734</v>
      </c>
      <c r="H26" s="56"/>
      <c r="I26" s="56"/>
      <c r="J26" s="56"/>
      <c r="K26" s="56"/>
      <c r="L26" s="56"/>
      <c r="M26" s="56"/>
      <c r="N26" s="56"/>
      <c r="O26" s="56"/>
      <c r="P26" s="56"/>
      <c r="Q26" s="307"/>
      <c r="R26" s="322" t="s">
        <v>352</v>
      </c>
      <c r="S26" s="314">
        <f t="shared" si="2"/>
        <v>47103.603507058768</v>
      </c>
      <c r="T26" s="314">
        <f>Data!AN29/T$4*100000*T$3</f>
        <v>0</v>
      </c>
      <c r="U26" s="314">
        <f>Data!AO29/U$4*100000*U$3</f>
        <v>0</v>
      </c>
      <c r="V26" s="314">
        <f>Data!AP29/V$4*100000*V$3</f>
        <v>0</v>
      </c>
      <c r="W26" s="314">
        <f>Data!AQ29/W$4*100000*W$3</f>
        <v>0</v>
      </c>
      <c r="X26" s="314">
        <f>Data!AR29/X$4*100000*X$3</f>
        <v>0</v>
      </c>
      <c r="Y26" s="314">
        <f>Data!AS29/Y$4*100000*Y$3</f>
        <v>0</v>
      </c>
      <c r="Z26" s="314">
        <f>Data!AT29/Z$4*100000*Z$3</f>
        <v>7908.2641360221432</v>
      </c>
      <c r="AA26" s="314">
        <f>Data!AU29/AA$4*100000*AA$3</f>
        <v>7672.6623042101</v>
      </c>
      <c r="AB26" s="314">
        <f>Data!AV29/AB$4*100000*AB$3</f>
        <v>13848.086491191629</v>
      </c>
      <c r="AC26" s="314">
        <f>Data!AW29/AC$4*100000*AC$3</f>
        <v>0</v>
      </c>
      <c r="AD26" s="314">
        <f>Data!AX29/AD$4*100000*AD$3</f>
        <v>0</v>
      </c>
      <c r="AE26" s="314">
        <f>Data!AY29/AE$4*100000*AE$3</f>
        <v>6788.4054035707013</v>
      </c>
      <c r="AF26" s="314">
        <f>Data!AZ29/AF$4*100000*AF$3</f>
        <v>6895.1251465214091</v>
      </c>
      <c r="AG26" s="314">
        <f>Data!BA29/AG$4*100000*AG$3</f>
        <v>0</v>
      </c>
      <c r="AH26" s="314">
        <f>Data!BB29/AH$4*100000*AH$3</f>
        <v>0</v>
      </c>
      <c r="AI26" s="314">
        <f>Data!BC29/AI$4*100000*AI$3</f>
        <v>0</v>
      </c>
      <c r="AJ26" s="314">
        <f>Data!BD29/AJ$4*100000*AJ$3</f>
        <v>3991.0600255427844</v>
      </c>
      <c r="AK26" s="314">
        <f>Data!BE29/AK$4*100000*AK$3</f>
        <v>0</v>
      </c>
      <c r="AL26" s="322" t="s">
        <v>352</v>
      </c>
      <c r="AM26" s="314">
        <f t="shared" si="3"/>
        <v>37262.101959303734</v>
      </c>
      <c r="AN26" s="314">
        <f>Data!AN29/AN$4*100000*AN$3</f>
        <v>0</v>
      </c>
      <c r="AO26" s="314">
        <f>Data!AO29/AO$4*100000*AO$3</f>
        <v>0</v>
      </c>
      <c r="AP26" s="314">
        <f>Data!AP29/AP$4*100000*AP$3</f>
        <v>0</v>
      </c>
      <c r="AQ26" s="314">
        <f>Data!AQ29/AQ$4*100000*AQ$3</f>
        <v>0</v>
      </c>
      <c r="AR26" s="314">
        <f>Data!AR29/AR$4*100000*AR$3</f>
        <v>0</v>
      </c>
      <c r="AS26" s="314">
        <f>Data!AS29/AS$4*100000*AS$3</f>
        <v>0</v>
      </c>
      <c r="AT26" s="314">
        <f>Data!AT29/AT$4*100000*AT$3</f>
        <v>6778.5121165904084</v>
      </c>
      <c r="AU26" s="314">
        <f>Data!AU29/AU$4*100000*AU$3</f>
        <v>6576.5676893229429</v>
      </c>
      <c r="AV26" s="314">
        <f>Data!AV29/AV$4*100000*AV$3</f>
        <v>11869.788421021396</v>
      </c>
      <c r="AW26" s="314">
        <f>Data!AW29/AW$4*100000*AW$3</f>
        <v>0</v>
      </c>
      <c r="AX26" s="314">
        <f>Data!AX29/AX$4*100000*AX$3</f>
        <v>0</v>
      </c>
      <c r="AY26" s="314">
        <f>Data!AY29/AY$4*100000*AY$3</f>
        <v>4525.6036023804672</v>
      </c>
      <c r="AZ26" s="314">
        <f>Data!AZ29/AZ$4*100000*AZ$3</f>
        <v>5516.1001172171273</v>
      </c>
      <c r="BA26" s="314">
        <f>Data!BA29/BA$4*100000*BA$3</f>
        <v>0</v>
      </c>
      <c r="BB26" s="314">
        <f>Data!BB29/BB$4*100000*BB$3</f>
        <v>0</v>
      </c>
      <c r="BC26" s="314">
        <f>Data!BC29/BC$4*100000*BC$3</f>
        <v>0</v>
      </c>
      <c r="BD26" s="314">
        <f>Data!BD29/BD$4*100000*BD$3</f>
        <v>1995.5300127713922</v>
      </c>
      <c r="BE26" s="314">
        <f>Data!BE29/BE$4*100000*BE$3</f>
        <v>0</v>
      </c>
    </row>
    <row r="27" spans="1:57" ht="12" customHeight="1">
      <c r="A27" s="30"/>
      <c r="B27" s="139" t="str">
        <f>UPPER(LEFT(TRIM(Data!B30),1)) &amp; MID(TRIM(Data!B30),2,50)</f>
        <v>Kitų lyties organų</v>
      </c>
      <c r="C27" s="139" t="s">
        <v>416</v>
      </c>
      <c r="D27" s="140">
        <f>Data!E30</f>
        <v>8</v>
      </c>
      <c r="E27" s="141">
        <f t="shared" si="5"/>
        <v>0.58718052791933317</v>
      </c>
      <c r="F27" s="142">
        <f t="shared" si="6"/>
        <v>0.48789881592220935</v>
      </c>
      <c r="G27" s="142">
        <f t="shared" si="7"/>
        <v>0.34974902386787876</v>
      </c>
      <c r="H27" s="56"/>
      <c r="I27" s="56"/>
      <c r="J27" s="56"/>
      <c r="K27" s="56"/>
      <c r="L27" s="56"/>
      <c r="M27" s="56"/>
      <c r="N27" s="56"/>
      <c r="O27" s="56"/>
      <c r="P27" s="56"/>
      <c r="Q27" s="307"/>
      <c r="R27" s="322" t="s">
        <v>352</v>
      </c>
      <c r="S27" s="314">
        <f t="shared" si="2"/>
        <v>48789.881592220932</v>
      </c>
      <c r="T27" s="314">
        <f>Data!AN30/T$4*100000*T$3</f>
        <v>0</v>
      </c>
      <c r="U27" s="314">
        <f>Data!AO30/U$4*100000*U$3</f>
        <v>0</v>
      </c>
      <c r="V27" s="314">
        <f>Data!AP30/V$4*100000*V$3</f>
        <v>0</v>
      </c>
      <c r="W27" s="314">
        <f>Data!AQ30/W$4*100000*W$3</f>
        <v>0</v>
      </c>
      <c r="X27" s="314">
        <f>Data!AR30/X$4*100000*X$3</f>
        <v>0</v>
      </c>
      <c r="Y27" s="314">
        <f>Data!AS30/Y$4*100000*Y$3</f>
        <v>0</v>
      </c>
      <c r="Z27" s="314">
        <f>Data!AT30/Z$4*100000*Z$3</f>
        <v>0</v>
      </c>
      <c r="AA27" s="314">
        <f>Data!AU30/AA$4*100000*AA$3</f>
        <v>0</v>
      </c>
      <c r="AB27" s="314">
        <f>Data!AV30/AB$4*100000*AB$3</f>
        <v>6924.0432455958144</v>
      </c>
      <c r="AC27" s="314">
        <f>Data!AW30/AC$4*100000*AC$3</f>
        <v>0</v>
      </c>
      <c r="AD27" s="314">
        <f>Data!AX30/AD$4*100000*AD$3</f>
        <v>0</v>
      </c>
      <c r="AE27" s="314">
        <f>Data!AY30/AE$4*100000*AE$3</f>
        <v>6788.4054035707013</v>
      </c>
      <c r="AF27" s="314">
        <f>Data!AZ30/AF$4*100000*AF$3</f>
        <v>13790.250293042818</v>
      </c>
      <c r="AG27" s="314">
        <f>Data!BA30/AG$4*100000*AG$3</f>
        <v>7453.2309756279355</v>
      </c>
      <c r="AH27" s="314">
        <f>Data!BB30/AH$4*100000*AH$3</f>
        <v>5851.8316232980915</v>
      </c>
      <c r="AI27" s="314">
        <f>Data!BC30/AI$4*100000*AI$3</f>
        <v>0</v>
      </c>
      <c r="AJ27" s="314">
        <f>Data!BD30/AJ$4*100000*AJ$3</f>
        <v>7982.1200510855688</v>
      </c>
      <c r="AK27" s="314">
        <f>Data!BE30/AK$4*100000*AK$3</f>
        <v>0</v>
      </c>
      <c r="AL27" s="322" t="s">
        <v>352</v>
      </c>
      <c r="AM27" s="314">
        <f t="shared" si="3"/>
        <v>34974.902386787879</v>
      </c>
      <c r="AN27" s="314">
        <f>Data!AN30/AN$4*100000*AN$3</f>
        <v>0</v>
      </c>
      <c r="AO27" s="314">
        <f>Data!AO30/AO$4*100000*AO$3</f>
        <v>0</v>
      </c>
      <c r="AP27" s="314">
        <f>Data!AP30/AP$4*100000*AP$3</f>
        <v>0</v>
      </c>
      <c r="AQ27" s="314">
        <f>Data!AQ30/AQ$4*100000*AQ$3</f>
        <v>0</v>
      </c>
      <c r="AR27" s="314">
        <f>Data!AR30/AR$4*100000*AR$3</f>
        <v>0</v>
      </c>
      <c r="AS27" s="314">
        <f>Data!AS30/AS$4*100000*AS$3</f>
        <v>0</v>
      </c>
      <c r="AT27" s="314">
        <f>Data!AT30/AT$4*100000*AT$3</f>
        <v>0</v>
      </c>
      <c r="AU27" s="314">
        <f>Data!AU30/AU$4*100000*AU$3</f>
        <v>0</v>
      </c>
      <c r="AV27" s="314">
        <f>Data!AV30/AV$4*100000*AV$3</f>
        <v>5934.894210510698</v>
      </c>
      <c r="AW27" s="314">
        <f>Data!AW30/AW$4*100000*AW$3</f>
        <v>0</v>
      </c>
      <c r="AX27" s="314">
        <f>Data!AX30/AX$4*100000*AX$3</f>
        <v>0</v>
      </c>
      <c r="AY27" s="314">
        <f>Data!AY30/AY$4*100000*AY$3</f>
        <v>4525.6036023804672</v>
      </c>
      <c r="AZ27" s="314">
        <f>Data!AZ30/AZ$4*100000*AZ$3</f>
        <v>11032.200234434255</v>
      </c>
      <c r="BA27" s="314">
        <f>Data!BA30/BA$4*100000*BA$3</f>
        <v>5589.9232317209517</v>
      </c>
      <c r="BB27" s="314">
        <f>Data!BB30/BB$4*100000*BB$3</f>
        <v>3901.2210821987278</v>
      </c>
      <c r="BC27" s="314">
        <f>Data!BC30/BC$4*100000*BC$3</f>
        <v>0</v>
      </c>
      <c r="BD27" s="314">
        <f>Data!BD30/BD$4*100000*BD$3</f>
        <v>3991.0600255427844</v>
      </c>
      <c r="BE27" s="314">
        <f>Data!BE30/BE$4*100000*BE$3</f>
        <v>0</v>
      </c>
    </row>
    <row r="28" spans="1:57" ht="12" customHeight="1">
      <c r="A28" s="30"/>
      <c r="B28" s="144" t="str">
        <f>UPPER(LEFT(TRIM(Data!B31),1)) &amp; MID(TRIM(Data!B31),2,50)</f>
        <v>Inkstų</v>
      </c>
      <c r="C28" s="123" t="str">
        <f>Data!C31</f>
        <v>C64</v>
      </c>
      <c r="D28" s="136">
        <f>Data!E31</f>
        <v>164</v>
      </c>
      <c r="E28" s="125">
        <f t="shared" si="5"/>
        <v>12.03720082234633</v>
      </c>
      <c r="F28" s="126">
        <f t="shared" si="6"/>
        <v>10.051872174211567</v>
      </c>
      <c r="G28" s="127">
        <f t="shared" si="7"/>
        <v>6.6126271590513168</v>
      </c>
      <c r="H28" s="56"/>
      <c r="I28" s="56"/>
      <c r="J28" s="56"/>
      <c r="K28" s="56"/>
      <c r="L28" s="56"/>
      <c r="M28" s="56"/>
      <c r="N28" s="56"/>
      <c r="O28" s="56"/>
      <c r="P28" s="56"/>
      <c r="Q28" s="307"/>
      <c r="R28" s="322" t="s">
        <v>352</v>
      </c>
      <c r="S28" s="314">
        <f t="shared" si="2"/>
        <v>1005187.2174211568</v>
      </c>
      <c r="T28" s="314">
        <f>Data!AN31/T$4*100000*T$3</f>
        <v>0</v>
      </c>
      <c r="U28" s="314">
        <f>Data!AO31/U$4*100000*U$3</f>
        <v>0</v>
      </c>
      <c r="V28" s="314">
        <f>Data!AP31/V$4*100000*V$3</f>
        <v>0</v>
      </c>
      <c r="W28" s="314">
        <f>Data!AQ31/W$4*100000*W$3</f>
        <v>0</v>
      </c>
      <c r="X28" s="314">
        <f>Data!AR31/X$4*100000*X$3</f>
        <v>0</v>
      </c>
      <c r="Y28" s="314">
        <f>Data!AS31/Y$4*100000*Y$3</f>
        <v>0</v>
      </c>
      <c r="Z28" s="314">
        <f>Data!AT31/Z$4*100000*Z$3</f>
        <v>7908.2641360221432</v>
      </c>
      <c r="AA28" s="314">
        <f>Data!AU31/AA$4*100000*AA$3</f>
        <v>7672.6623042101</v>
      </c>
      <c r="AB28" s="314">
        <f>Data!AV31/AB$4*100000*AB$3</f>
        <v>13848.086491191629</v>
      </c>
      <c r="AC28" s="314">
        <f>Data!AW31/AC$4*100000*AC$3</f>
        <v>47829.142589411218</v>
      </c>
      <c r="AD28" s="314">
        <f>Data!AX31/AD$4*100000*AD$3</f>
        <v>44378.832202729754</v>
      </c>
      <c r="AE28" s="314">
        <f>Data!AY31/AE$4*100000*AE$3</f>
        <v>135768.10807141403</v>
      </c>
      <c r="AF28" s="314">
        <f>Data!AZ31/AF$4*100000*AF$3</f>
        <v>117217.12749086396</v>
      </c>
      <c r="AG28" s="314">
        <f>Data!BA31/AG$4*100000*AG$3</f>
        <v>134158.15756130283</v>
      </c>
      <c r="AH28" s="314">
        <f>Data!BB31/AH$4*100000*AH$3</f>
        <v>181406.78032224087</v>
      </c>
      <c r="AI28" s="314">
        <f>Data!BC31/AI$4*100000*AI$3</f>
        <v>153668.84364195162</v>
      </c>
      <c r="AJ28" s="314">
        <f>Data!BD31/AJ$4*100000*AJ$3</f>
        <v>71839.080459770121</v>
      </c>
      <c r="AK28" s="314">
        <f>Data!BE31/AK$4*100000*AK$3</f>
        <v>89492.132150048477</v>
      </c>
      <c r="AL28" s="322" t="s">
        <v>352</v>
      </c>
      <c r="AM28" s="314">
        <f t="shared" si="3"/>
        <v>661262.71590513166</v>
      </c>
      <c r="AN28" s="314">
        <f>Data!AN31/AN$4*100000*AN$3</f>
        <v>0</v>
      </c>
      <c r="AO28" s="314">
        <f>Data!AO31/AO$4*100000*AO$3</f>
        <v>0</v>
      </c>
      <c r="AP28" s="314">
        <f>Data!AP31/AP$4*100000*AP$3</f>
        <v>0</v>
      </c>
      <c r="AQ28" s="314">
        <f>Data!AQ31/AQ$4*100000*AQ$3</f>
        <v>0</v>
      </c>
      <c r="AR28" s="314">
        <f>Data!AR31/AR$4*100000*AR$3</f>
        <v>0</v>
      </c>
      <c r="AS28" s="314">
        <f>Data!AS31/AS$4*100000*AS$3</f>
        <v>0</v>
      </c>
      <c r="AT28" s="314">
        <f>Data!AT31/AT$4*100000*AT$3</f>
        <v>6778.5121165904084</v>
      </c>
      <c r="AU28" s="314">
        <f>Data!AU31/AU$4*100000*AU$3</f>
        <v>6576.5676893229429</v>
      </c>
      <c r="AV28" s="314">
        <f>Data!AV31/AV$4*100000*AV$3</f>
        <v>11869.788421021396</v>
      </c>
      <c r="AW28" s="314">
        <f>Data!AW31/AW$4*100000*AW$3</f>
        <v>40996.40793378104</v>
      </c>
      <c r="AX28" s="314">
        <f>Data!AX31/AX$4*100000*AX$3</f>
        <v>31699.165859092678</v>
      </c>
      <c r="AY28" s="314">
        <f>Data!AY31/AY$4*100000*AY$3</f>
        <v>90512.072047609356</v>
      </c>
      <c r="AZ28" s="314">
        <f>Data!AZ31/AZ$4*100000*AZ$3</f>
        <v>93773.701992691174</v>
      </c>
      <c r="BA28" s="314">
        <f>Data!BA31/BA$4*100000*BA$3</f>
        <v>100618.61817097712</v>
      </c>
      <c r="BB28" s="314">
        <f>Data!BB31/BB$4*100000*BB$3</f>
        <v>120937.85354816058</v>
      </c>
      <c r="BC28" s="314">
        <f>Data!BC31/BC$4*100000*BC$3</f>
        <v>76834.421820975811</v>
      </c>
      <c r="BD28" s="314">
        <f>Data!BD31/BD$4*100000*BD$3</f>
        <v>35919.54022988506</v>
      </c>
      <c r="BE28" s="314">
        <f>Data!BE31/BE$4*100000*BE$3</f>
        <v>44746.066075024239</v>
      </c>
    </row>
    <row r="29" spans="1:57" ht="12" customHeight="1">
      <c r="A29" s="30"/>
      <c r="B29" s="139" t="str">
        <f>UPPER(LEFT(TRIM(Data!B32),1)) &amp; MID(TRIM(Data!B32),2,50)</f>
        <v>Šlapimo pūslės</v>
      </c>
      <c r="C29" s="139" t="str">
        <f>Data!C32</f>
        <v>C67</v>
      </c>
      <c r="D29" s="140">
        <f>Data!E32</f>
        <v>146</v>
      </c>
      <c r="E29" s="141">
        <f t="shared" si="5"/>
        <v>10.71604463452783</v>
      </c>
      <c r="F29" s="142">
        <f t="shared" si="6"/>
        <v>8.6858836718180825</v>
      </c>
      <c r="G29" s="142">
        <f t="shared" si="7"/>
        <v>5.3327742158211162</v>
      </c>
      <c r="H29" s="56"/>
      <c r="I29" s="56"/>
      <c r="J29" s="56"/>
      <c r="K29" s="56"/>
      <c r="L29" s="56"/>
      <c r="M29" s="56"/>
      <c r="N29" s="56"/>
      <c r="O29" s="56"/>
      <c r="P29" s="56"/>
      <c r="Q29" s="307"/>
      <c r="R29" s="322" t="s">
        <v>352</v>
      </c>
      <c r="S29" s="314">
        <f t="shared" si="2"/>
        <v>868588.36718180834</v>
      </c>
      <c r="T29" s="314">
        <f>Data!AN32/T$4*100000*T$3</f>
        <v>0</v>
      </c>
      <c r="U29" s="314">
        <f>Data!AO32/U$4*100000*U$3</f>
        <v>0</v>
      </c>
      <c r="V29" s="314">
        <f>Data!AP32/V$4*100000*V$3</f>
        <v>0</v>
      </c>
      <c r="W29" s="314">
        <f>Data!AQ32/W$4*100000*W$3</f>
        <v>0</v>
      </c>
      <c r="X29" s="314">
        <f>Data!AR32/X$4*100000*X$3</f>
        <v>0</v>
      </c>
      <c r="Y29" s="314">
        <f>Data!AS32/Y$4*100000*Y$3</f>
        <v>0</v>
      </c>
      <c r="Z29" s="314">
        <f>Data!AT32/Z$4*100000*Z$3</f>
        <v>0</v>
      </c>
      <c r="AA29" s="314">
        <f>Data!AU32/AA$4*100000*AA$3</f>
        <v>0</v>
      </c>
      <c r="AB29" s="314">
        <f>Data!AV32/AB$4*100000*AB$3</f>
        <v>0</v>
      </c>
      <c r="AC29" s="314">
        <f>Data!AW32/AC$4*100000*AC$3</f>
        <v>0</v>
      </c>
      <c r="AD29" s="314">
        <f>Data!AX32/AD$4*100000*AD$3</f>
        <v>44378.832202729754</v>
      </c>
      <c r="AE29" s="314">
        <f>Data!AY32/AE$4*100000*AE$3</f>
        <v>47518.837824994909</v>
      </c>
      <c r="AF29" s="314">
        <f>Data!AZ32/AF$4*100000*AF$3</f>
        <v>96531.752051299743</v>
      </c>
      <c r="AG29" s="314">
        <f>Data!BA32/AG$4*100000*AG$3</f>
        <v>89438.771707535227</v>
      </c>
      <c r="AH29" s="314">
        <f>Data!BB32/AH$4*100000*AH$3</f>
        <v>181406.78032224087</v>
      </c>
      <c r="AI29" s="314">
        <f>Data!BC32/AI$4*100000*AI$3</f>
        <v>199769.4967345371</v>
      </c>
      <c r="AJ29" s="314">
        <f>Data!BD32/AJ$4*100000*AJ$3</f>
        <v>67848.020434227335</v>
      </c>
      <c r="AK29" s="314">
        <f>Data!BE32/AK$4*100000*AK$3</f>
        <v>141695.87590424341</v>
      </c>
      <c r="AL29" s="322" t="s">
        <v>352</v>
      </c>
      <c r="AM29" s="314">
        <f t="shared" si="3"/>
        <v>533277.42158211162</v>
      </c>
      <c r="AN29" s="314">
        <f>Data!AN32/AN$4*100000*AN$3</f>
        <v>0</v>
      </c>
      <c r="AO29" s="314">
        <f>Data!AO32/AO$4*100000*AO$3</f>
        <v>0</v>
      </c>
      <c r="AP29" s="314">
        <f>Data!AP32/AP$4*100000*AP$3</f>
        <v>0</v>
      </c>
      <c r="AQ29" s="314">
        <f>Data!AQ32/AQ$4*100000*AQ$3</f>
        <v>0</v>
      </c>
      <c r="AR29" s="314">
        <f>Data!AR32/AR$4*100000*AR$3</f>
        <v>0</v>
      </c>
      <c r="AS29" s="314">
        <f>Data!AS32/AS$4*100000*AS$3</f>
        <v>0</v>
      </c>
      <c r="AT29" s="314">
        <f>Data!AT32/AT$4*100000*AT$3</f>
        <v>0</v>
      </c>
      <c r="AU29" s="314">
        <f>Data!AU32/AU$4*100000*AU$3</f>
        <v>0</v>
      </c>
      <c r="AV29" s="314">
        <f>Data!AV32/AV$4*100000*AV$3</f>
        <v>0</v>
      </c>
      <c r="AW29" s="314">
        <f>Data!AW32/AW$4*100000*AW$3</f>
        <v>0</v>
      </c>
      <c r="AX29" s="314">
        <f>Data!AX32/AX$4*100000*AX$3</f>
        <v>31699.165859092678</v>
      </c>
      <c r="AY29" s="314">
        <f>Data!AY32/AY$4*100000*AY$3</f>
        <v>31679.225216663272</v>
      </c>
      <c r="AZ29" s="314">
        <f>Data!AZ32/AZ$4*100000*AZ$3</f>
        <v>77225.401641039789</v>
      </c>
      <c r="BA29" s="314">
        <f>Data!BA32/BA$4*100000*BA$3</f>
        <v>67079.078780651413</v>
      </c>
      <c r="BB29" s="314">
        <f>Data!BB32/BB$4*100000*BB$3</f>
        <v>120937.85354816058</v>
      </c>
      <c r="BC29" s="314">
        <f>Data!BC32/BC$4*100000*BC$3</f>
        <v>99884.748367268548</v>
      </c>
      <c r="BD29" s="314">
        <f>Data!BD32/BD$4*100000*BD$3</f>
        <v>33924.010217113668</v>
      </c>
      <c r="BE29" s="314">
        <f>Data!BE32/BE$4*100000*BE$3</f>
        <v>70847.937952121705</v>
      </c>
    </row>
    <row r="30" spans="1:57" ht="12" customHeight="1">
      <c r="A30" s="30"/>
      <c r="B30" s="144" t="str">
        <f>UPPER(LEFT(TRIM(Data!B33),1)) &amp; MID(TRIM(Data!B33),2,50)</f>
        <v>Kitų šlapimą išskiriančių organų</v>
      </c>
      <c r="C30" s="123" t="str">
        <f>Data!C33</f>
        <v>C65, C66, C68</v>
      </c>
      <c r="D30" s="136">
        <f>Data!E33</f>
        <v>13</v>
      </c>
      <c r="E30" s="125">
        <f t="shared" si="5"/>
        <v>0.95416835786891629</v>
      </c>
      <c r="F30" s="126">
        <f t="shared" si="6"/>
        <v>0.79831147481291165</v>
      </c>
      <c r="G30" s="127">
        <f t="shared" si="7"/>
        <v>0.55297102054076064</v>
      </c>
      <c r="H30" s="56"/>
      <c r="I30" s="56"/>
      <c r="J30" s="56"/>
      <c r="K30" s="56"/>
      <c r="L30" s="56"/>
      <c r="M30" s="56"/>
      <c r="N30" s="56"/>
      <c r="O30" s="56"/>
      <c r="P30" s="56"/>
      <c r="Q30" s="307"/>
      <c r="R30" s="322" t="s">
        <v>352</v>
      </c>
      <c r="S30" s="314">
        <f t="shared" si="2"/>
        <v>79831.147481291162</v>
      </c>
      <c r="T30" s="314">
        <f>Data!AN33/T$4*100000*T$3</f>
        <v>0</v>
      </c>
      <c r="U30" s="314">
        <f>Data!AO33/U$4*100000*U$3</f>
        <v>0</v>
      </c>
      <c r="V30" s="314">
        <f>Data!AP33/V$4*100000*V$3</f>
        <v>0</v>
      </c>
      <c r="W30" s="314">
        <f>Data!AQ33/W$4*100000*W$3</f>
        <v>0</v>
      </c>
      <c r="X30" s="314">
        <f>Data!AR33/X$4*100000*X$3</f>
        <v>0</v>
      </c>
      <c r="Y30" s="314">
        <f>Data!AS33/Y$4*100000*Y$3</f>
        <v>0</v>
      </c>
      <c r="Z30" s="314">
        <f>Data!AT33/Z$4*100000*Z$3</f>
        <v>0</v>
      </c>
      <c r="AA30" s="314">
        <f>Data!AU33/AA$4*100000*AA$3</f>
        <v>0</v>
      </c>
      <c r="AB30" s="314">
        <f>Data!AV33/AB$4*100000*AB$3</f>
        <v>0</v>
      </c>
      <c r="AC30" s="314">
        <f>Data!AW33/AC$4*100000*AC$3</f>
        <v>13665.469311260347</v>
      </c>
      <c r="AD30" s="314">
        <f>Data!AX33/AD$4*100000*AD$3</f>
        <v>12679.666343637073</v>
      </c>
      <c r="AE30" s="314">
        <f>Data!AY33/AE$4*100000*AE$3</f>
        <v>6788.4054035707013</v>
      </c>
      <c r="AF30" s="314">
        <f>Data!AZ33/AF$4*100000*AF$3</f>
        <v>0</v>
      </c>
      <c r="AG30" s="314">
        <f>Data!BA33/AG$4*100000*AG$3</f>
        <v>14906.461951255871</v>
      </c>
      <c r="AH30" s="314">
        <f>Data!BB33/AH$4*100000*AH$3</f>
        <v>17555.494869894275</v>
      </c>
      <c r="AI30" s="314">
        <f>Data!BC33/AI$4*100000*AI$3</f>
        <v>10244.589576130105</v>
      </c>
      <c r="AJ30" s="314">
        <f>Data!BD33/AJ$4*100000*AJ$3</f>
        <v>3991.0600255427844</v>
      </c>
      <c r="AK30" s="314">
        <f>Data!BE33/AK$4*100000*AK$3</f>
        <v>0</v>
      </c>
      <c r="AL30" s="322" t="s">
        <v>352</v>
      </c>
      <c r="AM30" s="314">
        <f t="shared" si="3"/>
        <v>55297.102054076066</v>
      </c>
      <c r="AN30" s="314">
        <f>Data!AN33/AN$4*100000*AN$3</f>
        <v>0</v>
      </c>
      <c r="AO30" s="314">
        <f>Data!AO33/AO$4*100000*AO$3</f>
        <v>0</v>
      </c>
      <c r="AP30" s="314">
        <f>Data!AP33/AP$4*100000*AP$3</f>
        <v>0</v>
      </c>
      <c r="AQ30" s="314">
        <f>Data!AQ33/AQ$4*100000*AQ$3</f>
        <v>0</v>
      </c>
      <c r="AR30" s="314">
        <f>Data!AR33/AR$4*100000*AR$3</f>
        <v>0</v>
      </c>
      <c r="AS30" s="314">
        <f>Data!AS33/AS$4*100000*AS$3</f>
        <v>0</v>
      </c>
      <c r="AT30" s="314">
        <f>Data!AT33/AT$4*100000*AT$3</f>
        <v>0</v>
      </c>
      <c r="AU30" s="314">
        <f>Data!AU33/AU$4*100000*AU$3</f>
        <v>0</v>
      </c>
      <c r="AV30" s="314">
        <f>Data!AV33/AV$4*100000*AV$3</f>
        <v>0</v>
      </c>
      <c r="AW30" s="314">
        <f>Data!AW33/AW$4*100000*AW$3</f>
        <v>11713.259409651726</v>
      </c>
      <c r="AX30" s="314">
        <f>Data!AX33/AX$4*100000*AX$3</f>
        <v>9056.9045311693371</v>
      </c>
      <c r="AY30" s="314">
        <f>Data!AY33/AY$4*100000*AY$3</f>
        <v>4525.6036023804672</v>
      </c>
      <c r="AZ30" s="314">
        <f>Data!AZ33/AZ$4*100000*AZ$3</f>
        <v>0</v>
      </c>
      <c r="BA30" s="314">
        <f>Data!BA33/BA$4*100000*BA$3</f>
        <v>11179.846463441903</v>
      </c>
      <c r="BB30" s="314">
        <f>Data!BB33/BB$4*100000*BB$3</f>
        <v>11703.663246596185</v>
      </c>
      <c r="BC30" s="314">
        <f>Data!BC33/BC$4*100000*BC$3</f>
        <v>5122.2947880650527</v>
      </c>
      <c r="BD30" s="314">
        <f>Data!BD33/BD$4*100000*BD$3</f>
        <v>1995.5300127713922</v>
      </c>
      <c r="BE30" s="314">
        <f>Data!BE33/BE$4*100000*BE$3</f>
        <v>0</v>
      </c>
    </row>
    <row r="31" spans="1:57" ht="12" customHeight="1">
      <c r="A31" s="30"/>
      <c r="B31" s="139" t="str">
        <f>UPPER(LEFT(TRIM(Data!B34),1)) &amp; MID(TRIM(Data!B34),2,50)</f>
        <v>Akių</v>
      </c>
      <c r="C31" s="139" t="str">
        <f>Data!C34</f>
        <v>C69</v>
      </c>
      <c r="D31" s="140">
        <f>Data!E34</f>
        <v>3</v>
      </c>
      <c r="E31" s="141">
        <f t="shared" si="5"/>
        <v>0.22019269796974991</v>
      </c>
      <c r="F31" s="142">
        <f t="shared" si="6"/>
        <v>0.21030041782769338</v>
      </c>
      <c r="G31" s="142">
        <f t="shared" si="7"/>
        <v>0.14641130436481886</v>
      </c>
      <c r="H31" s="56"/>
      <c r="I31" s="56"/>
      <c r="J31" s="56"/>
      <c r="K31" s="56"/>
      <c r="L31" s="56"/>
      <c r="M31" s="56"/>
      <c r="N31" s="56"/>
      <c r="O31" s="56"/>
      <c r="P31" s="56"/>
      <c r="Q31" s="307"/>
      <c r="R31" s="322" t="s">
        <v>352</v>
      </c>
      <c r="S31" s="314">
        <f t="shared" si="2"/>
        <v>21030.041782769338</v>
      </c>
      <c r="T31" s="314">
        <f>Data!AN34/T$4*100000*T$3</f>
        <v>0</v>
      </c>
      <c r="U31" s="314">
        <f>Data!AO34/U$4*100000*U$3</f>
        <v>0</v>
      </c>
      <c r="V31" s="314">
        <f>Data!AP34/V$4*100000*V$3</f>
        <v>0</v>
      </c>
      <c r="W31" s="314">
        <f>Data!AQ34/W$4*100000*W$3</f>
        <v>0</v>
      </c>
      <c r="X31" s="314">
        <f>Data!AR34/X$4*100000*X$3</f>
        <v>0</v>
      </c>
      <c r="Y31" s="314">
        <f>Data!AS34/Y$4*100000*Y$3</f>
        <v>0</v>
      </c>
      <c r="Z31" s="314">
        <f>Data!AT34/Z$4*100000*Z$3</f>
        <v>0</v>
      </c>
      <c r="AA31" s="314">
        <f>Data!AU34/AA$4*100000*AA$3</f>
        <v>0</v>
      </c>
      <c r="AB31" s="314">
        <f>Data!AV34/AB$4*100000*AB$3</f>
        <v>0</v>
      </c>
      <c r="AC31" s="314">
        <f>Data!AW34/AC$4*100000*AC$3</f>
        <v>0</v>
      </c>
      <c r="AD31" s="314">
        <f>Data!AX34/AD$4*100000*AD$3</f>
        <v>0</v>
      </c>
      <c r="AE31" s="314">
        <f>Data!AY34/AE$4*100000*AE$3</f>
        <v>13576.810807141403</v>
      </c>
      <c r="AF31" s="314">
        <f>Data!AZ34/AF$4*100000*AF$3</f>
        <v>0</v>
      </c>
      <c r="AG31" s="314">
        <f>Data!BA34/AG$4*100000*AG$3</f>
        <v>7453.2309756279355</v>
      </c>
      <c r="AH31" s="314">
        <f>Data!BB34/AH$4*100000*AH$3</f>
        <v>0</v>
      </c>
      <c r="AI31" s="314">
        <f>Data!BC34/AI$4*100000*AI$3</f>
        <v>0</v>
      </c>
      <c r="AJ31" s="314">
        <f>Data!BD34/AJ$4*100000*AJ$3</f>
        <v>0</v>
      </c>
      <c r="AK31" s="314">
        <f>Data!BE34/AK$4*100000*AK$3</f>
        <v>0</v>
      </c>
      <c r="AL31" s="322" t="s">
        <v>352</v>
      </c>
      <c r="AM31" s="314">
        <f t="shared" si="3"/>
        <v>14641.130436481886</v>
      </c>
      <c r="AN31" s="314">
        <f>Data!AN34/AN$4*100000*AN$3</f>
        <v>0</v>
      </c>
      <c r="AO31" s="314">
        <f>Data!AO34/AO$4*100000*AO$3</f>
        <v>0</v>
      </c>
      <c r="AP31" s="314">
        <f>Data!AP34/AP$4*100000*AP$3</f>
        <v>0</v>
      </c>
      <c r="AQ31" s="314">
        <f>Data!AQ34/AQ$4*100000*AQ$3</f>
        <v>0</v>
      </c>
      <c r="AR31" s="314">
        <f>Data!AR34/AR$4*100000*AR$3</f>
        <v>0</v>
      </c>
      <c r="AS31" s="314">
        <f>Data!AS34/AS$4*100000*AS$3</f>
        <v>0</v>
      </c>
      <c r="AT31" s="314">
        <f>Data!AT34/AT$4*100000*AT$3</f>
        <v>0</v>
      </c>
      <c r="AU31" s="314">
        <f>Data!AU34/AU$4*100000*AU$3</f>
        <v>0</v>
      </c>
      <c r="AV31" s="314">
        <f>Data!AV34/AV$4*100000*AV$3</f>
        <v>0</v>
      </c>
      <c r="AW31" s="314">
        <f>Data!AW34/AW$4*100000*AW$3</f>
        <v>0</v>
      </c>
      <c r="AX31" s="314">
        <f>Data!AX34/AX$4*100000*AX$3</f>
        <v>0</v>
      </c>
      <c r="AY31" s="314">
        <f>Data!AY34/AY$4*100000*AY$3</f>
        <v>9051.2072047609345</v>
      </c>
      <c r="AZ31" s="314">
        <f>Data!AZ34/AZ$4*100000*AZ$3</f>
        <v>0</v>
      </c>
      <c r="BA31" s="314">
        <f>Data!BA34/BA$4*100000*BA$3</f>
        <v>5589.9232317209517</v>
      </c>
      <c r="BB31" s="314">
        <f>Data!BB34/BB$4*100000*BB$3</f>
        <v>0</v>
      </c>
      <c r="BC31" s="314">
        <f>Data!BC34/BC$4*100000*BC$3</f>
        <v>0</v>
      </c>
      <c r="BD31" s="314">
        <f>Data!BD34/BD$4*100000*BD$3</f>
        <v>0</v>
      </c>
      <c r="BE31" s="314">
        <f>Data!BE34/BE$4*100000*BE$3</f>
        <v>0</v>
      </c>
    </row>
    <row r="32" spans="1:57" ht="12" customHeight="1">
      <c r="A32" s="30"/>
      <c r="B32" s="144" t="str">
        <f>UPPER(LEFT(TRIM(Data!B35),1)) &amp; MID(TRIM(Data!B35),2,50)</f>
        <v>Smegenų</v>
      </c>
      <c r="C32" s="123" t="str">
        <f>Data!C35</f>
        <v>C70-C72</v>
      </c>
      <c r="D32" s="136">
        <f>Data!E35</f>
        <v>118</v>
      </c>
      <c r="E32" s="125">
        <f t="shared" si="5"/>
        <v>8.6609127868101634</v>
      </c>
      <c r="F32" s="126">
        <f t="shared" si="6"/>
        <v>7.6000950718661784</v>
      </c>
      <c r="G32" s="127">
        <f t="shared" si="7"/>
        <v>5.6336520255671143</v>
      </c>
      <c r="H32" s="56"/>
      <c r="I32" s="56"/>
      <c r="J32" s="56"/>
      <c r="K32" s="56"/>
      <c r="L32" s="56"/>
      <c r="M32" s="56"/>
      <c r="N32" s="56"/>
      <c r="O32" s="56"/>
      <c r="P32" s="56"/>
      <c r="Q32" s="307"/>
      <c r="R32" s="322" t="s">
        <v>352</v>
      </c>
      <c r="S32" s="314">
        <f t="shared" si="2"/>
        <v>760009.50718661782</v>
      </c>
      <c r="T32" s="314">
        <f>Data!AN35/T$4*100000*T$3</f>
        <v>0</v>
      </c>
      <c r="U32" s="314">
        <f>Data!AO35/U$4*100000*U$3</f>
        <v>0</v>
      </c>
      <c r="V32" s="314">
        <f>Data!AP35/V$4*100000*V$3</f>
        <v>18470.631695603988</v>
      </c>
      <c r="W32" s="314">
        <f>Data!AQ35/W$4*100000*W$3</f>
        <v>7478.3128926114268</v>
      </c>
      <c r="X32" s="314">
        <f>Data!AR35/X$4*100000*X$3</f>
        <v>6361.1497323773438</v>
      </c>
      <c r="Y32" s="314">
        <f>Data!AS35/Y$4*100000*Y$3</f>
        <v>7035.5294235891261</v>
      </c>
      <c r="Z32" s="314">
        <f>Data!AT35/Z$4*100000*Z$3</f>
        <v>7908.2641360221432</v>
      </c>
      <c r="AA32" s="314">
        <f>Data!AU35/AA$4*100000*AA$3</f>
        <v>53708.636129470695</v>
      </c>
      <c r="AB32" s="314">
        <f>Data!AV35/AB$4*100000*AB$3</f>
        <v>34620.216227979072</v>
      </c>
      <c r="AC32" s="314">
        <f>Data!AW35/AC$4*100000*AC$3</f>
        <v>47829.142589411218</v>
      </c>
      <c r="AD32" s="314">
        <f>Data!AX35/AD$4*100000*AD$3</f>
        <v>95097.497577278045</v>
      </c>
      <c r="AE32" s="314">
        <f>Data!AY35/AE$4*100000*AE$3</f>
        <v>101826.08105356054</v>
      </c>
      <c r="AF32" s="314">
        <f>Data!AZ35/AF$4*100000*AF$3</f>
        <v>110322.00234434255</v>
      </c>
      <c r="AG32" s="314">
        <f>Data!BA35/AG$4*100000*AG$3</f>
        <v>59625.847805023484</v>
      </c>
      <c r="AH32" s="314">
        <f>Data!BB35/AH$4*100000*AH$3</f>
        <v>105332.96921936567</v>
      </c>
      <c r="AI32" s="314">
        <f>Data!BC35/AI$4*100000*AI$3</f>
        <v>46100.653092585482</v>
      </c>
      <c r="AJ32" s="314">
        <f>Data!BD35/AJ$4*100000*AJ$3</f>
        <v>35919.54022988506</v>
      </c>
      <c r="AK32" s="314">
        <f>Data!BE35/AK$4*100000*AK$3</f>
        <v>22373.033037512119</v>
      </c>
      <c r="AL32" s="322" t="s">
        <v>352</v>
      </c>
      <c r="AM32" s="314">
        <f t="shared" si="3"/>
        <v>563365.20255671139</v>
      </c>
      <c r="AN32" s="314">
        <f>Data!AN35/AN$4*100000*AN$3</f>
        <v>0</v>
      </c>
      <c r="AO32" s="314">
        <f>Data!AO35/AO$4*100000*AO$3</f>
        <v>0</v>
      </c>
      <c r="AP32" s="314">
        <f>Data!AP35/AP$4*100000*AP$3</f>
        <v>23747.955037205127</v>
      </c>
      <c r="AQ32" s="314">
        <f>Data!AQ35/AQ$4*100000*AQ$3</f>
        <v>9614.9737190718351</v>
      </c>
      <c r="AR32" s="314">
        <f>Data!AR35/AR$4*100000*AR$3</f>
        <v>7269.8854084312497</v>
      </c>
      <c r="AS32" s="314">
        <f>Data!AS35/AS$4*100000*AS$3</f>
        <v>8040.6050555304291</v>
      </c>
      <c r="AT32" s="314">
        <f>Data!AT35/AT$4*100000*AT$3</f>
        <v>6778.5121165904084</v>
      </c>
      <c r="AU32" s="314">
        <f>Data!AU35/AU$4*100000*AU$3</f>
        <v>46035.973825260597</v>
      </c>
      <c r="AV32" s="314">
        <f>Data!AV35/AV$4*100000*AV$3</f>
        <v>29674.471052553487</v>
      </c>
      <c r="AW32" s="314">
        <f>Data!AW35/AW$4*100000*AW$3</f>
        <v>40996.40793378104</v>
      </c>
      <c r="AX32" s="314">
        <f>Data!AX35/AX$4*100000*AX$3</f>
        <v>67926.78398377003</v>
      </c>
      <c r="AY32" s="314">
        <f>Data!AY35/AY$4*100000*AY$3</f>
        <v>67884.054035707028</v>
      </c>
      <c r="AZ32" s="314">
        <f>Data!AZ35/AZ$4*100000*AZ$3</f>
        <v>88257.601875474036</v>
      </c>
      <c r="BA32" s="314">
        <f>Data!BA35/BA$4*100000*BA$3</f>
        <v>44719.385853767613</v>
      </c>
      <c r="BB32" s="314">
        <f>Data!BB35/BB$4*100000*BB$3</f>
        <v>70221.979479577116</v>
      </c>
      <c r="BC32" s="314">
        <f>Data!BC35/BC$4*100000*BC$3</f>
        <v>23050.326546292741</v>
      </c>
      <c r="BD32" s="314">
        <f>Data!BD35/BD$4*100000*BD$3</f>
        <v>17959.77011494253</v>
      </c>
      <c r="BE32" s="314">
        <f>Data!BE35/BE$4*100000*BE$3</f>
        <v>11186.51651875606</v>
      </c>
    </row>
    <row r="33" spans="1:57" ht="12" customHeight="1">
      <c r="A33" s="30"/>
      <c r="B33" s="139" t="str">
        <f>UPPER(LEFT(TRIM(Data!B36),1)) &amp; MID(TRIM(Data!B36),2,50)</f>
        <v>Skydliaukės</v>
      </c>
      <c r="C33" s="139" t="str">
        <f>Data!C36</f>
        <v>C73</v>
      </c>
      <c r="D33" s="140">
        <f>Data!E36</f>
        <v>3</v>
      </c>
      <c r="E33" s="141">
        <f t="shared" si="5"/>
        <v>0.22019269796974991</v>
      </c>
      <c r="F33" s="142">
        <f t="shared" si="6"/>
        <v>0.19115708040712442</v>
      </c>
      <c r="G33" s="142">
        <f t="shared" si="7"/>
        <v>0.14364567558294095</v>
      </c>
      <c r="H33" s="56"/>
      <c r="I33" s="56"/>
      <c r="J33" s="56"/>
      <c r="K33" s="56"/>
      <c r="L33" s="56"/>
      <c r="M33" s="56"/>
      <c r="N33" s="56"/>
      <c r="O33" s="56"/>
      <c r="P33" s="56"/>
      <c r="Q33" s="307"/>
      <c r="R33" s="322" t="s">
        <v>352</v>
      </c>
      <c r="S33" s="314">
        <f t="shared" si="2"/>
        <v>19115.708040712441</v>
      </c>
      <c r="T33" s="314">
        <f>Data!AN36/T$4*100000*T$3</f>
        <v>0</v>
      </c>
      <c r="U33" s="314">
        <f>Data!AO36/U$4*100000*U$3</f>
        <v>0</v>
      </c>
      <c r="V33" s="314">
        <f>Data!AP36/V$4*100000*V$3</f>
        <v>0</v>
      </c>
      <c r="W33" s="314">
        <f>Data!AQ36/W$4*100000*W$3</f>
        <v>0</v>
      </c>
      <c r="X33" s="314">
        <f>Data!AR36/X$4*100000*X$3</f>
        <v>0</v>
      </c>
      <c r="Y33" s="314">
        <f>Data!AS36/Y$4*100000*Y$3</f>
        <v>0</v>
      </c>
      <c r="Z33" s="314">
        <f>Data!AT36/Z$4*100000*Z$3</f>
        <v>0</v>
      </c>
      <c r="AA33" s="314">
        <f>Data!AU36/AA$4*100000*AA$3</f>
        <v>0</v>
      </c>
      <c r="AB33" s="314">
        <f>Data!AV36/AB$4*100000*AB$3</f>
        <v>6924.0432455958144</v>
      </c>
      <c r="AC33" s="314">
        <f>Data!AW36/AC$4*100000*AC$3</f>
        <v>0</v>
      </c>
      <c r="AD33" s="314">
        <f>Data!AX36/AD$4*100000*AD$3</f>
        <v>6339.8331718185364</v>
      </c>
      <c r="AE33" s="314">
        <f>Data!AY36/AE$4*100000*AE$3</f>
        <v>0</v>
      </c>
      <c r="AF33" s="314">
        <f>Data!AZ36/AF$4*100000*AF$3</f>
        <v>0</v>
      </c>
      <c r="AG33" s="314">
        <f>Data!BA36/AG$4*100000*AG$3</f>
        <v>0</v>
      </c>
      <c r="AH33" s="314">
        <f>Data!BB36/AH$4*100000*AH$3</f>
        <v>5851.8316232980915</v>
      </c>
      <c r="AI33" s="314">
        <f>Data!BC36/AI$4*100000*AI$3</f>
        <v>0</v>
      </c>
      <c r="AJ33" s="314">
        <f>Data!BD36/AJ$4*100000*AJ$3</f>
        <v>0</v>
      </c>
      <c r="AK33" s="314">
        <f>Data!BE36/AK$4*100000*AK$3</f>
        <v>0</v>
      </c>
      <c r="AL33" s="322" t="s">
        <v>352</v>
      </c>
      <c r="AM33" s="314">
        <f t="shared" si="3"/>
        <v>14364.567558294095</v>
      </c>
      <c r="AN33" s="314">
        <f>Data!AN36/AN$4*100000*AN$3</f>
        <v>0</v>
      </c>
      <c r="AO33" s="314">
        <f>Data!AO36/AO$4*100000*AO$3</f>
        <v>0</v>
      </c>
      <c r="AP33" s="314">
        <f>Data!AP36/AP$4*100000*AP$3</f>
        <v>0</v>
      </c>
      <c r="AQ33" s="314">
        <f>Data!AQ36/AQ$4*100000*AQ$3</f>
        <v>0</v>
      </c>
      <c r="AR33" s="314">
        <f>Data!AR36/AR$4*100000*AR$3</f>
        <v>0</v>
      </c>
      <c r="AS33" s="314">
        <f>Data!AS36/AS$4*100000*AS$3</f>
        <v>0</v>
      </c>
      <c r="AT33" s="314">
        <f>Data!AT36/AT$4*100000*AT$3</f>
        <v>0</v>
      </c>
      <c r="AU33" s="314">
        <f>Data!AU36/AU$4*100000*AU$3</f>
        <v>0</v>
      </c>
      <c r="AV33" s="314">
        <f>Data!AV36/AV$4*100000*AV$3</f>
        <v>5934.894210510698</v>
      </c>
      <c r="AW33" s="314">
        <f>Data!AW36/AW$4*100000*AW$3</f>
        <v>0</v>
      </c>
      <c r="AX33" s="314">
        <f>Data!AX36/AX$4*100000*AX$3</f>
        <v>4528.4522655846686</v>
      </c>
      <c r="AY33" s="314">
        <f>Data!AY36/AY$4*100000*AY$3</f>
        <v>0</v>
      </c>
      <c r="AZ33" s="314">
        <f>Data!AZ36/AZ$4*100000*AZ$3</f>
        <v>0</v>
      </c>
      <c r="BA33" s="314">
        <f>Data!BA36/BA$4*100000*BA$3</f>
        <v>0</v>
      </c>
      <c r="BB33" s="314">
        <f>Data!BB36/BB$4*100000*BB$3</f>
        <v>3901.2210821987278</v>
      </c>
      <c r="BC33" s="314">
        <f>Data!BC36/BC$4*100000*BC$3</f>
        <v>0</v>
      </c>
      <c r="BD33" s="314">
        <f>Data!BD36/BD$4*100000*BD$3</f>
        <v>0</v>
      </c>
      <c r="BE33" s="314">
        <f>Data!BE36/BE$4*100000*BE$3</f>
        <v>0</v>
      </c>
    </row>
    <row r="34" spans="1:57" ht="12" customHeight="1">
      <c r="A34" s="30"/>
      <c r="B34" s="144" t="str">
        <f>UPPER(LEFT(TRIM(Data!B37),1)) &amp; MID(TRIM(Data!B37),2,50)</f>
        <v>Kitų endokrininių liaukų</v>
      </c>
      <c r="C34" s="123" t="str">
        <f>Data!C37</f>
        <v>C74-C75</v>
      </c>
      <c r="D34" s="136">
        <f>Data!E37</f>
        <v>12</v>
      </c>
      <c r="E34" s="125">
        <f t="shared" si="5"/>
        <v>0.88077079187899965</v>
      </c>
      <c r="F34" s="126">
        <f t="shared" si="6"/>
        <v>0.76073908952766112</v>
      </c>
      <c r="G34" s="127">
        <f t="shared" si="7"/>
        <v>0.54227293027358314</v>
      </c>
      <c r="H34" s="56"/>
      <c r="I34" s="56"/>
      <c r="J34" s="56"/>
      <c r="K34" s="56"/>
      <c r="L34" s="56"/>
      <c r="M34" s="56"/>
      <c r="N34" s="56"/>
      <c r="O34" s="56"/>
      <c r="P34" s="56"/>
      <c r="Q34" s="307"/>
      <c r="R34" s="322" t="s">
        <v>352</v>
      </c>
      <c r="S34" s="314">
        <f t="shared" si="2"/>
        <v>76073.908952766113</v>
      </c>
      <c r="T34" s="314">
        <f>Data!AN37/T$4*100000*T$3</f>
        <v>0</v>
      </c>
      <c r="U34" s="314">
        <f>Data!AO37/U$4*100000*U$3</f>
        <v>0</v>
      </c>
      <c r="V34" s="314">
        <f>Data!AP37/V$4*100000*V$3</f>
        <v>0</v>
      </c>
      <c r="W34" s="314">
        <f>Data!AQ37/W$4*100000*W$3</f>
        <v>0</v>
      </c>
      <c r="X34" s="314">
        <f>Data!AR37/X$4*100000*X$3</f>
        <v>0</v>
      </c>
      <c r="Y34" s="314">
        <f>Data!AS37/Y$4*100000*Y$3</f>
        <v>0</v>
      </c>
      <c r="Z34" s="314">
        <f>Data!AT37/Z$4*100000*Z$3</f>
        <v>0</v>
      </c>
      <c r="AA34" s="314">
        <f>Data!AU37/AA$4*100000*AA$3</f>
        <v>0</v>
      </c>
      <c r="AB34" s="314">
        <f>Data!AV37/AB$4*100000*AB$3</f>
        <v>0</v>
      </c>
      <c r="AC34" s="314">
        <f>Data!AW37/AC$4*100000*AC$3</f>
        <v>6832.7346556301736</v>
      </c>
      <c r="AD34" s="314">
        <f>Data!AX37/AD$4*100000*AD$3</f>
        <v>12679.666343637073</v>
      </c>
      <c r="AE34" s="314">
        <f>Data!AY37/AE$4*100000*AE$3</f>
        <v>6788.4054035707013</v>
      </c>
      <c r="AF34" s="314">
        <f>Data!AZ37/AF$4*100000*AF$3</f>
        <v>13790.250293042818</v>
      </c>
      <c r="AG34" s="314">
        <f>Data!BA37/AG$4*100000*AG$3</f>
        <v>7453.2309756279355</v>
      </c>
      <c r="AH34" s="314">
        <f>Data!BB37/AH$4*100000*AH$3</f>
        <v>23407.326493192366</v>
      </c>
      <c r="AI34" s="314">
        <f>Data!BC37/AI$4*100000*AI$3</f>
        <v>5122.2947880650527</v>
      </c>
      <c r="AJ34" s="314">
        <f>Data!BD37/AJ$4*100000*AJ$3</f>
        <v>0</v>
      </c>
      <c r="AK34" s="314">
        <f>Data!BE37/AK$4*100000*AK$3</f>
        <v>0</v>
      </c>
      <c r="AL34" s="322" t="s">
        <v>352</v>
      </c>
      <c r="AM34" s="314">
        <f t="shared" si="3"/>
        <v>54227.293027358312</v>
      </c>
      <c r="AN34" s="314">
        <f>Data!AN37/AN$4*100000*AN$3</f>
        <v>0</v>
      </c>
      <c r="AO34" s="314">
        <f>Data!AO37/AO$4*100000*AO$3</f>
        <v>0</v>
      </c>
      <c r="AP34" s="314">
        <f>Data!AP37/AP$4*100000*AP$3</f>
        <v>0</v>
      </c>
      <c r="AQ34" s="314">
        <f>Data!AQ37/AQ$4*100000*AQ$3</f>
        <v>0</v>
      </c>
      <c r="AR34" s="314">
        <f>Data!AR37/AR$4*100000*AR$3</f>
        <v>0</v>
      </c>
      <c r="AS34" s="314">
        <f>Data!AS37/AS$4*100000*AS$3</f>
        <v>0</v>
      </c>
      <c r="AT34" s="314">
        <f>Data!AT37/AT$4*100000*AT$3</f>
        <v>0</v>
      </c>
      <c r="AU34" s="314">
        <f>Data!AU37/AU$4*100000*AU$3</f>
        <v>0</v>
      </c>
      <c r="AV34" s="314">
        <f>Data!AV37/AV$4*100000*AV$3</f>
        <v>0</v>
      </c>
      <c r="AW34" s="314">
        <f>Data!AW37/AW$4*100000*AW$3</f>
        <v>5856.629704825863</v>
      </c>
      <c r="AX34" s="314">
        <f>Data!AX37/AX$4*100000*AX$3</f>
        <v>9056.9045311693371</v>
      </c>
      <c r="AY34" s="314">
        <f>Data!AY37/AY$4*100000*AY$3</f>
        <v>4525.6036023804672</v>
      </c>
      <c r="AZ34" s="314">
        <f>Data!AZ37/AZ$4*100000*AZ$3</f>
        <v>11032.200234434255</v>
      </c>
      <c r="BA34" s="314">
        <f>Data!BA37/BA$4*100000*BA$3</f>
        <v>5589.9232317209517</v>
      </c>
      <c r="BB34" s="314">
        <f>Data!BB37/BB$4*100000*BB$3</f>
        <v>15604.884328794911</v>
      </c>
      <c r="BC34" s="314">
        <f>Data!BC37/BC$4*100000*BC$3</f>
        <v>2561.1473940325263</v>
      </c>
      <c r="BD34" s="314">
        <f>Data!BD37/BD$4*100000*BD$3</f>
        <v>0</v>
      </c>
      <c r="BE34" s="314">
        <f>Data!BE37/BE$4*100000*BE$3</f>
        <v>0</v>
      </c>
    </row>
    <row r="35" spans="1:57" ht="12" customHeight="1">
      <c r="A35" s="30"/>
      <c r="B35" s="139" t="str">
        <f>UPPER(LEFT(TRIM(Data!B38),1)) &amp; MID(TRIM(Data!B38),2,50)</f>
        <v>Nepatikslintos lokalizacijos</v>
      </c>
      <c r="C35" s="139" t="str">
        <f>Data!C38</f>
        <v>C76-C80</v>
      </c>
      <c r="D35" s="140">
        <f>Data!E38</f>
        <v>190</v>
      </c>
      <c r="E35" s="141">
        <f t="shared" si="5"/>
        <v>13.945537538084162</v>
      </c>
      <c r="F35" s="142">
        <f t="shared" si="6"/>
        <v>11.653131382134879</v>
      </c>
      <c r="G35" s="142">
        <f t="shared" si="7"/>
        <v>7.7522100554657065</v>
      </c>
      <c r="H35" s="56"/>
      <c r="I35" s="56"/>
      <c r="J35" s="56"/>
      <c r="K35" s="56"/>
      <c r="L35" s="56"/>
      <c r="M35" s="56"/>
      <c r="N35" s="56"/>
      <c r="O35" s="56"/>
      <c r="P35" s="56"/>
      <c r="Q35" s="307"/>
      <c r="R35" s="322" t="s">
        <v>352</v>
      </c>
      <c r="S35" s="314">
        <f t="shared" si="2"/>
        <v>1165313.1382134878</v>
      </c>
      <c r="T35" s="314">
        <f>Data!AN38/T$4*100000*T$3</f>
        <v>0</v>
      </c>
      <c r="U35" s="314">
        <f>Data!AO38/U$4*100000*U$3</f>
        <v>0</v>
      </c>
      <c r="V35" s="314">
        <f>Data!AP38/V$4*100000*V$3</f>
        <v>0</v>
      </c>
      <c r="W35" s="314">
        <f>Data!AQ38/W$4*100000*W$3</f>
        <v>0</v>
      </c>
      <c r="X35" s="314">
        <f>Data!AR38/X$4*100000*X$3</f>
        <v>0</v>
      </c>
      <c r="Y35" s="314">
        <f>Data!AS38/Y$4*100000*Y$3</f>
        <v>7035.5294235891261</v>
      </c>
      <c r="Z35" s="314">
        <f>Data!AT38/Z$4*100000*Z$3</f>
        <v>0</v>
      </c>
      <c r="AA35" s="314">
        <f>Data!AU38/AA$4*100000*AA$3</f>
        <v>15345.3246084202</v>
      </c>
      <c r="AB35" s="314">
        <f>Data!AV38/AB$4*100000*AB$3</f>
        <v>13848.086491191629</v>
      </c>
      <c r="AC35" s="314">
        <f>Data!AW38/AC$4*100000*AC$3</f>
        <v>34163.673278150862</v>
      </c>
      <c r="AD35" s="314">
        <f>Data!AX38/AD$4*100000*AD$3</f>
        <v>63398.331718185364</v>
      </c>
      <c r="AE35" s="314">
        <f>Data!AY38/AE$4*100000*AE$3</f>
        <v>176498.54049283825</v>
      </c>
      <c r="AF35" s="314">
        <f>Data!AZ38/AF$4*100000*AF$3</f>
        <v>151692.75322347102</v>
      </c>
      <c r="AG35" s="314">
        <f>Data!BA38/AG$4*100000*AG$3</f>
        <v>178877.54341507045</v>
      </c>
      <c r="AH35" s="314">
        <f>Data!BB38/AH$4*100000*AH$3</f>
        <v>193110.44356883704</v>
      </c>
      <c r="AI35" s="314">
        <f>Data!BC38/AI$4*100000*AI$3</f>
        <v>184402.61237034193</v>
      </c>
      <c r="AJ35" s="314">
        <f>Data!BD38/AJ$4*100000*AJ$3</f>
        <v>79821.200510855691</v>
      </c>
      <c r="AK35" s="314">
        <f>Data!BE38/AK$4*100000*AK$3</f>
        <v>67119.099112536351</v>
      </c>
      <c r="AL35" s="322" t="s">
        <v>352</v>
      </c>
      <c r="AM35" s="314">
        <f t="shared" si="3"/>
        <v>775221.00554657064</v>
      </c>
      <c r="AN35" s="314">
        <f>Data!AN38/AN$4*100000*AN$3</f>
        <v>0</v>
      </c>
      <c r="AO35" s="314">
        <f>Data!AO38/AO$4*100000*AO$3</f>
        <v>0</v>
      </c>
      <c r="AP35" s="314">
        <f>Data!AP38/AP$4*100000*AP$3</f>
        <v>0</v>
      </c>
      <c r="AQ35" s="314">
        <f>Data!AQ38/AQ$4*100000*AQ$3</f>
        <v>0</v>
      </c>
      <c r="AR35" s="314">
        <f>Data!AR38/AR$4*100000*AR$3</f>
        <v>0</v>
      </c>
      <c r="AS35" s="314">
        <f>Data!AS38/AS$4*100000*AS$3</f>
        <v>8040.6050555304291</v>
      </c>
      <c r="AT35" s="314">
        <f>Data!AT38/AT$4*100000*AT$3</f>
        <v>0</v>
      </c>
      <c r="AU35" s="314">
        <f>Data!AU38/AU$4*100000*AU$3</f>
        <v>13153.135378645886</v>
      </c>
      <c r="AV35" s="314">
        <f>Data!AV38/AV$4*100000*AV$3</f>
        <v>11869.788421021396</v>
      </c>
      <c r="AW35" s="314">
        <f>Data!AW38/AW$4*100000*AW$3</f>
        <v>29283.148524129312</v>
      </c>
      <c r="AX35" s="314">
        <f>Data!AX38/AX$4*100000*AX$3</f>
        <v>45284.522655846689</v>
      </c>
      <c r="AY35" s="314">
        <f>Data!AY38/AY$4*100000*AY$3</f>
        <v>117665.69366189216</v>
      </c>
      <c r="AZ35" s="314">
        <f>Data!AZ38/AZ$4*100000*AZ$3</f>
        <v>121354.20257877682</v>
      </c>
      <c r="BA35" s="314">
        <f>Data!BA38/BA$4*100000*BA$3</f>
        <v>134158.15756130283</v>
      </c>
      <c r="BB35" s="314">
        <f>Data!BB38/BB$4*100000*BB$3</f>
        <v>128740.29571255804</v>
      </c>
      <c r="BC35" s="314">
        <f>Data!BC38/BC$4*100000*BC$3</f>
        <v>92201.306185170964</v>
      </c>
      <c r="BD35" s="314">
        <f>Data!BD38/BD$4*100000*BD$3</f>
        <v>39910.600255427846</v>
      </c>
      <c r="BE35" s="314">
        <f>Data!BE38/BE$4*100000*BE$3</f>
        <v>33559.549556268175</v>
      </c>
    </row>
    <row r="36" spans="1:57" ht="12" customHeight="1">
      <c r="A36" s="30"/>
      <c r="B36" s="144" t="str">
        <f>UPPER(LEFT(TRIM(Data!B39),1)) &amp; MID(TRIM(Data!B39),2,50)</f>
        <v>Hodžkino limfomos</v>
      </c>
      <c r="C36" s="123" t="str">
        <f>Data!C39</f>
        <v>C81</v>
      </c>
      <c r="D36" s="136">
        <f>Data!E39</f>
        <v>5</v>
      </c>
      <c r="E36" s="125">
        <f t="shared" si="5"/>
        <v>0.36698782994958323</v>
      </c>
      <c r="F36" s="126">
        <f t="shared" si="6"/>
        <v>0.34435559581070935</v>
      </c>
      <c r="G36" s="127">
        <f t="shared" si="7"/>
        <v>0.27429777394921367</v>
      </c>
      <c r="H36" s="56"/>
      <c r="I36" s="56"/>
      <c r="J36" s="56"/>
      <c r="K36" s="56"/>
      <c r="L36" s="56"/>
      <c r="M36" s="56"/>
      <c r="N36" s="56"/>
      <c r="O36" s="56"/>
      <c r="P36" s="56"/>
      <c r="Q36" s="307"/>
      <c r="R36" s="322" t="s">
        <v>352</v>
      </c>
      <c r="S36" s="314">
        <f t="shared" si="2"/>
        <v>34435.559581070935</v>
      </c>
      <c r="T36" s="314">
        <f>Data!AN39/T$4*100000*T$3</f>
        <v>0</v>
      </c>
      <c r="U36" s="314">
        <f>Data!AO39/U$4*100000*U$3</f>
        <v>0</v>
      </c>
      <c r="V36" s="314">
        <f>Data!AP39/V$4*100000*V$3</f>
        <v>0</v>
      </c>
      <c r="W36" s="314">
        <f>Data!AQ39/W$4*100000*W$3</f>
        <v>7478.3128926114268</v>
      </c>
      <c r="X36" s="314">
        <f>Data!AR39/X$4*100000*X$3</f>
        <v>0</v>
      </c>
      <c r="Y36" s="314">
        <f>Data!AS39/Y$4*100000*Y$3</f>
        <v>0</v>
      </c>
      <c r="Z36" s="314">
        <f>Data!AT39/Z$4*100000*Z$3</f>
        <v>0</v>
      </c>
      <c r="AA36" s="314">
        <f>Data!AU39/AA$4*100000*AA$3</f>
        <v>0</v>
      </c>
      <c r="AB36" s="314">
        <f>Data!AV39/AB$4*100000*AB$3</f>
        <v>6924.0432455958144</v>
      </c>
      <c r="AC36" s="314">
        <f>Data!AW39/AC$4*100000*AC$3</f>
        <v>0</v>
      </c>
      <c r="AD36" s="314">
        <f>Data!AX39/AD$4*100000*AD$3</f>
        <v>0</v>
      </c>
      <c r="AE36" s="314">
        <f>Data!AY39/AE$4*100000*AE$3</f>
        <v>0</v>
      </c>
      <c r="AF36" s="314">
        <f>Data!AZ39/AF$4*100000*AF$3</f>
        <v>0</v>
      </c>
      <c r="AG36" s="314">
        <f>Data!BA39/AG$4*100000*AG$3</f>
        <v>7453.2309756279355</v>
      </c>
      <c r="AH36" s="314">
        <f>Data!BB39/AH$4*100000*AH$3</f>
        <v>0</v>
      </c>
      <c r="AI36" s="314">
        <f>Data!BC39/AI$4*100000*AI$3</f>
        <v>5122.2947880650527</v>
      </c>
      <c r="AJ36" s="314">
        <f>Data!BD39/AJ$4*100000*AJ$3</f>
        <v>0</v>
      </c>
      <c r="AK36" s="314">
        <f>Data!BE39/AK$4*100000*AK$3</f>
        <v>7457.6776791707061</v>
      </c>
      <c r="AL36" s="322" t="s">
        <v>352</v>
      </c>
      <c r="AM36" s="314">
        <f t="shared" si="3"/>
        <v>27429.777394921366</v>
      </c>
      <c r="AN36" s="314">
        <f>Data!AN39/AN$4*100000*AN$3</f>
        <v>0</v>
      </c>
      <c r="AO36" s="314">
        <f>Data!AO39/AO$4*100000*AO$3</f>
        <v>0</v>
      </c>
      <c r="AP36" s="314">
        <f>Data!AP39/AP$4*100000*AP$3</f>
        <v>0</v>
      </c>
      <c r="AQ36" s="314">
        <f>Data!AQ39/AQ$4*100000*AQ$3</f>
        <v>9614.9737190718351</v>
      </c>
      <c r="AR36" s="314">
        <f>Data!AR39/AR$4*100000*AR$3</f>
        <v>0</v>
      </c>
      <c r="AS36" s="314">
        <f>Data!AS39/AS$4*100000*AS$3</f>
        <v>0</v>
      </c>
      <c r="AT36" s="314">
        <f>Data!AT39/AT$4*100000*AT$3</f>
        <v>0</v>
      </c>
      <c r="AU36" s="314">
        <f>Data!AU39/AU$4*100000*AU$3</f>
        <v>0</v>
      </c>
      <c r="AV36" s="314">
        <f>Data!AV39/AV$4*100000*AV$3</f>
        <v>5934.894210510698</v>
      </c>
      <c r="AW36" s="314">
        <f>Data!AW39/AW$4*100000*AW$3</f>
        <v>0</v>
      </c>
      <c r="AX36" s="314">
        <f>Data!AX39/AX$4*100000*AX$3</f>
        <v>0</v>
      </c>
      <c r="AY36" s="314">
        <f>Data!AY39/AY$4*100000*AY$3</f>
        <v>0</v>
      </c>
      <c r="AZ36" s="314">
        <f>Data!AZ39/AZ$4*100000*AZ$3</f>
        <v>0</v>
      </c>
      <c r="BA36" s="314">
        <f>Data!BA39/BA$4*100000*BA$3</f>
        <v>5589.9232317209517</v>
      </c>
      <c r="BB36" s="314">
        <f>Data!BB39/BB$4*100000*BB$3</f>
        <v>0</v>
      </c>
      <c r="BC36" s="314">
        <f>Data!BC39/BC$4*100000*BC$3</f>
        <v>2561.1473940325263</v>
      </c>
      <c r="BD36" s="314">
        <f>Data!BD39/BD$4*100000*BD$3</f>
        <v>0</v>
      </c>
      <c r="BE36" s="314">
        <f>Data!BE39/BE$4*100000*BE$3</f>
        <v>3728.8388395853531</v>
      </c>
    </row>
    <row r="37" spans="1:57" ht="12" customHeight="1">
      <c r="A37" s="30"/>
      <c r="B37" s="139" t="str">
        <f>UPPER(LEFT(TRIM(Data!B40),1)) &amp; MID(TRIM(Data!B40),2,50)</f>
        <v>Ne Hodžkino limfomos</v>
      </c>
      <c r="C37" s="139" t="str">
        <f>Data!C40</f>
        <v>C82-C85</v>
      </c>
      <c r="D37" s="140">
        <f>Data!E40</f>
        <v>57</v>
      </c>
      <c r="E37" s="141">
        <f t="shared" si="5"/>
        <v>4.1836612614252493</v>
      </c>
      <c r="F37" s="142">
        <f t="shared" si="6"/>
        <v>3.5842881541983003</v>
      </c>
      <c r="G37" s="142">
        <f t="shared" si="7"/>
        <v>2.4224337534034079</v>
      </c>
      <c r="H37" s="56"/>
      <c r="I37" s="56"/>
      <c r="J37" s="56"/>
      <c r="K37" s="56"/>
      <c r="L37" s="56"/>
      <c r="M37" s="56"/>
      <c r="N37" s="56"/>
      <c r="O37" s="56"/>
      <c r="P37" s="56"/>
      <c r="Q37" s="307"/>
      <c r="R37" s="322" t="s">
        <v>352</v>
      </c>
      <c r="S37" s="314">
        <f t="shared" si="2"/>
        <v>358428.81541983003</v>
      </c>
      <c r="T37" s="314">
        <f>Data!AN40/T$4*100000*T$3</f>
        <v>0</v>
      </c>
      <c r="U37" s="314">
        <f>Data!AO40/U$4*100000*U$3</f>
        <v>0</v>
      </c>
      <c r="V37" s="314">
        <f>Data!AP40/V$4*100000*V$3</f>
        <v>0</v>
      </c>
      <c r="W37" s="314">
        <f>Data!AQ40/W$4*100000*W$3</f>
        <v>0</v>
      </c>
      <c r="X37" s="314">
        <f>Data!AR40/X$4*100000*X$3</f>
        <v>0</v>
      </c>
      <c r="Y37" s="314">
        <f>Data!AS40/Y$4*100000*Y$3</f>
        <v>0</v>
      </c>
      <c r="Z37" s="314">
        <f>Data!AT40/Z$4*100000*Z$3</f>
        <v>0</v>
      </c>
      <c r="AA37" s="314">
        <f>Data!AU40/AA$4*100000*AA$3</f>
        <v>15345.3246084202</v>
      </c>
      <c r="AB37" s="314">
        <f>Data!AV40/AB$4*100000*AB$3</f>
        <v>13848.086491191629</v>
      </c>
      <c r="AC37" s="314">
        <f>Data!AW40/AC$4*100000*AC$3</f>
        <v>0</v>
      </c>
      <c r="AD37" s="314">
        <f>Data!AX40/AD$4*100000*AD$3</f>
        <v>57058.49854636682</v>
      </c>
      <c r="AE37" s="314">
        <f>Data!AY40/AE$4*100000*AE$3</f>
        <v>47518.837824994909</v>
      </c>
      <c r="AF37" s="314">
        <f>Data!AZ40/AF$4*100000*AF$3</f>
        <v>41370.750879128464</v>
      </c>
      <c r="AG37" s="314">
        <f>Data!BA40/AG$4*100000*AG$3</f>
        <v>37266.15487813967</v>
      </c>
      <c r="AH37" s="314">
        <f>Data!BB40/AH$4*100000*AH$3</f>
        <v>64370.147856279022</v>
      </c>
      <c r="AI37" s="314">
        <f>Data!BC40/AI$4*100000*AI$3</f>
        <v>35856.063516455375</v>
      </c>
      <c r="AJ37" s="314">
        <f>Data!BD40/AJ$4*100000*AJ$3</f>
        <v>15964.240102171138</v>
      </c>
      <c r="AK37" s="314">
        <f>Data!BE40/AK$4*100000*AK$3</f>
        <v>29830.710716682825</v>
      </c>
      <c r="AL37" s="322" t="s">
        <v>352</v>
      </c>
      <c r="AM37" s="314">
        <f t="shared" si="3"/>
        <v>242243.3753403408</v>
      </c>
      <c r="AN37" s="314">
        <f>Data!AN40/AN$4*100000*AN$3</f>
        <v>0</v>
      </c>
      <c r="AO37" s="314">
        <f>Data!AO40/AO$4*100000*AO$3</f>
        <v>0</v>
      </c>
      <c r="AP37" s="314">
        <f>Data!AP40/AP$4*100000*AP$3</f>
        <v>0</v>
      </c>
      <c r="AQ37" s="314">
        <f>Data!AQ40/AQ$4*100000*AQ$3</f>
        <v>0</v>
      </c>
      <c r="AR37" s="314">
        <f>Data!AR40/AR$4*100000*AR$3</f>
        <v>0</v>
      </c>
      <c r="AS37" s="314">
        <f>Data!AS40/AS$4*100000*AS$3</f>
        <v>0</v>
      </c>
      <c r="AT37" s="314">
        <f>Data!AT40/AT$4*100000*AT$3</f>
        <v>0</v>
      </c>
      <c r="AU37" s="314">
        <f>Data!AU40/AU$4*100000*AU$3</f>
        <v>13153.135378645886</v>
      </c>
      <c r="AV37" s="314">
        <f>Data!AV40/AV$4*100000*AV$3</f>
        <v>11869.788421021396</v>
      </c>
      <c r="AW37" s="314">
        <f>Data!AW40/AW$4*100000*AW$3</f>
        <v>0</v>
      </c>
      <c r="AX37" s="314">
        <f>Data!AX40/AX$4*100000*AX$3</f>
        <v>40756.070390262015</v>
      </c>
      <c r="AY37" s="314">
        <f>Data!AY40/AY$4*100000*AY$3</f>
        <v>31679.225216663272</v>
      </c>
      <c r="AZ37" s="314">
        <f>Data!AZ40/AZ$4*100000*AZ$3</f>
        <v>33096.600703302771</v>
      </c>
      <c r="BA37" s="314">
        <f>Data!BA40/BA$4*100000*BA$3</f>
        <v>27949.616158604756</v>
      </c>
      <c r="BB37" s="314">
        <f>Data!BB40/BB$4*100000*BB$3</f>
        <v>42913.431904186014</v>
      </c>
      <c r="BC37" s="314">
        <f>Data!BC40/BC$4*100000*BC$3</f>
        <v>17928.031758227688</v>
      </c>
      <c r="BD37" s="314">
        <f>Data!BD40/BD$4*100000*BD$3</f>
        <v>7982.1200510855688</v>
      </c>
      <c r="BE37" s="314">
        <f>Data!BE40/BE$4*100000*BE$3</f>
        <v>14915.355358341412</v>
      </c>
    </row>
    <row r="38" spans="1:57" ht="12" customHeight="1">
      <c r="A38" s="30"/>
      <c r="B38" s="144" t="str">
        <f>UPPER(LEFT(TRIM(Data!B41),1)) &amp; MID(TRIM(Data!B41),2,50)</f>
        <v>Mielominės ligos</v>
      </c>
      <c r="C38" s="123" t="str">
        <f>Data!C41</f>
        <v>C90</v>
      </c>
      <c r="D38" s="136">
        <f>Data!E41</f>
        <v>45</v>
      </c>
      <c r="E38" s="125">
        <f t="shared" si="5"/>
        <v>3.3028904695462491</v>
      </c>
      <c r="F38" s="126">
        <f t="shared" si="6"/>
        <v>2.6858976406611239</v>
      </c>
      <c r="G38" s="127">
        <f t="shared" si="7"/>
        <v>1.6646534481633857</v>
      </c>
      <c r="H38" s="56"/>
      <c r="I38" s="56"/>
      <c r="J38" s="56"/>
      <c r="K38" s="56"/>
      <c r="L38" s="56"/>
      <c r="M38" s="56"/>
      <c r="N38" s="56"/>
      <c r="O38" s="56"/>
      <c r="P38" s="56"/>
      <c r="Q38" s="307"/>
      <c r="R38" s="322" t="s">
        <v>352</v>
      </c>
      <c r="S38" s="314">
        <f t="shared" si="2"/>
        <v>268589.7640661124</v>
      </c>
      <c r="T38" s="314">
        <f>Data!AN41/T$4*100000*T$3</f>
        <v>0</v>
      </c>
      <c r="U38" s="314">
        <f>Data!AO41/U$4*100000*U$3</f>
        <v>0</v>
      </c>
      <c r="V38" s="314">
        <f>Data!AP41/V$4*100000*V$3</f>
        <v>0</v>
      </c>
      <c r="W38" s="314">
        <f>Data!AQ41/W$4*100000*W$3</f>
        <v>0</v>
      </c>
      <c r="X38" s="314">
        <f>Data!AR41/X$4*100000*X$3</f>
        <v>0</v>
      </c>
      <c r="Y38" s="314">
        <f>Data!AS41/Y$4*100000*Y$3</f>
        <v>0</v>
      </c>
      <c r="Z38" s="314">
        <f>Data!AT41/Z$4*100000*Z$3</f>
        <v>0</v>
      </c>
      <c r="AA38" s="314">
        <f>Data!AU41/AA$4*100000*AA$3</f>
        <v>7672.6623042101</v>
      </c>
      <c r="AB38" s="314">
        <f>Data!AV41/AB$4*100000*AB$3</f>
        <v>0</v>
      </c>
      <c r="AC38" s="314">
        <f>Data!AW41/AC$4*100000*AC$3</f>
        <v>0</v>
      </c>
      <c r="AD38" s="314">
        <f>Data!AX41/AD$4*100000*AD$3</f>
        <v>0</v>
      </c>
      <c r="AE38" s="314">
        <f>Data!AY41/AE$4*100000*AE$3</f>
        <v>40730.432421424208</v>
      </c>
      <c r="AF38" s="314">
        <f>Data!AZ41/AF$4*100000*AF$3</f>
        <v>27580.500586085636</v>
      </c>
      <c r="AG38" s="314">
        <f>Data!BA41/AG$4*100000*AG$3</f>
        <v>22359.692926883807</v>
      </c>
      <c r="AH38" s="314">
        <f>Data!BB41/AH$4*100000*AH$3</f>
        <v>52666.484609682833</v>
      </c>
      <c r="AI38" s="314">
        <f>Data!BC41/AI$4*100000*AI$3</f>
        <v>56345.242668715582</v>
      </c>
      <c r="AJ38" s="314">
        <f>Data!BD41/AJ$4*100000*AJ$3</f>
        <v>23946.360153256705</v>
      </c>
      <c r="AK38" s="314">
        <f>Data!BE41/AK$4*100000*AK$3</f>
        <v>37288.38839585353</v>
      </c>
      <c r="AL38" s="322" t="s">
        <v>352</v>
      </c>
      <c r="AM38" s="314">
        <f t="shared" si="3"/>
        <v>166465.34481633856</v>
      </c>
      <c r="AN38" s="314">
        <f>Data!AN41/AN$4*100000*AN$3</f>
        <v>0</v>
      </c>
      <c r="AO38" s="314">
        <f>Data!AO41/AO$4*100000*AO$3</f>
        <v>0</v>
      </c>
      <c r="AP38" s="314">
        <f>Data!AP41/AP$4*100000*AP$3</f>
        <v>0</v>
      </c>
      <c r="AQ38" s="314">
        <f>Data!AQ41/AQ$4*100000*AQ$3</f>
        <v>0</v>
      </c>
      <c r="AR38" s="314">
        <f>Data!AR41/AR$4*100000*AR$3</f>
        <v>0</v>
      </c>
      <c r="AS38" s="314">
        <f>Data!AS41/AS$4*100000*AS$3</f>
        <v>0</v>
      </c>
      <c r="AT38" s="314">
        <f>Data!AT41/AT$4*100000*AT$3</f>
        <v>0</v>
      </c>
      <c r="AU38" s="314">
        <f>Data!AU41/AU$4*100000*AU$3</f>
        <v>6576.5676893229429</v>
      </c>
      <c r="AV38" s="314">
        <f>Data!AV41/AV$4*100000*AV$3</f>
        <v>0</v>
      </c>
      <c r="AW38" s="314">
        <f>Data!AW41/AW$4*100000*AW$3</f>
        <v>0</v>
      </c>
      <c r="AX38" s="314">
        <f>Data!AX41/AX$4*100000*AX$3</f>
        <v>0</v>
      </c>
      <c r="AY38" s="314">
        <f>Data!AY41/AY$4*100000*AY$3</f>
        <v>27153.621614282805</v>
      </c>
      <c r="AZ38" s="314">
        <f>Data!AZ41/AZ$4*100000*AZ$3</f>
        <v>22064.400468868509</v>
      </c>
      <c r="BA38" s="314">
        <f>Data!BA41/BA$4*100000*BA$3</f>
        <v>16769.769695162853</v>
      </c>
      <c r="BB38" s="314">
        <f>Data!BB41/BB$4*100000*BB$3</f>
        <v>35110.989739788558</v>
      </c>
      <c r="BC38" s="314">
        <f>Data!BC41/BC$4*100000*BC$3</f>
        <v>28172.621334357791</v>
      </c>
      <c r="BD38" s="314">
        <f>Data!BD41/BD$4*100000*BD$3</f>
        <v>11973.180076628352</v>
      </c>
      <c r="BE38" s="314">
        <f>Data!BE41/BE$4*100000*BE$3</f>
        <v>18644.194197926765</v>
      </c>
    </row>
    <row r="39" spans="1:57" ht="12" customHeight="1">
      <c r="A39" s="30"/>
      <c r="B39" s="139" t="str">
        <f>UPPER(LEFT(TRIM(Data!B42),1)) &amp; MID(TRIM(Data!B42),2,50)</f>
        <v>Leukemijos</v>
      </c>
      <c r="C39" s="139" t="str">
        <f>Data!C42</f>
        <v>C91-C95</v>
      </c>
      <c r="D39" s="140">
        <f>Data!E42</f>
        <v>126</v>
      </c>
      <c r="E39" s="141">
        <f t="shared" si="5"/>
        <v>9.2480933147294966</v>
      </c>
      <c r="F39" s="142">
        <f t="shared" si="6"/>
        <v>7.511859375363243</v>
      </c>
      <c r="G39" s="142">
        <f t="shared" si="7"/>
        <v>4.9802604943535282</v>
      </c>
      <c r="H39" s="56"/>
      <c r="I39" s="56"/>
      <c r="J39" s="56"/>
      <c r="K39" s="56"/>
      <c r="L39" s="56"/>
      <c r="M39" s="56"/>
      <c r="N39" s="56"/>
      <c r="O39" s="56"/>
      <c r="P39" s="56"/>
      <c r="Q39" s="307"/>
      <c r="R39" s="322" t="s">
        <v>352</v>
      </c>
      <c r="S39" s="314">
        <f t="shared" si="2"/>
        <v>751185.93753632426</v>
      </c>
      <c r="T39" s="314">
        <f>Data!AN42/T$4*100000*T$3</f>
        <v>0</v>
      </c>
      <c r="U39" s="314">
        <f>Data!AO42/U$4*100000*U$3</f>
        <v>0</v>
      </c>
      <c r="V39" s="314">
        <f>Data!AP42/V$4*100000*V$3</f>
        <v>0</v>
      </c>
      <c r="W39" s="314">
        <f>Data!AQ42/W$4*100000*W$3</f>
        <v>7478.3128926114268</v>
      </c>
      <c r="X39" s="314">
        <f>Data!AR42/X$4*100000*X$3</f>
        <v>19083.449197132031</v>
      </c>
      <c r="Y39" s="314">
        <f>Data!AS42/Y$4*100000*Y$3</f>
        <v>0</v>
      </c>
      <c r="Z39" s="314">
        <f>Data!AT42/Z$4*100000*Z$3</f>
        <v>0</v>
      </c>
      <c r="AA39" s="314">
        <f>Data!AU42/AA$4*100000*AA$3</f>
        <v>7672.6623042101</v>
      </c>
      <c r="AB39" s="314">
        <f>Data!AV42/AB$4*100000*AB$3</f>
        <v>6924.0432455958144</v>
      </c>
      <c r="AC39" s="314">
        <f>Data!AW42/AC$4*100000*AC$3</f>
        <v>13665.469311260347</v>
      </c>
      <c r="AD39" s="314">
        <f>Data!AX42/AD$4*100000*AD$3</f>
        <v>50718.665374548291</v>
      </c>
      <c r="AE39" s="314">
        <f>Data!AY42/AE$4*100000*AE$3</f>
        <v>74672.459439277722</v>
      </c>
      <c r="AF39" s="314">
        <f>Data!AZ42/AF$4*100000*AF$3</f>
        <v>89636.626904778328</v>
      </c>
      <c r="AG39" s="314">
        <f>Data!BA42/AG$4*100000*AG$3</f>
        <v>74532.309756279341</v>
      </c>
      <c r="AH39" s="314">
        <f>Data!BB42/AH$4*100000*AH$3</f>
        <v>152147.62220575041</v>
      </c>
      <c r="AI39" s="314">
        <f>Data!BC42/AI$4*100000*AI$3</f>
        <v>76834.421820975811</v>
      </c>
      <c r="AJ39" s="314">
        <f>Data!BD42/AJ$4*100000*AJ$3</f>
        <v>95785.440613026818</v>
      </c>
      <c r="AK39" s="314">
        <f>Data!BE42/AK$4*100000*AK$3</f>
        <v>82034.454470877783</v>
      </c>
      <c r="AL39" s="322" t="s">
        <v>352</v>
      </c>
      <c r="AM39" s="314">
        <f t="shared" si="3"/>
        <v>498026.04943535285</v>
      </c>
      <c r="AN39" s="314">
        <f>Data!AN42/AN$4*100000*AN$3</f>
        <v>0</v>
      </c>
      <c r="AO39" s="314">
        <f>Data!AO42/AO$4*100000*AO$3</f>
        <v>0</v>
      </c>
      <c r="AP39" s="314">
        <f>Data!AP42/AP$4*100000*AP$3</f>
        <v>0</v>
      </c>
      <c r="AQ39" s="314">
        <f>Data!AQ42/AQ$4*100000*AQ$3</f>
        <v>9614.9737190718351</v>
      </c>
      <c r="AR39" s="314">
        <f>Data!AR42/AR$4*100000*AR$3</f>
        <v>21809.656225293751</v>
      </c>
      <c r="AS39" s="314">
        <f>Data!AS42/AS$4*100000*AS$3</f>
        <v>0</v>
      </c>
      <c r="AT39" s="314">
        <f>Data!AT42/AT$4*100000*AT$3</f>
        <v>0</v>
      </c>
      <c r="AU39" s="314">
        <f>Data!AU42/AU$4*100000*AU$3</f>
        <v>6576.5676893229429</v>
      </c>
      <c r="AV39" s="314">
        <f>Data!AV42/AV$4*100000*AV$3</f>
        <v>5934.894210510698</v>
      </c>
      <c r="AW39" s="314">
        <f>Data!AW42/AW$4*100000*AW$3</f>
        <v>11713.259409651726</v>
      </c>
      <c r="AX39" s="314">
        <f>Data!AX42/AX$4*100000*AX$3</f>
        <v>36227.618124677349</v>
      </c>
      <c r="AY39" s="314">
        <f>Data!AY42/AY$4*100000*AY$3</f>
        <v>49781.639626185148</v>
      </c>
      <c r="AZ39" s="314">
        <f>Data!AZ42/AZ$4*100000*AZ$3</f>
        <v>71709.301523822665</v>
      </c>
      <c r="BA39" s="314">
        <f>Data!BA42/BA$4*100000*BA$3</f>
        <v>55899.232317209513</v>
      </c>
      <c r="BB39" s="314">
        <f>Data!BB42/BB$4*100000*BB$3</f>
        <v>101431.74813716693</v>
      </c>
      <c r="BC39" s="314">
        <f>Data!BC42/BC$4*100000*BC$3</f>
        <v>38417.210910487905</v>
      </c>
      <c r="BD39" s="314">
        <f>Data!BD42/BD$4*100000*BD$3</f>
        <v>47892.720306513409</v>
      </c>
      <c r="BE39" s="314">
        <f>Data!BE42/BE$4*100000*BE$3</f>
        <v>41017.227235438892</v>
      </c>
    </row>
    <row r="40" spans="1:57" ht="12" customHeight="1">
      <c r="A40" s="30"/>
      <c r="B40" s="144" t="str">
        <f>UPPER(LEFT(TRIM(Data!B43),1)) &amp; MID(TRIM(Data!B43),2,50)</f>
        <v>Kiti limfinio, kraujodaros audinių</v>
      </c>
      <c r="C40" s="123" t="str">
        <f>Data!C43</f>
        <v>C88, C96</v>
      </c>
      <c r="D40" s="136">
        <f>Data!E43</f>
        <v>4</v>
      </c>
      <c r="E40" s="125">
        <f t="shared" si="5"/>
        <v>0.29359026395966659</v>
      </c>
      <c r="F40" s="126">
        <f t="shared" si="6"/>
        <v>0.21693327280843594</v>
      </c>
      <c r="G40" s="127">
        <f t="shared" si="7"/>
        <v>0.10846663640421797</v>
      </c>
      <c r="H40" s="56"/>
      <c r="I40" s="56"/>
      <c r="J40" s="56"/>
      <c r="K40" s="56"/>
      <c r="L40" s="56"/>
      <c r="M40" s="56"/>
      <c r="N40" s="56"/>
      <c r="O40" s="56"/>
      <c r="P40" s="56"/>
      <c r="Q40" s="307"/>
      <c r="R40" s="322" t="s">
        <v>352</v>
      </c>
      <c r="S40" s="314">
        <f t="shared" si="2"/>
        <v>21693.327280843594</v>
      </c>
      <c r="T40" s="314">
        <f>Data!AN43/T$4*100000*T$3</f>
        <v>0</v>
      </c>
      <c r="U40" s="314">
        <f>Data!AO43/U$4*100000*U$3</f>
        <v>0</v>
      </c>
      <c r="V40" s="314">
        <f>Data!AP43/V$4*100000*V$3</f>
        <v>0</v>
      </c>
      <c r="W40" s="314">
        <f>Data!AQ43/W$4*100000*W$3</f>
        <v>0</v>
      </c>
      <c r="X40" s="314">
        <f>Data!AR43/X$4*100000*X$3</f>
        <v>0</v>
      </c>
      <c r="Y40" s="314">
        <f>Data!AS43/Y$4*100000*Y$3</f>
        <v>0</v>
      </c>
      <c r="Z40" s="314">
        <f>Data!AT43/Z$4*100000*Z$3</f>
        <v>0</v>
      </c>
      <c r="AA40" s="314">
        <f>Data!AU43/AA$4*100000*AA$3</f>
        <v>0</v>
      </c>
      <c r="AB40" s="314">
        <f>Data!AV43/AB$4*100000*AB$3</f>
        <v>0</v>
      </c>
      <c r="AC40" s="314">
        <f>Data!AW43/AC$4*100000*AC$3</f>
        <v>0</v>
      </c>
      <c r="AD40" s="314">
        <f>Data!AX43/AD$4*100000*AD$3</f>
        <v>0</v>
      </c>
      <c r="AE40" s="314">
        <f>Data!AY43/AE$4*100000*AE$3</f>
        <v>0</v>
      </c>
      <c r="AF40" s="314">
        <f>Data!AZ43/AF$4*100000*AF$3</f>
        <v>0</v>
      </c>
      <c r="AG40" s="314">
        <f>Data!BA43/AG$4*100000*AG$3</f>
        <v>0</v>
      </c>
      <c r="AH40" s="314">
        <f>Data!BB43/AH$4*100000*AH$3</f>
        <v>0</v>
      </c>
      <c r="AI40" s="314">
        <f>Data!BC43/AI$4*100000*AI$3</f>
        <v>10244.589576130105</v>
      </c>
      <c r="AJ40" s="314">
        <f>Data!BD43/AJ$4*100000*AJ$3</f>
        <v>3991.0600255427844</v>
      </c>
      <c r="AK40" s="314">
        <f>Data!BE43/AK$4*100000*AK$3</f>
        <v>7457.6776791707061</v>
      </c>
      <c r="AL40" s="322" t="s">
        <v>352</v>
      </c>
      <c r="AM40" s="314">
        <f t="shared" si="3"/>
        <v>10846.663640421797</v>
      </c>
      <c r="AN40" s="314">
        <f>Data!AN43/AN$4*100000*AN$3</f>
        <v>0</v>
      </c>
      <c r="AO40" s="314">
        <f>Data!AO43/AO$4*100000*AO$3</f>
        <v>0</v>
      </c>
      <c r="AP40" s="314">
        <f>Data!AP43/AP$4*100000*AP$3</f>
        <v>0</v>
      </c>
      <c r="AQ40" s="314">
        <f>Data!AQ43/AQ$4*100000*AQ$3</f>
        <v>0</v>
      </c>
      <c r="AR40" s="314">
        <f>Data!AR43/AR$4*100000*AR$3</f>
        <v>0</v>
      </c>
      <c r="AS40" s="314">
        <f>Data!AS43/AS$4*100000*AS$3</f>
        <v>0</v>
      </c>
      <c r="AT40" s="314">
        <f>Data!AT43/AT$4*100000*AT$3</f>
        <v>0</v>
      </c>
      <c r="AU40" s="314">
        <f>Data!AU43/AU$4*100000*AU$3</f>
        <v>0</v>
      </c>
      <c r="AV40" s="314">
        <f>Data!AV43/AV$4*100000*AV$3</f>
        <v>0</v>
      </c>
      <c r="AW40" s="314">
        <f>Data!AW43/AW$4*100000*AW$3</f>
        <v>0</v>
      </c>
      <c r="AX40" s="314">
        <f>Data!AX43/AX$4*100000*AX$3</f>
        <v>0</v>
      </c>
      <c r="AY40" s="314">
        <f>Data!AY43/AY$4*100000*AY$3</f>
        <v>0</v>
      </c>
      <c r="AZ40" s="314">
        <f>Data!AZ43/AZ$4*100000*AZ$3</f>
        <v>0</v>
      </c>
      <c r="BA40" s="314">
        <f>Data!BA43/BA$4*100000*BA$3</f>
        <v>0</v>
      </c>
      <c r="BB40" s="314">
        <f>Data!BB43/BB$4*100000*BB$3</f>
        <v>0</v>
      </c>
      <c r="BC40" s="314">
        <f>Data!BC43/BC$4*100000*BC$3</f>
        <v>5122.2947880650527</v>
      </c>
      <c r="BD40" s="314">
        <f>Data!BD43/BD$4*100000*BD$3</f>
        <v>1995.5300127713922</v>
      </c>
      <c r="BE40" s="314">
        <f>Data!BE43/BE$4*100000*BE$3</f>
        <v>3728.8388395853531</v>
      </c>
    </row>
    <row r="41" spans="1:57" ht="24" customHeight="1">
      <c r="A41" s="30"/>
      <c r="B41" s="132"/>
      <c r="C41" s="132"/>
      <c r="D41" s="133"/>
      <c r="E41" s="134"/>
      <c r="F41" s="135"/>
      <c r="G41" s="135"/>
      <c r="H41" s="56"/>
      <c r="I41" s="56"/>
      <c r="J41" s="56"/>
      <c r="K41" s="56"/>
      <c r="L41" s="56"/>
      <c r="M41" s="56"/>
      <c r="N41" s="56"/>
      <c r="O41" s="56"/>
      <c r="P41" s="56"/>
      <c r="Q41" s="307"/>
      <c r="R41" s="322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22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</row>
    <row r="42" spans="1:57" ht="12" customHeight="1">
      <c r="A42" s="30"/>
      <c r="B42" s="123" t="str">
        <f>UPPER(LEFT(TRIM(Data!B44),1)) &amp; MID(TRIM(Data!B44),2,50)</f>
        <v>Melanoma in situ</v>
      </c>
      <c r="C42" s="123" t="str">
        <f>Data!C44</f>
        <v>D03</v>
      </c>
      <c r="D42" s="136">
        <f>Data!E44</f>
        <v>0</v>
      </c>
      <c r="E42" s="137">
        <f t="shared" si="5"/>
        <v>0</v>
      </c>
      <c r="F42" s="127">
        <f t="shared" si="6"/>
        <v>0</v>
      </c>
      <c r="G42" s="127">
        <f t="shared" si="7"/>
        <v>0</v>
      </c>
      <c r="H42" s="56"/>
      <c r="I42" s="56"/>
      <c r="J42" s="56"/>
      <c r="K42" s="56"/>
      <c r="L42" s="56"/>
      <c r="M42" s="56"/>
      <c r="N42" s="56"/>
      <c r="O42" s="56"/>
      <c r="P42" s="56"/>
      <c r="Q42" s="307"/>
      <c r="R42" s="322" t="s">
        <v>352</v>
      </c>
      <c r="S42" s="314">
        <f t="shared" si="2"/>
        <v>0</v>
      </c>
      <c r="T42" s="314">
        <f>Data!AN44/T$4*100000*T$3</f>
        <v>0</v>
      </c>
      <c r="U42" s="314">
        <f>Data!AO44/U$4*100000*U$3</f>
        <v>0</v>
      </c>
      <c r="V42" s="314">
        <f>Data!AP44/V$4*100000*V$3</f>
        <v>0</v>
      </c>
      <c r="W42" s="314">
        <f>Data!AQ44/W$4*100000*W$3</f>
        <v>0</v>
      </c>
      <c r="X42" s="314">
        <f>Data!AR44/X$4*100000*X$3</f>
        <v>0</v>
      </c>
      <c r="Y42" s="314">
        <f>Data!AS44/Y$4*100000*Y$3</f>
        <v>0</v>
      </c>
      <c r="Z42" s="314">
        <f>Data!AT44/Z$4*100000*Z$3</f>
        <v>0</v>
      </c>
      <c r="AA42" s="314">
        <f>Data!AU44/AA$4*100000*AA$3</f>
        <v>0</v>
      </c>
      <c r="AB42" s="314">
        <f>Data!AV44/AB$4*100000*AB$3</f>
        <v>0</v>
      </c>
      <c r="AC42" s="314">
        <f>Data!AW44/AC$4*100000*AC$3</f>
        <v>0</v>
      </c>
      <c r="AD42" s="314">
        <f>Data!AX44/AD$4*100000*AD$3</f>
        <v>0</v>
      </c>
      <c r="AE42" s="314">
        <f>Data!AY44/AE$4*100000*AE$3</f>
        <v>0</v>
      </c>
      <c r="AF42" s="314">
        <f>Data!AZ44/AF$4*100000*AF$3</f>
        <v>0</v>
      </c>
      <c r="AG42" s="314">
        <f>Data!BA44/AG$4*100000*AG$3</f>
        <v>0</v>
      </c>
      <c r="AH42" s="314">
        <f>Data!BB44/AH$4*100000*AH$3</f>
        <v>0</v>
      </c>
      <c r="AI42" s="314">
        <f>Data!BC44/AI$4*100000*AI$3</f>
        <v>0</v>
      </c>
      <c r="AJ42" s="314">
        <f>Data!BD44/AJ$4*100000*AJ$3</f>
        <v>0</v>
      </c>
      <c r="AK42" s="314">
        <f>Data!BE44/AK$4*100000*AK$3</f>
        <v>0</v>
      </c>
      <c r="AL42" s="322" t="s">
        <v>352</v>
      </c>
      <c r="AM42" s="314">
        <f t="shared" si="3"/>
        <v>0</v>
      </c>
      <c r="AN42" s="314">
        <f>Data!AN44/AN$4*100000*AN$3</f>
        <v>0</v>
      </c>
      <c r="AO42" s="314">
        <f>Data!AO44/AO$4*100000*AO$3</f>
        <v>0</v>
      </c>
      <c r="AP42" s="314">
        <f>Data!AP44/AP$4*100000*AP$3</f>
        <v>0</v>
      </c>
      <c r="AQ42" s="314">
        <f>Data!AQ44/AQ$4*100000*AQ$3</f>
        <v>0</v>
      </c>
      <c r="AR42" s="314">
        <f>Data!AR44/AR$4*100000*AR$3</f>
        <v>0</v>
      </c>
      <c r="AS42" s="314">
        <f>Data!AS44/AS$4*100000*AS$3</f>
        <v>0</v>
      </c>
      <c r="AT42" s="314">
        <f>Data!AT44/AT$4*100000*AT$3</f>
        <v>0</v>
      </c>
      <c r="AU42" s="314">
        <f>Data!AU44/AU$4*100000*AU$3</f>
        <v>0</v>
      </c>
      <c r="AV42" s="314">
        <f>Data!AV44/AV$4*100000*AV$3</f>
        <v>0</v>
      </c>
      <c r="AW42" s="314">
        <f>Data!AW44/AW$4*100000*AW$3</f>
        <v>0</v>
      </c>
      <c r="AX42" s="314">
        <f>Data!AX44/AX$4*100000*AX$3</f>
        <v>0</v>
      </c>
      <c r="AY42" s="314">
        <f>Data!AY44/AY$4*100000*AY$3</f>
        <v>0</v>
      </c>
      <c r="AZ42" s="314">
        <f>Data!AZ44/AZ$4*100000*AZ$3</f>
        <v>0</v>
      </c>
      <c r="BA42" s="314">
        <f>Data!BA44/BA$4*100000*BA$3</f>
        <v>0</v>
      </c>
      <c r="BB42" s="314">
        <f>Data!BB44/BB$4*100000*BB$3</f>
        <v>0</v>
      </c>
      <c r="BC42" s="314">
        <f>Data!BC44/BC$4*100000*BC$3</f>
        <v>0</v>
      </c>
      <c r="BD42" s="314">
        <f>Data!BD44/BD$4*100000*BD$3</f>
        <v>0</v>
      </c>
      <c r="BE42" s="314">
        <f>Data!BE44/BE$4*100000*BE$3</f>
        <v>0</v>
      </c>
    </row>
    <row r="43" spans="1:57" ht="12" customHeight="1">
      <c r="A43" s="30"/>
      <c r="B43" s="128" t="str">
        <f>UPPER(LEFT(TRIM(Data!B45),1)) &amp; MID(TRIM(Data!B45),2,50)</f>
        <v>Krūties navikai in situ</v>
      </c>
      <c r="C43" s="128" t="str">
        <f>Data!C45</f>
        <v>D05</v>
      </c>
      <c r="D43" s="129">
        <f>Data!E45</f>
        <v>0</v>
      </c>
      <c r="E43" s="130">
        <f t="shared" si="5"/>
        <v>0</v>
      </c>
      <c r="F43" s="131">
        <f t="shared" si="6"/>
        <v>0</v>
      </c>
      <c r="G43" s="131">
        <f t="shared" si="7"/>
        <v>0</v>
      </c>
      <c r="H43" s="56"/>
      <c r="I43" s="56"/>
      <c r="J43" s="56"/>
      <c r="K43" s="56"/>
      <c r="L43" s="56"/>
      <c r="M43" s="56"/>
      <c r="N43" s="56"/>
      <c r="O43" s="56"/>
      <c r="P43" s="56"/>
      <c r="Q43" s="307"/>
      <c r="R43" s="322" t="s">
        <v>352</v>
      </c>
      <c r="S43" s="314">
        <f t="shared" si="2"/>
        <v>0</v>
      </c>
      <c r="T43" s="314">
        <f>Data!AN45/T$4*100000*T$3</f>
        <v>0</v>
      </c>
      <c r="U43" s="314">
        <f>Data!AO45/U$4*100000*U$3</f>
        <v>0</v>
      </c>
      <c r="V43" s="314">
        <f>Data!AP45/V$4*100000*V$3</f>
        <v>0</v>
      </c>
      <c r="W43" s="314">
        <f>Data!AQ45/W$4*100000*W$3</f>
        <v>0</v>
      </c>
      <c r="X43" s="314">
        <f>Data!AR45/X$4*100000*X$3</f>
        <v>0</v>
      </c>
      <c r="Y43" s="314">
        <f>Data!AS45/Y$4*100000*Y$3</f>
        <v>0</v>
      </c>
      <c r="Z43" s="314">
        <f>Data!AT45/Z$4*100000*Z$3</f>
        <v>0</v>
      </c>
      <c r="AA43" s="314">
        <f>Data!AU45/AA$4*100000*AA$3</f>
        <v>0</v>
      </c>
      <c r="AB43" s="314">
        <f>Data!AV45/AB$4*100000*AB$3</f>
        <v>0</v>
      </c>
      <c r="AC43" s="314">
        <f>Data!AW45/AC$4*100000*AC$3</f>
        <v>0</v>
      </c>
      <c r="AD43" s="314">
        <f>Data!AX45/AD$4*100000*AD$3</f>
        <v>0</v>
      </c>
      <c r="AE43" s="314">
        <f>Data!AY45/AE$4*100000*AE$3</f>
        <v>0</v>
      </c>
      <c r="AF43" s="314">
        <f>Data!AZ45/AF$4*100000*AF$3</f>
        <v>0</v>
      </c>
      <c r="AG43" s="314">
        <f>Data!BA45/AG$4*100000*AG$3</f>
        <v>0</v>
      </c>
      <c r="AH43" s="314">
        <f>Data!BB45/AH$4*100000*AH$3</f>
        <v>0</v>
      </c>
      <c r="AI43" s="314">
        <f>Data!BC45/AI$4*100000*AI$3</f>
        <v>0</v>
      </c>
      <c r="AJ43" s="314">
        <f>Data!BD45/AJ$4*100000*AJ$3</f>
        <v>0</v>
      </c>
      <c r="AK43" s="314">
        <f>Data!BE45/AK$4*100000*AK$3</f>
        <v>0</v>
      </c>
      <c r="AL43" s="322" t="s">
        <v>352</v>
      </c>
      <c r="AM43" s="314">
        <f t="shared" si="3"/>
        <v>0</v>
      </c>
      <c r="AN43" s="314">
        <f>Data!AN45/AN$4*100000*AN$3</f>
        <v>0</v>
      </c>
      <c r="AO43" s="314">
        <f>Data!AO45/AO$4*100000*AO$3</f>
        <v>0</v>
      </c>
      <c r="AP43" s="314">
        <f>Data!AP45/AP$4*100000*AP$3</f>
        <v>0</v>
      </c>
      <c r="AQ43" s="314">
        <f>Data!AQ45/AQ$4*100000*AQ$3</f>
        <v>0</v>
      </c>
      <c r="AR43" s="314">
        <f>Data!AR45/AR$4*100000*AR$3</f>
        <v>0</v>
      </c>
      <c r="AS43" s="314">
        <f>Data!AS45/AS$4*100000*AS$3</f>
        <v>0</v>
      </c>
      <c r="AT43" s="314">
        <f>Data!AT45/AT$4*100000*AT$3</f>
        <v>0</v>
      </c>
      <c r="AU43" s="314">
        <f>Data!AU45/AU$4*100000*AU$3</f>
        <v>0</v>
      </c>
      <c r="AV43" s="314">
        <f>Data!AV45/AV$4*100000*AV$3</f>
        <v>0</v>
      </c>
      <c r="AW43" s="314">
        <f>Data!AW45/AW$4*100000*AW$3</f>
        <v>0</v>
      </c>
      <c r="AX43" s="314">
        <f>Data!AX45/AX$4*100000*AX$3</f>
        <v>0</v>
      </c>
      <c r="AY43" s="314">
        <f>Data!AY45/AY$4*100000*AY$3</f>
        <v>0</v>
      </c>
      <c r="AZ43" s="314">
        <f>Data!AZ45/AZ$4*100000*AZ$3</f>
        <v>0</v>
      </c>
      <c r="BA43" s="314">
        <f>Data!BA45/BA$4*100000*BA$3</f>
        <v>0</v>
      </c>
      <c r="BB43" s="314">
        <f>Data!BB45/BB$4*100000*BB$3</f>
        <v>0</v>
      </c>
      <c r="BC43" s="314">
        <f>Data!BC45/BC$4*100000*BC$3</f>
        <v>0</v>
      </c>
      <c r="BD43" s="314">
        <f>Data!BD45/BD$4*100000*BD$3</f>
        <v>0</v>
      </c>
      <c r="BE43" s="314">
        <f>Data!BE45/BE$4*100000*BE$3</f>
        <v>0</v>
      </c>
    </row>
    <row r="44" spans="1:57" ht="12" customHeight="1">
      <c r="A44" s="30"/>
      <c r="B44" s="123" t="str">
        <f>UPPER(LEFT(TRIM(Data!B47),1)) &amp; MID(TRIM(Data!B47),2,50)</f>
        <v>Šlapimo pūslės in situ</v>
      </c>
      <c r="C44" s="123" t="str">
        <f>Data!C47</f>
        <v>D09.0</v>
      </c>
      <c r="D44" s="136">
        <f>Data!E47</f>
        <v>0</v>
      </c>
      <c r="E44" s="137">
        <f t="shared" si="5"/>
        <v>0</v>
      </c>
      <c r="F44" s="127">
        <f t="shared" si="6"/>
        <v>0</v>
      </c>
      <c r="G44" s="127">
        <f t="shared" si="7"/>
        <v>0</v>
      </c>
      <c r="H44" s="56"/>
      <c r="I44" s="56"/>
      <c r="J44" s="56"/>
      <c r="K44" s="56"/>
      <c r="L44" s="56"/>
      <c r="M44" s="56"/>
      <c r="N44" s="56"/>
      <c r="O44" s="56"/>
      <c r="P44" s="56"/>
      <c r="Q44" s="307"/>
      <c r="R44" s="322" t="s">
        <v>352</v>
      </c>
      <c r="S44" s="314">
        <f t="shared" si="2"/>
        <v>0</v>
      </c>
      <c r="T44" s="314">
        <f>Data!AN47/T$4*100000*T$3</f>
        <v>0</v>
      </c>
      <c r="U44" s="314">
        <f>Data!AO47/U$4*100000*U$3</f>
        <v>0</v>
      </c>
      <c r="V44" s="314">
        <f>Data!AP47/V$4*100000*V$3</f>
        <v>0</v>
      </c>
      <c r="W44" s="314">
        <f>Data!AQ47/W$4*100000*W$3</f>
        <v>0</v>
      </c>
      <c r="X44" s="314">
        <f>Data!AR47/X$4*100000*X$3</f>
        <v>0</v>
      </c>
      <c r="Y44" s="314">
        <f>Data!AS47/Y$4*100000*Y$3</f>
        <v>0</v>
      </c>
      <c r="Z44" s="314">
        <f>Data!AT47/Z$4*100000*Z$3</f>
        <v>0</v>
      </c>
      <c r="AA44" s="314">
        <f>Data!AU47/AA$4*100000*AA$3</f>
        <v>0</v>
      </c>
      <c r="AB44" s="314">
        <f>Data!AV47/AB$4*100000*AB$3</f>
        <v>0</v>
      </c>
      <c r="AC44" s="314">
        <f>Data!AW47/AC$4*100000*AC$3</f>
        <v>0</v>
      </c>
      <c r="AD44" s="314">
        <f>Data!AX47/AD$4*100000*AD$3</f>
        <v>0</v>
      </c>
      <c r="AE44" s="314">
        <f>Data!AY47/AE$4*100000*AE$3</f>
        <v>0</v>
      </c>
      <c r="AF44" s="314">
        <f>Data!AZ47/AF$4*100000*AF$3</f>
        <v>0</v>
      </c>
      <c r="AG44" s="314">
        <f>Data!BA47/AG$4*100000*AG$3</f>
        <v>0</v>
      </c>
      <c r="AH44" s="314">
        <f>Data!BB47/AH$4*100000*AH$3</f>
        <v>0</v>
      </c>
      <c r="AI44" s="314">
        <f>Data!BC47/AI$4*100000*AI$3</f>
        <v>0</v>
      </c>
      <c r="AJ44" s="314">
        <f>Data!BD47/AJ$4*100000*AJ$3</f>
        <v>0</v>
      </c>
      <c r="AK44" s="314">
        <f>Data!BE47/AK$4*100000*AK$3</f>
        <v>0</v>
      </c>
      <c r="AL44" s="322" t="s">
        <v>352</v>
      </c>
      <c r="AM44" s="314">
        <f t="shared" si="3"/>
        <v>0</v>
      </c>
      <c r="AN44" s="314">
        <f>Data!AN47/AN$4*100000*AN$3</f>
        <v>0</v>
      </c>
      <c r="AO44" s="314">
        <f>Data!AO47/AO$4*100000*AO$3</f>
        <v>0</v>
      </c>
      <c r="AP44" s="314">
        <f>Data!AP47/AP$4*100000*AP$3</f>
        <v>0</v>
      </c>
      <c r="AQ44" s="314">
        <f>Data!AQ47/AQ$4*100000*AQ$3</f>
        <v>0</v>
      </c>
      <c r="AR44" s="314">
        <f>Data!AR47/AR$4*100000*AR$3</f>
        <v>0</v>
      </c>
      <c r="AS44" s="314">
        <f>Data!AS47/AS$4*100000*AS$3</f>
        <v>0</v>
      </c>
      <c r="AT44" s="314">
        <f>Data!AT47/AT$4*100000*AT$3</f>
        <v>0</v>
      </c>
      <c r="AU44" s="314">
        <f>Data!AU47/AU$4*100000*AU$3</f>
        <v>0</v>
      </c>
      <c r="AV44" s="314">
        <f>Data!AV47/AV$4*100000*AV$3</f>
        <v>0</v>
      </c>
      <c r="AW44" s="314">
        <f>Data!AW47/AW$4*100000*AW$3</f>
        <v>0</v>
      </c>
      <c r="AX44" s="314">
        <f>Data!AX47/AX$4*100000*AX$3</f>
        <v>0</v>
      </c>
      <c r="AY44" s="314">
        <f>Data!AY47/AY$4*100000*AY$3</f>
        <v>0</v>
      </c>
      <c r="AZ44" s="314">
        <f>Data!AZ47/AZ$4*100000*AZ$3</f>
        <v>0</v>
      </c>
      <c r="BA44" s="314">
        <f>Data!BA47/BA$4*100000*BA$3</f>
        <v>0</v>
      </c>
      <c r="BB44" s="314">
        <f>Data!BB47/BB$4*100000*BB$3</f>
        <v>0</v>
      </c>
      <c r="BC44" s="314">
        <f>Data!BC47/BC$4*100000*BC$3</f>
        <v>0</v>
      </c>
      <c r="BD44" s="314">
        <f>Data!BD47/BD$4*100000*BD$3</f>
        <v>0</v>
      </c>
      <c r="BE44" s="314">
        <f>Data!BE47/BE$4*100000*BE$3</f>
        <v>0</v>
      </c>
    </row>
    <row r="45" spans="1:57" ht="12" customHeight="1">
      <c r="A45" s="30"/>
      <c r="B45" s="128" t="str">
        <f>UPPER(LEFT(TRIM(Data!B48),1)) &amp; MID(TRIM(Data!B48),2,50)</f>
        <v>Nervų sistemos gerybiniai navikai</v>
      </c>
      <c r="C45" s="128" t="str">
        <f>Data!C48</f>
        <v>D32, D33</v>
      </c>
      <c r="D45" s="129">
        <f>Data!E48</f>
        <v>11</v>
      </c>
      <c r="E45" s="130">
        <f t="shared" si="5"/>
        <v>0.80737322588908311</v>
      </c>
      <c r="F45" s="131">
        <f t="shared" si="6"/>
        <v>0.70506737503762162</v>
      </c>
      <c r="G45" s="131">
        <f t="shared" si="7"/>
        <v>0.45750442542015124</v>
      </c>
      <c r="H45" s="56"/>
      <c r="I45" s="56"/>
      <c r="J45" s="56"/>
      <c r="K45" s="56"/>
      <c r="L45" s="56"/>
      <c r="M45" s="56"/>
      <c r="N45" s="56"/>
      <c r="O45" s="56"/>
      <c r="P45" s="56"/>
      <c r="Q45" s="307"/>
      <c r="R45" s="322" t="s">
        <v>352</v>
      </c>
      <c r="S45" s="314">
        <f t="shared" si="2"/>
        <v>70506.737503762168</v>
      </c>
      <c r="T45" s="314">
        <f>Data!AN48/T$4*100000*T$3</f>
        <v>0</v>
      </c>
      <c r="U45" s="314">
        <f>Data!AO48/U$4*100000*U$3</f>
        <v>0</v>
      </c>
      <c r="V45" s="314">
        <f>Data!AP48/V$4*100000*V$3</f>
        <v>0</v>
      </c>
      <c r="W45" s="314">
        <f>Data!AQ48/W$4*100000*W$3</f>
        <v>0</v>
      </c>
      <c r="X45" s="314">
        <f>Data!AR48/X$4*100000*X$3</f>
        <v>0</v>
      </c>
      <c r="Y45" s="314">
        <f>Data!AS48/Y$4*100000*Y$3</f>
        <v>0</v>
      </c>
      <c r="Z45" s="314">
        <f>Data!AT48/Z$4*100000*Z$3</f>
        <v>0</v>
      </c>
      <c r="AA45" s="314">
        <f>Data!AU48/AA$4*100000*AA$3</f>
        <v>0</v>
      </c>
      <c r="AB45" s="314">
        <f>Data!AV48/AB$4*100000*AB$3</f>
        <v>0</v>
      </c>
      <c r="AC45" s="314">
        <f>Data!AW48/AC$4*100000*AC$3</f>
        <v>0</v>
      </c>
      <c r="AD45" s="314">
        <f>Data!AX48/AD$4*100000*AD$3</f>
        <v>0</v>
      </c>
      <c r="AE45" s="314">
        <f>Data!AY48/AE$4*100000*AE$3</f>
        <v>0</v>
      </c>
      <c r="AF45" s="314">
        <f>Data!AZ48/AF$4*100000*AF$3</f>
        <v>6895.1251465214091</v>
      </c>
      <c r="AG45" s="314">
        <f>Data!BA48/AG$4*100000*AG$3</f>
        <v>29812.923902511742</v>
      </c>
      <c r="AH45" s="314">
        <f>Data!BB48/AH$4*100000*AH$3</f>
        <v>5851.8316232980915</v>
      </c>
      <c r="AI45" s="314">
        <f>Data!BC48/AI$4*100000*AI$3</f>
        <v>20489.179152260211</v>
      </c>
      <c r="AJ45" s="314">
        <f>Data!BD48/AJ$4*100000*AJ$3</f>
        <v>0</v>
      </c>
      <c r="AK45" s="314">
        <f>Data!BE48/AK$4*100000*AK$3</f>
        <v>7457.6776791707061</v>
      </c>
      <c r="AL45" s="322" t="s">
        <v>352</v>
      </c>
      <c r="AM45" s="314">
        <f t="shared" si="3"/>
        <v>45750.442542015124</v>
      </c>
      <c r="AN45" s="314">
        <f>Data!AN48/AN$4*100000*AN$3</f>
        <v>0</v>
      </c>
      <c r="AO45" s="314">
        <f>Data!AO48/AO$4*100000*AO$3</f>
        <v>0</v>
      </c>
      <c r="AP45" s="314">
        <f>Data!AP48/AP$4*100000*AP$3</f>
        <v>0</v>
      </c>
      <c r="AQ45" s="314">
        <f>Data!AQ48/AQ$4*100000*AQ$3</f>
        <v>0</v>
      </c>
      <c r="AR45" s="314">
        <f>Data!AR48/AR$4*100000*AR$3</f>
        <v>0</v>
      </c>
      <c r="AS45" s="314">
        <f>Data!AS48/AS$4*100000*AS$3</f>
        <v>0</v>
      </c>
      <c r="AT45" s="314">
        <f>Data!AT48/AT$4*100000*AT$3</f>
        <v>0</v>
      </c>
      <c r="AU45" s="314">
        <f>Data!AU48/AU$4*100000*AU$3</f>
        <v>0</v>
      </c>
      <c r="AV45" s="314">
        <f>Data!AV48/AV$4*100000*AV$3</f>
        <v>0</v>
      </c>
      <c r="AW45" s="314">
        <f>Data!AW48/AW$4*100000*AW$3</f>
        <v>0</v>
      </c>
      <c r="AX45" s="314">
        <f>Data!AX48/AX$4*100000*AX$3</f>
        <v>0</v>
      </c>
      <c r="AY45" s="314">
        <f>Data!AY48/AY$4*100000*AY$3</f>
        <v>0</v>
      </c>
      <c r="AZ45" s="314">
        <f>Data!AZ48/AZ$4*100000*AZ$3</f>
        <v>5516.1001172171273</v>
      </c>
      <c r="BA45" s="314">
        <f>Data!BA48/BA$4*100000*BA$3</f>
        <v>22359.692926883807</v>
      </c>
      <c r="BB45" s="314">
        <f>Data!BB48/BB$4*100000*BB$3</f>
        <v>3901.2210821987278</v>
      </c>
      <c r="BC45" s="314">
        <f>Data!BC48/BC$4*100000*BC$3</f>
        <v>10244.589576130105</v>
      </c>
      <c r="BD45" s="314">
        <f>Data!BD48/BD$4*100000*BD$3</f>
        <v>0</v>
      </c>
      <c r="BE45" s="314">
        <f>Data!BE48/BE$4*100000*BE$3</f>
        <v>3728.8388395853531</v>
      </c>
    </row>
    <row r="46" spans="1:57" ht="12" customHeight="1">
      <c r="A46" s="30"/>
      <c r="B46" s="123" t="str">
        <f>UPPER(LEFT(TRIM(Data!B50),1)) &amp; MID(TRIM(Data!B50),2,50)</f>
        <v>Kiti nervų sistemos</v>
      </c>
      <c r="C46" s="123" t="str">
        <f>Data!C50</f>
        <v>D42, D43</v>
      </c>
      <c r="D46" s="136">
        <f>Data!E50</f>
        <v>4</v>
      </c>
      <c r="E46" s="137">
        <f t="shared" si="5"/>
        <v>0.29359026395966659</v>
      </c>
      <c r="F46" s="127">
        <f t="shared" si="6"/>
        <v>0.2166565060117768</v>
      </c>
      <c r="G46" s="127">
        <f t="shared" si="7"/>
        <v>0.14032763745140378</v>
      </c>
      <c r="H46" s="56"/>
      <c r="I46" s="56"/>
      <c r="J46" s="56"/>
      <c r="K46" s="56"/>
      <c r="L46" s="56"/>
      <c r="M46" s="56"/>
      <c r="N46" s="56"/>
      <c r="O46" s="56"/>
      <c r="P46" s="56"/>
      <c r="Q46" s="307"/>
      <c r="R46" s="322" t="s">
        <v>352</v>
      </c>
      <c r="S46" s="314">
        <f t="shared" si="2"/>
        <v>21665.65060117768</v>
      </c>
      <c r="T46" s="314">
        <f>Data!AN50/T$4*100000*T$3</f>
        <v>0</v>
      </c>
      <c r="U46" s="314">
        <f>Data!AO50/U$4*100000*U$3</f>
        <v>0</v>
      </c>
      <c r="V46" s="314">
        <f>Data!AP50/V$4*100000*V$3</f>
        <v>0</v>
      </c>
      <c r="W46" s="314">
        <f>Data!AQ50/W$4*100000*W$3</f>
        <v>0</v>
      </c>
      <c r="X46" s="314">
        <f>Data!AR50/X$4*100000*X$3</f>
        <v>0</v>
      </c>
      <c r="Y46" s="314">
        <f>Data!AS50/Y$4*100000*Y$3</f>
        <v>0</v>
      </c>
      <c r="Z46" s="314">
        <f>Data!AT50/Z$4*100000*Z$3</f>
        <v>0</v>
      </c>
      <c r="AA46" s="314">
        <f>Data!AU50/AA$4*100000*AA$3</f>
        <v>0</v>
      </c>
      <c r="AB46" s="314">
        <f>Data!AV50/AB$4*100000*AB$3</f>
        <v>0</v>
      </c>
      <c r="AC46" s="314">
        <f>Data!AW50/AC$4*100000*AC$3</f>
        <v>0</v>
      </c>
      <c r="AD46" s="314">
        <f>Data!AX50/AD$4*100000*AD$3</f>
        <v>0</v>
      </c>
      <c r="AE46" s="314">
        <f>Data!AY50/AE$4*100000*AE$3</f>
        <v>6788.4054035707013</v>
      </c>
      <c r="AF46" s="314">
        <f>Data!AZ50/AF$4*100000*AF$3</f>
        <v>6895.1251465214091</v>
      </c>
      <c r="AG46" s="314">
        <f>Data!BA50/AG$4*100000*AG$3</f>
        <v>0</v>
      </c>
      <c r="AH46" s="314">
        <f>Data!BB50/AH$4*100000*AH$3</f>
        <v>0</v>
      </c>
      <c r="AI46" s="314">
        <f>Data!BC50/AI$4*100000*AI$3</f>
        <v>0</v>
      </c>
      <c r="AJ46" s="314">
        <f>Data!BD50/AJ$4*100000*AJ$3</f>
        <v>7982.1200510855688</v>
      </c>
      <c r="AK46" s="314">
        <f>Data!BE50/AK$4*100000*AK$3</f>
        <v>0</v>
      </c>
      <c r="AL46" s="322" t="s">
        <v>352</v>
      </c>
      <c r="AM46" s="314">
        <f t="shared" si="3"/>
        <v>14032.763745140379</v>
      </c>
      <c r="AN46" s="314">
        <f>Data!AN50/AN$4*100000*AN$3</f>
        <v>0</v>
      </c>
      <c r="AO46" s="314">
        <f>Data!AO50/AO$4*100000*AO$3</f>
        <v>0</v>
      </c>
      <c r="AP46" s="314">
        <f>Data!AP50/AP$4*100000*AP$3</f>
        <v>0</v>
      </c>
      <c r="AQ46" s="314">
        <f>Data!AQ50/AQ$4*100000*AQ$3</f>
        <v>0</v>
      </c>
      <c r="AR46" s="314">
        <f>Data!AR50/AR$4*100000*AR$3</f>
        <v>0</v>
      </c>
      <c r="AS46" s="314">
        <f>Data!AS50/AS$4*100000*AS$3</f>
        <v>0</v>
      </c>
      <c r="AT46" s="314">
        <f>Data!AT50/AT$4*100000*AT$3</f>
        <v>0</v>
      </c>
      <c r="AU46" s="314">
        <f>Data!AU50/AU$4*100000*AU$3</f>
        <v>0</v>
      </c>
      <c r="AV46" s="314">
        <f>Data!AV50/AV$4*100000*AV$3</f>
        <v>0</v>
      </c>
      <c r="AW46" s="314">
        <f>Data!AW50/AW$4*100000*AW$3</f>
        <v>0</v>
      </c>
      <c r="AX46" s="314">
        <f>Data!AX50/AX$4*100000*AX$3</f>
        <v>0</v>
      </c>
      <c r="AY46" s="314">
        <f>Data!AY50/AY$4*100000*AY$3</f>
        <v>4525.6036023804672</v>
      </c>
      <c r="AZ46" s="314">
        <f>Data!AZ50/AZ$4*100000*AZ$3</f>
        <v>5516.1001172171273</v>
      </c>
      <c r="BA46" s="314">
        <f>Data!BA50/BA$4*100000*BA$3</f>
        <v>0</v>
      </c>
      <c r="BB46" s="314">
        <f>Data!BB50/BB$4*100000*BB$3</f>
        <v>0</v>
      </c>
      <c r="BC46" s="314">
        <f>Data!BC50/BC$4*100000*BC$3</f>
        <v>0</v>
      </c>
      <c r="BD46" s="314">
        <f>Data!BD50/BD$4*100000*BD$3</f>
        <v>3991.0600255427844</v>
      </c>
      <c r="BE46" s="314">
        <f>Data!BE50/BE$4*100000*BE$3</f>
        <v>0</v>
      </c>
    </row>
    <row r="47" spans="1:57" ht="12" customHeight="1">
      <c r="A47" s="30"/>
      <c r="B47" s="128" t="str">
        <f>UPPER(LEFT(TRIM(Data!B51),1)) &amp; MID(TRIM(Data!B51),2,50)</f>
        <v>Limfinio ir kraujodaros audinių</v>
      </c>
      <c r="C47" s="128" t="str">
        <f>Data!C51</f>
        <v>D45-D47</v>
      </c>
      <c r="D47" s="129">
        <f>Data!E51</f>
        <v>35</v>
      </c>
      <c r="E47" s="130">
        <f t="shared" si="5"/>
        <v>2.5689148096470826</v>
      </c>
      <c r="F47" s="131">
        <f t="shared" si="6"/>
        <v>2.0107757123616734</v>
      </c>
      <c r="G47" s="131">
        <f t="shared" si="7"/>
        <v>1.2545423956075215</v>
      </c>
      <c r="H47" s="56"/>
      <c r="I47" s="56"/>
      <c r="J47" s="56"/>
      <c r="K47" s="56"/>
      <c r="L47" s="56"/>
      <c r="M47" s="56"/>
      <c r="N47" s="56"/>
      <c r="O47" s="56"/>
      <c r="P47" s="56"/>
      <c r="Q47" s="307"/>
      <c r="R47" s="322" t="s">
        <v>352</v>
      </c>
      <c r="S47" s="314">
        <f t="shared" si="2"/>
        <v>201077.57123616734</v>
      </c>
      <c r="T47" s="314">
        <f>Data!AN51/T$4*100000*T$3</f>
        <v>0</v>
      </c>
      <c r="U47" s="314">
        <f>Data!AO51/U$4*100000*U$3</f>
        <v>0</v>
      </c>
      <c r="V47" s="314">
        <f>Data!AP51/V$4*100000*V$3</f>
        <v>0</v>
      </c>
      <c r="W47" s="314">
        <f>Data!AQ51/W$4*100000*W$3</f>
        <v>0</v>
      </c>
      <c r="X47" s="314">
        <f>Data!AR51/X$4*100000*X$3</f>
        <v>0</v>
      </c>
      <c r="Y47" s="314">
        <f>Data!AS51/Y$4*100000*Y$3</f>
        <v>0</v>
      </c>
      <c r="Z47" s="314">
        <f>Data!AT51/Z$4*100000*Z$3</f>
        <v>0</v>
      </c>
      <c r="AA47" s="314">
        <f>Data!AU51/AA$4*100000*AA$3</f>
        <v>7672.6623042101</v>
      </c>
      <c r="AB47" s="314">
        <f>Data!AV51/AB$4*100000*AB$3</f>
        <v>0</v>
      </c>
      <c r="AC47" s="314">
        <f>Data!AW51/AC$4*100000*AC$3</f>
        <v>0</v>
      </c>
      <c r="AD47" s="314">
        <f>Data!AX51/AD$4*100000*AD$3</f>
        <v>6339.8331718185364</v>
      </c>
      <c r="AE47" s="314">
        <f>Data!AY51/AE$4*100000*AE$3</f>
        <v>6788.4054035707013</v>
      </c>
      <c r="AF47" s="314">
        <f>Data!AZ51/AF$4*100000*AF$3</f>
        <v>20685.375439564232</v>
      </c>
      <c r="AG47" s="314">
        <f>Data!BA51/AG$4*100000*AG$3</f>
        <v>14906.461951255871</v>
      </c>
      <c r="AH47" s="314">
        <f>Data!BB51/AH$4*100000*AH$3</f>
        <v>58518.31623298092</v>
      </c>
      <c r="AI47" s="314">
        <f>Data!BC51/AI$4*100000*AI$3</f>
        <v>35856.063516455375</v>
      </c>
      <c r="AJ47" s="314">
        <f>Data!BD51/AJ$4*100000*AJ$3</f>
        <v>27937.42017879949</v>
      </c>
      <c r="AK47" s="314">
        <f>Data!BE51/AK$4*100000*AK$3</f>
        <v>22373.033037512119</v>
      </c>
      <c r="AL47" s="322" t="s">
        <v>352</v>
      </c>
      <c r="AM47" s="314">
        <f t="shared" si="3"/>
        <v>125454.23956075215</v>
      </c>
      <c r="AN47" s="314">
        <f>Data!AN51/AN$4*100000*AN$3</f>
        <v>0</v>
      </c>
      <c r="AO47" s="314">
        <f>Data!AO51/AO$4*100000*AO$3</f>
        <v>0</v>
      </c>
      <c r="AP47" s="314">
        <f>Data!AP51/AP$4*100000*AP$3</f>
        <v>0</v>
      </c>
      <c r="AQ47" s="314">
        <f>Data!AQ51/AQ$4*100000*AQ$3</f>
        <v>0</v>
      </c>
      <c r="AR47" s="314">
        <f>Data!AR51/AR$4*100000*AR$3</f>
        <v>0</v>
      </c>
      <c r="AS47" s="314">
        <f>Data!AS51/AS$4*100000*AS$3</f>
        <v>0</v>
      </c>
      <c r="AT47" s="314">
        <f>Data!AT51/AT$4*100000*AT$3</f>
        <v>0</v>
      </c>
      <c r="AU47" s="314">
        <f>Data!AU51/AU$4*100000*AU$3</f>
        <v>6576.5676893229429</v>
      </c>
      <c r="AV47" s="314">
        <f>Data!AV51/AV$4*100000*AV$3</f>
        <v>0</v>
      </c>
      <c r="AW47" s="314">
        <f>Data!AW51/AW$4*100000*AW$3</f>
        <v>0</v>
      </c>
      <c r="AX47" s="314">
        <f>Data!AX51/AX$4*100000*AX$3</f>
        <v>4528.4522655846686</v>
      </c>
      <c r="AY47" s="314">
        <f>Data!AY51/AY$4*100000*AY$3</f>
        <v>4525.6036023804672</v>
      </c>
      <c r="AZ47" s="314">
        <f>Data!AZ51/AZ$4*100000*AZ$3</f>
        <v>16548.300351651385</v>
      </c>
      <c r="BA47" s="314">
        <f>Data!BA51/BA$4*100000*BA$3</f>
        <v>11179.846463441903</v>
      </c>
      <c r="BB47" s="314">
        <f>Data!BB51/BB$4*100000*BB$3</f>
        <v>39012.210821987283</v>
      </c>
      <c r="BC47" s="314">
        <f>Data!BC51/BC$4*100000*BC$3</f>
        <v>17928.031758227688</v>
      </c>
      <c r="BD47" s="314">
        <f>Data!BD51/BD$4*100000*BD$3</f>
        <v>13968.710089399745</v>
      </c>
      <c r="BE47" s="314">
        <f>Data!BE51/BE$4*100000*BE$3</f>
        <v>11186.51651875606</v>
      </c>
    </row>
    <row r="48" spans="1:57">
      <c r="A48" s="30"/>
      <c r="B48" s="30"/>
      <c r="C48" s="30"/>
      <c r="D48" s="30"/>
      <c r="E48" s="30"/>
      <c r="F48" s="30"/>
      <c r="G48" s="30"/>
      <c r="H48" s="56"/>
      <c r="I48" s="56"/>
      <c r="J48" s="56"/>
      <c r="K48" s="56"/>
      <c r="L48" s="56"/>
      <c r="M48" s="56"/>
      <c r="N48" s="56"/>
      <c r="O48" s="56"/>
      <c r="P48" s="56"/>
    </row>
    <row r="49" spans="1:45">
      <c r="A49" s="30"/>
      <c r="B49" s="30"/>
      <c r="C49" s="30"/>
      <c r="D49" s="30"/>
      <c r="E49" s="30"/>
      <c r="F49" s="30"/>
      <c r="G49" s="30"/>
      <c r="H49" s="56"/>
      <c r="I49" s="56"/>
      <c r="J49" s="56"/>
      <c r="K49" s="56"/>
      <c r="L49" s="56"/>
      <c r="M49" s="56"/>
      <c r="N49" s="56"/>
      <c r="O49" s="56"/>
      <c r="P49" s="56"/>
      <c r="R49" s="308"/>
      <c r="S49" s="308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  <c r="AH49" s="308"/>
      <c r="AI49" s="308"/>
      <c r="AJ49" s="308"/>
      <c r="AK49" s="308"/>
      <c r="AL49" s="308"/>
      <c r="AM49" s="308"/>
      <c r="AN49" s="308"/>
      <c r="AO49" s="308"/>
      <c r="AP49" s="308"/>
      <c r="AQ49" s="308"/>
      <c r="AR49" s="308"/>
      <c r="AS49" s="308"/>
    </row>
    <row r="50" spans="1:45">
      <c r="R50" s="308" t="s">
        <v>407</v>
      </c>
      <c r="S50" s="314">
        <f>SUM(T50:AK50)</f>
        <v>100000</v>
      </c>
      <c r="T50" s="315">
        <v>8000</v>
      </c>
      <c r="U50" s="315">
        <v>7000</v>
      </c>
      <c r="V50" s="315">
        <v>7000</v>
      </c>
      <c r="W50" s="315">
        <v>7000</v>
      </c>
      <c r="X50" s="315">
        <v>7000</v>
      </c>
      <c r="Y50" s="315">
        <v>7000</v>
      </c>
      <c r="Z50" s="315">
        <v>7000</v>
      </c>
      <c r="AA50" s="315">
        <v>7000</v>
      </c>
      <c r="AB50" s="315">
        <v>7000</v>
      </c>
      <c r="AC50" s="315">
        <v>7000</v>
      </c>
      <c r="AD50" s="315">
        <v>7000</v>
      </c>
      <c r="AE50" s="315">
        <v>6000</v>
      </c>
      <c r="AF50" s="315">
        <v>5000</v>
      </c>
      <c r="AG50" s="315">
        <v>4000</v>
      </c>
      <c r="AH50" s="315">
        <v>3000</v>
      </c>
      <c r="AI50" s="315">
        <v>2000</v>
      </c>
      <c r="AJ50" s="315">
        <v>1000</v>
      </c>
      <c r="AK50" s="315">
        <v>1000</v>
      </c>
      <c r="AL50" s="308"/>
      <c r="AM50" s="308"/>
      <c r="AN50" s="308"/>
      <c r="AO50" s="308"/>
      <c r="AP50" s="308"/>
      <c r="AQ50" s="308"/>
      <c r="AR50" s="308"/>
      <c r="AS50" s="308"/>
    </row>
    <row r="51" spans="1:45">
      <c r="R51" s="308" t="s">
        <v>408</v>
      </c>
      <c r="S51" s="308">
        <v>100000</v>
      </c>
      <c r="T51" s="308">
        <v>12000</v>
      </c>
      <c r="U51" s="308">
        <v>10000</v>
      </c>
      <c r="V51" s="308">
        <v>9000</v>
      </c>
      <c r="W51" s="308">
        <v>9000</v>
      </c>
      <c r="X51" s="308">
        <v>8000</v>
      </c>
      <c r="Y51" s="308">
        <v>8000</v>
      </c>
      <c r="Z51" s="308">
        <v>6000</v>
      </c>
      <c r="AA51" s="308">
        <v>6000</v>
      </c>
      <c r="AB51" s="308">
        <v>6000</v>
      </c>
      <c r="AC51" s="308">
        <v>6000</v>
      </c>
      <c r="AD51" s="308">
        <v>5000</v>
      </c>
      <c r="AE51" s="308">
        <v>4000</v>
      </c>
      <c r="AF51" s="308">
        <v>4000</v>
      </c>
      <c r="AG51" s="308">
        <v>3000</v>
      </c>
      <c r="AH51" s="308">
        <v>2000</v>
      </c>
      <c r="AI51" s="308">
        <v>1000</v>
      </c>
      <c r="AJ51" s="308">
        <v>500</v>
      </c>
      <c r="AK51" s="308">
        <v>500</v>
      </c>
      <c r="AL51" s="308"/>
      <c r="AM51" s="308"/>
      <c r="AN51" s="308"/>
      <c r="AO51" s="308"/>
      <c r="AP51" s="308"/>
      <c r="AQ51" s="308"/>
      <c r="AR51" s="308"/>
      <c r="AS51" s="308"/>
    </row>
    <row r="52" spans="1:45"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08"/>
      <c r="AH52" s="308"/>
      <c r="AI52" s="308"/>
      <c r="AJ52" s="308"/>
      <c r="AK52" s="308"/>
      <c r="AL52" s="308"/>
      <c r="AM52" s="308"/>
      <c r="AN52" s="308"/>
      <c r="AO52" s="308"/>
      <c r="AP52" s="308"/>
      <c r="AQ52" s="308"/>
      <c r="AR52" s="308"/>
      <c r="AS52" s="308"/>
    </row>
    <row r="53" spans="1:45">
      <c r="R53" s="308"/>
      <c r="S53" s="308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8"/>
      <c r="AK53" s="308"/>
      <c r="AL53" s="308"/>
      <c r="AM53" s="308"/>
      <c r="AN53" s="308"/>
      <c r="AO53" s="308"/>
      <c r="AP53" s="308"/>
      <c r="AQ53" s="308"/>
      <c r="AR53" s="308"/>
      <c r="AS53" s="308"/>
    </row>
    <row r="54" spans="1:45">
      <c r="R54" s="308"/>
      <c r="S54" s="308"/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  <c r="AH54" s="308"/>
      <c r="AI54" s="308"/>
      <c r="AJ54" s="308"/>
      <c r="AK54" s="308"/>
      <c r="AL54" s="308"/>
      <c r="AM54" s="308"/>
      <c r="AN54" s="308"/>
      <c r="AO54" s="308"/>
      <c r="AP54" s="308"/>
      <c r="AQ54" s="308"/>
      <c r="AR54" s="308"/>
      <c r="AS54" s="308"/>
    </row>
    <row r="55" spans="1:45">
      <c r="R55" s="308"/>
      <c r="S55" s="308"/>
      <c r="T55" s="308"/>
      <c r="U55" s="308"/>
      <c r="V55" s="308"/>
      <c r="W55" s="308"/>
      <c r="X55" s="308"/>
      <c r="Y55" s="308"/>
      <c r="Z55" s="308"/>
      <c r="AA55" s="308"/>
      <c r="AB55" s="308"/>
      <c r="AC55" s="308"/>
      <c r="AD55" s="308"/>
      <c r="AE55" s="308"/>
      <c r="AF55" s="308"/>
      <c r="AG55" s="308"/>
      <c r="AH55" s="308"/>
      <c r="AI55" s="308"/>
      <c r="AJ55" s="308"/>
      <c r="AK55" s="308"/>
      <c r="AL55" s="308"/>
      <c r="AM55" s="308"/>
      <c r="AN55" s="308"/>
      <c r="AO55" s="308"/>
      <c r="AP55" s="308"/>
      <c r="AQ55" s="308"/>
      <c r="AR55" s="308"/>
      <c r="AS55" s="308"/>
    </row>
  </sheetData>
  <mergeCells count="9">
    <mergeCell ref="B1:D1"/>
    <mergeCell ref="AN2:AP2"/>
    <mergeCell ref="T2:V2"/>
    <mergeCell ref="F4:G4"/>
    <mergeCell ref="C4:C5"/>
    <mergeCell ref="B4:B5"/>
    <mergeCell ref="D4:D5"/>
    <mergeCell ref="E4:E5"/>
    <mergeCell ref="R1:R2"/>
  </mergeCells>
  <pageMargins left="0.59055118110236215" right="0.62992125984251968" top="1.5748031496062993" bottom="1.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</sheetPr>
  <dimension ref="A1:G39"/>
  <sheetViews>
    <sheetView topLeftCell="A16" workbookViewId="0">
      <selection activeCell="D1" sqref="D1"/>
    </sheetView>
  </sheetViews>
  <sheetFormatPr defaultRowHeight="12.75"/>
  <cols>
    <col min="1" max="1" width="27.85546875" bestFit="1" customWidth="1"/>
    <col min="2" max="2" width="5" bestFit="1" customWidth="1"/>
    <col min="3" max="3" width="5.7109375" bestFit="1" customWidth="1"/>
    <col min="5" max="5" width="24" bestFit="1" customWidth="1"/>
  </cols>
  <sheetData>
    <row r="1" spans="1:7">
      <c r="A1" s="401" t="s">
        <v>483</v>
      </c>
      <c r="B1" s="401"/>
      <c r="C1" s="401"/>
      <c r="E1" s="401" t="s">
        <v>486</v>
      </c>
      <c r="F1" s="401"/>
      <c r="G1" s="401"/>
    </row>
    <row r="2" spans="1:7">
      <c r="A2" t="s">
        <v>26</v>
      </c>
      <c r="B2">
        <v>2546</v>
      </c>
      <c r="C2" s="28">
        <f t="shared" ref="C2:C12" si="0">B2/$B$13</f>
        <v>0.32346588743488758</v>
      </c>
      <c r="E2" t="s">
        <v>26</v>
      </c>
      <c r="F2">
        <v>272</v>
      </c>
      <c r="G2" s="28">
        <f t="shared" ref="G2:G12" si="1">F2/$F$13</f>
        <v>0.29988974641675853</v>
      </c>
    </row>
    <row r="3" spans="1:7">
      <c r="A3" t="s">
        <v>225</v>
      </c>
      <c r="B3">
        <f>Data!E35+Data!BR35</f>
        <v>260</v>
      </c>
      <c r="C3" s="28">
        <f t="shared" si="0"/>
        <v>3.3032651505526617E-2</v>
      </c>
      <c r="E3" t="s">
        <v>212</v>
      </c>
      <c r="F3">
        <f>Data!BH11+Data!DU11</f>
        <v>33</v>
      </c>
      <c r="G3" s="28">
        <f t="shared" si="1"/>
        <v>3.6383682469680267E-2</v>
      </c>
    </row>
    <row r="4" spans="1:7">
      <c r="A4" t="s">
        <v>227</v>
      </c>
      <c r="B4">
        <f>Data!E42+Data!BR42</f>
        <v>260</v>
      </c>
      <c r="C4" s="28">
        <f t="shared" si="0"/>
        <v>3.3032651505526617E-2</v>
      </c>
      <c r="E4" t="s">
        <v>236</v>
      </c>
      <c r="F4">
        <f>Data!BH38+Data!DU38</f>
        <v>34</v>
      </c>
      <c r="G4" s="28">
        <f t="shared" si="1"/>
        <v>3.7486218302094816E-2</v>
      </c>
    </row>
    <row r="5" spans="1:7">
      <c r="A5" t="s">
        <v>236</v>
      </c>
      <c r="B5">
        <f>Data!E38+Data!BR38</f>
        <v>384</v>
      </c>
      <c r="C5" s="28">
        <f t="shared" si="0"/>
        <v>4.8786685300470083E-2</v>
      </c>
      <c r="E5" t="s">
        <v>219</v>
      </c>
      <c r="F5">
        <f>Data!BH14+Data!DU14</f>
        <v>42</v>
      </c>
      <c r="G5" s="28">
        <f t="shared" si="1"/>
        <v>4.6306504961411248E-2</v>
      </c>
    </row>
    <row r="6" spans="1:7">
      <c r="A6" t="s">
        <v>212</v>
      </c>
      <c r="B6">
        <f>Data!E11+Data!BR11</f>
        <v>429</v>
      </c>
      <c r="C6" s="28">
        <f t="shared" si="0"/>
        <v>5.4503874984118919E-2</v>
      </c>
      <c r="E6" t="s">
        <v>231</v>
      </c>
      <c r="F6">
        <f>Data!BH27+Data!DU27</f>
        <v>49</v>
      </c>
      <c r="G6" s="28">
        <f t="shared" si="1"/>
        <v>5.4024255788313123E-2</v>
      </c>
    </row>
    <row r="7" spans="1:7">
      <c r="A7" t="s">
        <v>219</v>
      </c>
      <c r="B7">
        <f>Data!E14+Data!BR14</f>
        <v>440</v>
      </c>
      <c r="C7" s="28">
        <f t="shared" si="0"/>
        <v>5.590141024012197E-2</v>
      </c>
      <c r="E7" t="s">
        <v>211</v>
      </c>
      <c r="F7">
        <f>Data!BH7+Data!DU7</f>
        <v>52</v>
      </c>
      <c r="G7" s="28">
        <f t="shared" si="1"/>
        <v>5.7331863285556783E-2</v>
      </c>
    </row>
    <row r="8" spans="1:7">
      <c r="A8" t="s">
        <v>214</v>
      </c>
      <c r="B8">
        <f>Data!E10+Data!BR10</f>
        <v>504</v>
      </c>
      <c r="C8" s="28">
        <f t="shared" si="0"/>
        <v>6.4032524456866982E-2</v>
      </c>
      <c r="E8" t="s">
        <v>232</v>
      </c>
      <c r="F8">
        <f>Data!BH25+Data!DU25</f>
        <v>62</v>
      </c>
      <c r="G8" s="28">
        <f t="shared" si="1"/>
        <v>6.8357221609702312E-2</v>
      </c>
    </row>
    <row r="9" spans="1:7">
      <c r="A9" t="s">
        <v>218</v>
      </c>
      <c r="B9">
        <f>Data!E28+Data!BR28</f>
        <v>529</v>
      </c>
      <c r="C9" s="28">
        <f t="shared" si="0"/>
        <v>6.7208740947783008E-2</v>
      </c>
      <c r="E9" t="s">
        <v>225</v>
      </c>
      <c r="F9">
        <f>Data!BH35+Data!DU35</f>
        <v>67</v>
      </c>
      <c r="G9" s="28">
        <f t="shared" si="1"/>
        <v>7.3869900771775077E-2</v>
      </c>
    </row>
    <row r="10" spans="1:7">
      <c r="A10" t="s">
        <v>234</v>
      </c>
      <c r="B10">
        <f>Data!E23+Data!BR23</f>
        <v>569</v>
      </c>
      <c r="C10" s="28">
        <f t="shared" si="0"/>
        <v>7.2290687333248629E-2</v>
      </c>
      <c r="E10" t="s">
        <v>215</v>
      </c>
      <c r="F10">
        <f>Data!BH9+Data!DU9</f>
        <v>90</v>
      </c>
      <c r="G10" s="28">
        <f t="shared" si="1"/>
        <v>9.9228224917309815E-2</v>
      </c>
    </row>
    <row r="11" spans="1:7">
      <c r="A11" t="s">
        <v>215</v>
      </c>
      <c r="B11">
        <f>Data!E9+Data!BR9</f>
        <v>642</v>
      </c>
      <c r="C11" s="28">
        <f t="shared" si="0"/>
        <v>8.1565239486723409E-2</v>
      </c>
      <c r="E11" t="s">
        <v>234</v>
      </c>
      <c r="F11">
        <f>Data!BH23+Data!DU23</f>
        <v>93</v>
      </c>
      <c r="G11" s="28">
        <f t="shared" si="1"/>
        <v>0.10253583241455347</v>
      </c>
    </row>
    <row r="12" spans="1:7">
      <c r="A12" t="s">
        <v>217</v>
      </c>
      <c r="B12">
        <f>Data!E18+Data!BR18</f>
        <v>1308</v>
      </c>
      <c r="C12" s="28">
        <f t="shared" si="0"/>
        <v>0.16617964680472622</v>
      </c>
      <c r="E12" t="s">
        <v>217</v>
      </c>
      <c r="F12">
        <f>Data!BH18+Data!DU18</f>
        <v>113</v>
      </c>
      <c r="G12" s="28">
        <f t="shared" si="1"/>
        <v>0.12458654906284454</v>
      </c>
    </row>
    <row r="13" spans="1:7">
      <c r="A13" s="26" t="s">
        <v>210</v>
      </c>
      <c r="B13">
        <f>SUM(B2:B12)</f>
        <v>7871</v>
      </c>
      <c r="C13" s="28">
        <f>SUM(C2:C12)</f>
        <v>1</v>
      </c>
      <c r="E13" s="26" t="s">
        <v>210</v>
      </c>
      <c r="F13">
        <f>SUM(F2:F12)</f>
        <v>907</v>
      </c>
      <c r="G13" s="28">
        <f>SUM(G2:G12)</f>
        <v>1</v>
      </c>
    </row>
    <row r="14" spans="1:7">
      <c r="A14" s="401" t="s">
        <v>484</v>
      </c>
      <c r="B14" s="401"/>
      <c r="C14" s="401"/>
      <c r="E14" s="401" t="s">
        <v>487</v>
      </c>
      <c r="F14" s="401"/>
      <c r="G14" s="401"/>
    </row>
    <row r="15" spans="1:7">
      <c r="E15" t="s">
        <v>26</v>
      </c>
      <c r="F15">
        <v>1143</v>
      </c>
      <c r="G15" s="28">
        <f t="shared" ref="G15:G25" si="2">F15/$F$26</f>
        <v>0.30725806451612903</v>
      </c>
    </row>
    <row r="16" spans="1:7">
      <c r="E16" t="s">
        <v>213</v>
      </c>
      <c r="F16">
        <f>Data!BI31+Data!DV31</f>
        <v>122</v>
      </c>
      <c r="G16" s="28">
        <f t="shared" si="2"/>
        <v>3.2795698924731186E-2</v>
      </c>
    </row>
    <row r="17" spans="1:7">
      <c r="E17" t="s">
        <v>211</v>
      </c>
      <c r="F17">
        <f>Data!BI7+Data!DV7</f>
        <v>157</v>
      </c>
      <c r="G17" s="28">
        <f t="shared" si="2"/>
        <v>4.2204301075268819E-2</v>
      </c>
    </row>
    <row r="18" spans="1:7">
      <c r="E18" t="s">
        <v>212</v>
      </c>
      <c r="F18">
        <f>Data!BI11+Data!DV11</f>
        <v>179</v>
      </c>
      <c r="G18" s="28">
        <f t="shared" si="2"/>
        <v>4.8118279569892473E-2</v>
      </c>
    </row>
    <row r="19" spans="1:7">
      <c r="E19" t="s">
        <v>236</v>
      </c>
      <c r="F19">
        <f>Data!BI38+Data!DV38</f>
        <v>179</v>
      </c>
      <c r="G19" s="28">
        <f t="shared" si="2"/>
        <v>4.8118279569892473E-2</v>
      </c>
    </row>
    <row r="20" spans="1:7">
      <c r="E20" t="s">
        <v>218</v>
      </c>
      <c r="F20">
        <f>Data!BI28+Data!DV28</f>
        <v>192</v>
      </c>
      <c r="G20" s="28">
        <f t="shared" si="2"/>
        <v>5.1612903225806452E-2</v>
      </c>
    </row>
    <row r="21" spans="1:7">
      <c r="A21" t="s">
        <v>26</v>
      </c>
      <c r="B21">
        <v>0</v>
      </c>
      <c r="C21" s="28">
        <f>B21/$B$26</f>
        <v>0</v>
      </c>
      <c r="E21" t="s">
        <v>214</v>
      </c>
      <c r="F21">
        <f>Data!BI10+Data!DV10</f>
        <v>200</v>
      </c>
      <c r="G21" s="28">
        <f t="shared" si="2"/>
        <v>5.3763440860215055E-2</v>
      </c>
    </row>
    <row r="22" spans="1:7">
      <c r="A22" t="s">
        <v>224</v>
      </c>
      <c r="B22">
        <f>Data!BF15+Data!DS15</f>
        <v>1</v>
      </c>
      <c r="C22" s="28">
        <f>B22/$B$26</f>
        <v>8.3333333333333329E-2</v>
      </c>
      <c r="E22" t="s">
        <v>219</v>
      </c>
      <c r="F22">
        <f>Data!BI14+Data!DV14</f>
        <v>222</v>
      </c>
      <c r="G22" s="28">
        <f t="shared" si="2"/>
        <v>5.9677419354838709E-2</v>
      </c>
    </row>
    <row r="23" spans="1:7">
      <c r="A23" t="s">
        <v>442</v>
      </c>
      <c r="B23">
        <f>Data!BF12+Data!DS12</f>
        <v>3</v>
      </c>
      <c r="C23" s="28">
        <f>B23/$B$26</f>
        <v>0.25</v>
      </c>
      <c r="E23" t="s">
        <v>234</v>
      </c>
      <c r="F23">
        <f>Data!BI23+Data!DV23</f>
        <v>250</v>
      </c>
      <c r="G23" s="28">
        <f t="shared" si="2"/>
        <v>6.7204301075268813E-2</v>
      </c>
    </row>
    <row r="24" spans="1:7">
      <c r="A24" t="s">
        <v>228</v>
      </c>
      <c r="B24">
        <f>Data!BF20+Data!DS20</f>
        <v>3</v>
      </c>
      <c r="C24" s="28">
        <f>B24/$B$26</f>
        <v>0.25</v>
      </c>
      <c r="E24" t="s">
        <v>215</v>
      </c>
      <c r="F24">
        <f>Data!BI9+Data!DV9</f>
        <v>274</v>
      </c>
      <c r="G24" s="28">
        <f t="shared" si="2"/>
        <v>7.3655913978494622E-2</v>
      </c>
    </row>
    <row r="25" spans="1:7">
      <c r="A25" t="s">
        <v>225</v>
      </c>
      <c r="B25">
        <f>Data!BF35+Data!DS35</f>
        <v>5</v>
      </c>
      <c r="C25" s="28">
        <f>B25/$B$26</f>
        <v>0.41666666666666669</v>
      </c>
      <c r="E25" t="s">
        <v>217</v>
      </c>
      <c r="F25">
        <f>Data!BI18+Data!DV18</f>
        <v>802</v>
      </c>
      <c r="G25" s="28">
        <f t="shared" si="2"/>
        <v>0.21559139784946235</v>
      </c>
    </row>
    <row r="26" spans="1:7">
      <c r="A26" s="26" t="s">
        <v>210</v>
      </c>
      <c r="B26">
        <f>SUM(B21:B25)</f>
        <v>12</v>
      </c>
      <c r="C26" s="28">
        <f>SUM(C21:C25)</f>
        <v>1</v>
      </c>
      <c r="E26" s="26" t="s">
        <v>210</v>
      </c>
      <c r="F26">
        <f>SUM(F15:F25)</f>
        <v>3720</v>
      </c>
      <c r="G26" s="28">
        <f>SUM(G15:G25)</f>
        <v>0.99999999999999989</v>
      </c>
    </row>
    <row r="27" spans="1:7">
      <c r="A27" s="401" t="s">
        <v>485</v>
      </c>
      <c r="B27" s="401"/>
      <c r="C27" s="401"/>
      <c r="E27" s="401" t="s">
        <v>488</v>
      </c>
      <c r="F27" s="401"/>
      <c r="G27" s="401"/>
    </row>
    <row r="28" spans="1:7">
      <c r="A28" t="s">
        <v>26</v>
      </c>
      <c r="B28">
        <v>4</v>
      </c>
      <c r="C28" s="28">
        <f t="shared" ref="C28:C38" si="3">B28/$B$39</f>
        <v>0.11428571428571428</v>
      </c>
      <c r="E28" t="s">
        <v>26</v>
      </c>
      <c r="F28">
        <v>891</v>
      </c>
      <c r="G28" s="28">
        <f t="shared" ref="G28:G38" si="4">F28/$F$39</f>
        <v>0.27869878010634969</v>
      </c>
    </row>
    <row r="29" spans="1:7">
      <c r="A29" t="s">
        <v>212</v>
      </c>
      <c r="B29">
        <f>Data!BG11+Data!DT11</f>
        <v>1</v>
      </c>
      <c r="C29" s="28">
        <f t="shared" si="3"/>
        <v>2.8571428571428571E-2</v>
      </c>
      <c r="E29" t="s">
        <v>227</v>
      </c>
      <c r="F29">
        <f>Data!BJ42+Data!DW42</f>
        <v>120</v>
      </c>
      <c r="G29" s="28">
        <f t="shared" si="4"/>
        <v>3.753518923991242E-2</v>
      </c>
    </row>
    <row r="30" spans="1:7">
      <c r="A30" t="s">
        <v>234</v>
      </c>
      <c r="B30">
        <f>Data!BG23+Data!DT23</f>
        <v>1</v>
      </c>
      <c r="C30" s="28">
        <f t="shared" si="3"/>
        <v>2.8571428571428571E-2</v>
      </c>
      <c r="E30" t="s">
        <v>220</v>
      </c>
      <c r="F30">
        <f>Data!BJ32+Data!DW32</f>
        <v>126</v>
      </c>
      <c r="G30" s="28">
        <f t="shared" si="4"/>
        <v>3.9411948701908041E-2</v>
      </c>
    </row>
    <row r="31" spans="1:7">
      <c r="A31" t="s">
        <v>217</v>
      </c>
      <c r="B31">
        <f>Data!BG18+Data!DT18</f>
        <v>2</v>
      </c>
      <c r="C31" s="28">
        <f t="shared" si="3"/>
        <v>5.7142857142857141E-2</v>
      </c>
      <c r="E31" t="s">
        <v>236</v>
      </c>
      <c r="F31">
        <f>Data!BJ38+Data!DW38</f>
        <v>169</v>
      </c>
      <c r="G31" s="28">
        <f t="shared" si="4"/>
        <v>5.2862058179543321E-2</v>
      </c>
    </row>
    <row r="32" spans="1:7">
      <c r="A32" t="s">
        <v>229</v>
      </c>
      <c r="B32">
        <f>Data!BG21+Data!DT21</f>
        <v>2</v>
      </c>
      <c r="C32" s="28">
        <f t="shared" si="3"/>
        <v>5.7142857142857141E-2</v>
      </c>
      <c r="E32" t="s">
        <v>219</v>
      </c>
      <c r="F32">
        <f>Data!BJ14+Data!DW14</f>
        <v>176</v>
      </c>
      <c r="G32" s="28">
        <f t="shared" si="4"/>
        <v>5.5051610885204882E-2</v>
      </c>
    </row>
    <row r="33" spans="1:7">
      <c r="A33" t="s">
        <v>232</v>
      </c>
      <c r="B33">
        <f>Data!BG25+Data!DT25</f>
        <v>2</v>
      </c>
      <c r="C33" s="28">
        <f t="shared" si="3"/>
        <v>5.7142857142857141E-2</v>
      </c>
      <c r="E33" t="s">
        <v>212</v>
      </c>
      <c r="F33">
        <f>Data!BJ11+Data!DW11</f>
        <v>216</v>
      </c>
      <c r="G33" s="28">
        <f t="shared" si="4"/>
        <v>6.7563340631842356E-2</v>
      </c>
    </row>
    <row r="34" spans="1:7">
      <c r="A34" t="s">
        <v>236</v>
      </c>
      <c r="B34">
        <f>Data!BG38+Data!DT38</f>
        <v>2</v>
      </c>
      <c r="C34" s="28">
        <f t="shared" si="3"/>
        <v>5.7142857142857141E-2</v>
      </c>
      <c r="E34" t="s">
        <v>234</v>
      </c>
      <c r="F34">
        <f>Data!BJ23+Data!DW23</f>
        <v>225</v>
      </c>
      <c r="G34" s="28">
        <f t="shared" si="4"/>
        <v>7.0378479824835777E-2</v>
      </c>
    </row>
    <row r="35" spans="1:7">
      <c r="A35" t="s">
        <v>215</v>
      </c>
      <c r="B35">
        <f>Data!BG9+Data!DT9</f>
        <v>3</v>
      </c>
      <c r="C35" s="28">
        <f t="shared" si="3"/>
        <v>8.5714285714285715E-2</v>
      </c>
      <c r="E35" t="s">
        <v>215</v>
      </c>
      <c r="F35">
        <f>Data!BJ9+Data!DW9</f>
        <v>275</v>
      </c>
      <c r="G35" s="28">
        <f t="shared" si="4"/>
        <v>8.6018142008132625E-2</v>
      </c>
    </row>
    <row r="36" spans="1:7">
      <c r="A36" t="s">
        <v>227</v>
      </c>
      <c r="B36">
        <f>Data!BG42+Data!DT42</f>
        <v>5</v>
      </c>
      <c r="C36" s="28">
        <f t="shared" si="3"/>
        <v>0.14285714285714285</v>
      </c>
      <c r="E36" t="s">
        <v>214</v>
      </c>
      <c r="F36">
        <f>Data!BJ10+Data!DW10</f>
        <v>279</v>
      </c>
      <c r="G36" s="28">
        <f t="shared" si="4"/>
        <v>8.7269314982796373E-2</v>
      </c>
    </row>
    <row r="37" spans="1:7">
      <c r="A37" t="s">
        <v>228</v>
      </c>
      <c r="B37">
        <f>Data!BG20+Data!DT20</f>
        <v>6</v>
      </c>
      <c r="C37" s="28">
        <f t="shared" si="3"/>
        <v>0.17142857142857143</v>
      </c>
      <c r="E37" t="s">
        <v>218</v>
      </c>
      <c r="F37">
        <f>Data!BJ28+Data!DW28</f>
        <v>329</v>
      </c>
      <c r="G37" s="28">
        <f t="shared" si="4"/>
        <v>0.10290897716609321</v>
      </c>
    </row>
    <row r="38" spans="1:7">
      <c r="A38" t="s">
        <v>225</v>
      </c>
      <c r="B38">
        <f>Data!BG35+Data!DT35</f>
        <v>7</v>
      </c>
      <c r="C38" s="28">
        <f t="shared" si="3"/>
        <v>0.2</v>
      </c>
      <c r="E38" t="s">
        <v>217</v>
      </c>
      <c r="F38">
        <f>Data!BJ18+Data!DW18</f>
        <v>391</v>
      </c>
      <c r="G38" s="28">
        <f t="shared" si="4"/>
        <v>0.1223021582733813</v>
      </c>
    </row>
    <row r="39" spans="1:7">
      <c r="A39" s="26" t="s">
        <v>210</v>
      </c>
      <c r="B39">
        <f>SUM(B28:B38)</f>
        <v>35</v>
      </c>
      <c r="C39" s="28">
        <f>SUM(C28:C38)</f>
        <v>1</v>
      </c>
      <c r="E39" s="26" t="s">
        <v>210</v>
      </c>
      <c r="F39">
        <f>SUM(F28:F38)</f>
        <v>3197</v>
      </c>
      <c r="G39" s="28">
        <f>SUM(G28:G38)</f>
        <v>1</v>
      </c>
    </row>
  </sheetData>
  <sortState ref="E79:F88">
    <sortCondition ref="F2"/>
  </sortState>
  <mergeCells count="6">
    <mergeCell ref="A14:C14"/>
    <mergeCell ref="A27:C27"/>
    <mergeCell ref="E1:G1"/>
    <mergeCell ref="E14:G14"/>
    <mergeCell ref="E27:G27"/>
    <mergeCell ref="A1:C1"/>
  </mergeCells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9" tint="0.39997558519241921"/>
  </sheetPr>
  <dimension ref="A1:BE55"/>
  <sheetViews>
    <sheetView workbookViewId="0">
      <selection activeCell="B4" sqref="B4:B5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style="60" customWidth="1"/>
    <col min="9" max="14" width="0.85546875" style="71" customWidth="1"/>
    <col min="15" max="15" width="3.28515625" style="71" customWidth="1"/>
    <col min="16" max="16" width="3.28515625" style="60" customWidth="1"/>
    <col min="17" max="17" width="9.42578125" style="60" customWidth="1"/>
    <col min="18" max="18" width="38.42578125" bestFit="1" customWidth="1"/>
    <col min="19" max="19" width="9" bestFit="1" customWidth="1"/>
    <col min="20" max="24" width="7" bestFit="1" customWidth="1"/>
    <col min="25" max="25" width="7.5703125" bestFit="1" customWidth="1"/>
    <col min="26" max="31" width="8" bestFit="1" customWidth="1"/>
    <col min="32" max="34" width="9" bestFit="1" customWidth="1"/>
    <col min="35" max="37" width="8" bestFit="1" customWidth="1"/>
    <col min="38" max="38" width="38.42578125" bestFit="1" customWidth="1"/>
  </cols>
  <sheetData>
    <row r="1" spans="1:57" ht="15">
      <c r="A1" s="64"/>
      <c r="B1" s="483" t="s">
        <v>401</v>
      </c>
      <c r="C1" s="483"/>
      <c r="D1" s="491"/>
      <c r="E1" s="484"/>
      <c r="F1" s="64"/>
      <c r="G1" s="64"/>
      <c r="H1" s="68"/>
      <c r="I1" s="68"/>
      <c r="J1" s="68"/>
      <c r="K1" s="68"/>
      <c r="L1" s="68"/>
      <c r="M1" s="68"/>
      <c r="N1" s="68"/>
      <c r="O1" s="68"/>
      <c r="P1" s="68"/>
      <c r="Q1" s="307"/>
      <c r="R1" s="446" t="s">
        <v>355</v>
      </c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  <c r="AN1" s="308"/>
      <c r="AO1" s="308"/>
      <c r="AP1" s="308"/>
      <c r="AQ1" s="308"/>
      <c r="AR1" s="308"/>
      <c r="AS1" s="308"/>
      <c r="AT1" s="30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</row>
    <row r="2" spans="1:57" ht="12.6" customHeight="1">
      <c r="A2" s="64"/>
      <c r="B2" s="485" t="str">
        <f>"Mirtingumas nuo piktybinių navikų Lietuvoje  " &amp; GrafikaiSerg!A1 &amp; " metais. Moterys."</f>
        <v>Mirtingumas nuo piktybinių navikų Lietuvoje  2013 metais. Moterys.</v>
      </c>
      <c r="C2" s="485"/>
      <c r="D2" s="485"/>
      <c r="E2" s="487"/>
      <c r="F2" s="64"/>
      <c r="G2" s="64"/>
      <c r="H2" s="68"/>
      <c r="I2" s="68"/>
      <c r="J2" s="68"/>
      <c r="K2" s="68"/>
      <c r="L2" s="68"/>
      <c r="M2" s="68"/>
      <c r="N2" s="68"/>
      <c r="O2" s="68"/>
      <c r="P2" s="68"/>
      <c r="Q2" s="307"/>
      <c r="R2" s="446"/>
      <c r="S2" s="309" t="s">
        <v>353</v>
      </c>
      <c r="T2" s="447" t="s">
        <v>357</v>
      </c>
      <c r="U2" s="447"/>
      <c r="V2" s="447"/>
      <c r="W2" s="310">
        <f>GrafikaiSerg!A1</f>
        <v>2013</v>
      </c>
      <c r="X2" s="308" t="s">
        <v>356</v>
      </c>
      <c r="Y2" s="308" t="str">
        <f>CONCATENATE("pop",RIGHT(W2,2),"m")</f>
        <v>pop13m</v>
      </c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11" t="s">
        <v>355</v>
      </c>
      <c r="AM2" s="309" t="s">
        <v>353</v>
      </c>
      <c r="AN2" s="447" t="s">
        <v>357</v>
      </c>
      <c r="AO2" s="447"/>
      <c r="AP2" s="447"/>
      <c r="AQ2" s="310" t="e">
        <f>#REF!</f>
        <v>#REF!</v>
      </c>
      <c r="AR2" s="308" t="s">
        <v>356</v>
      </c>
      <c r="AS2" s="308" t="e">
        <f>CONCATENATE("pop",RIGHT(AQ2,2),"m")</f>
        <v>#REF!</v>
      </c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</row>
    <row r="3" spans="1:57" ht="12.6" customHeight="1">
      <c r="A3" s="64"/>
      <c r="B3" s="66" t="s">
        <v>649</v>
      </c>
      <c r="C3" s="64"/>
      <c r="D3" s="64"/>
      <c r="E3" s="64"/>
      <c r="F3" s="65"/>
      <c r="G3" s="64"/>
      <c r="H3" s="68"/>
      <c r="I3" s="68"/>
      <c r="J3" s="68"/>
      <c r="K3" s="68"/>
      <c r="L3" s="68"/>
      <c r="M3" s="68"/>
      <c r="N3" s="68"/>
      <c r="O3" s="68"/>
      <c r="P3" s="68"/>
      <c r="Q3" s="312"/>
      <c r="R3" s="313" t="s">
        <v>407</v>
      </c>
      <c r="S3" s="314">
        <f>SUM(T3:AK3)</f>
        <v>100000</v>
      </c>
      <c r="T3" s="315">
        <v>8000</v>
      </c>
      <c r="U3" s="315">
        <v>7000</v>
      </c>
      <c r="V3" s="315">
        <v>7000</v>
      </c>
      <c r="W3" s="315">
        <v>7000</v>
      </c>
      <c r="X3" s="315">
        <v>7000</v>
      </c>
      <c r="Y3" s="315">
        <v>7000</v>
      </c>
      <c r="Z3" s="315">
        <v>7000</v>
      </c>
      <c r="AA3" s="315">
        <v>7000</v>
      </c>
      <c r="AB3" s="315">
        <v>7000</v>
      </c>
      <c r="AC3" s="315">
        <v>7000</v>
      </c>
      <c r="AD3" s="315">
        <v>7000</v>
      </c>
      <c r="AE3" s="315">
        <v>6000</v>
      </c>
      <c r="AF3" s="315">
        <v>5000</v>
      </c>
      <c r="AG3" s="315">
        <v>4000</v>
      </c>
      <c r="AH3" s="315">
        <v>3000</v>
      </c>
      <c r="AI3" s="315">
        <v>2000</v>
      </c>
      <c r="AJ3" s="315">
        <v>1000</v>
      </c>
      <c r="AK3" s="315">
        <v>1000</v>
      </c>
      <c r="AL3" s="313" t="str">
        <f>IF(AK3 = "easr", "Standartinė populiacija Europos", "Standartinė populiacija Pasaulio")</f>
        <v>Standartinė populiacija Pasaulio</v>
      </c>
      <c r="AM3" s="314">
        <f>SUM(AN3:BE3)</f>
        <v>100000</v>
      </c>
      <c r="AN3" s="308">
        <v>12000</v>
      </c>
      <c r="AO3" s="308">
        <v>10000</v>
      </c>
      <c r="AP3" s="308">
        <v>9000</v>
      </c>
      <c r="AQ3" s="308">
        <v>9000</v>
      </c>
      <c r="AR3" s="308">
        <v>8000</v>
      </c>
      <c r="AS3" s="308">
        <v>8000</v>
      </c>
      <c r="AT3" s="308">
        <v>6000</v>
      </c>
      <c r="AU3" s="308">
        <v>6000</v>
      </c>
      <c r="AV3" s="308">
        <v>6000</v>
      </c>
      <c r="AW3" s="308">
        <v>6000</v>
      </c>
      <c r="AX3" s="308">
        <v>5000</v>
      </c>
      <c r="AY3" s="308">
        <v>4000</v>
      </c>
      <c r="AZ3" s="308">
        <v>4000</v>
      </c>
      <c r="BA3" s="308">
        <v>3000</v>
      </c>
      <c r="BB3" s="308">
        <v>2000</v>
      </c>
      <c r="BC3" s="308">
        <v>1000</v>
      </c>
      <c r="BD3" s="308">
        <v>500</v>
      </c>
      <c r="BE3" s="308">
        <v>500</v>
      </c>
    </row>
    <row r="4" spans="1:57" ht="12.95" customHeight="1">
      <c r="A4" s="64"/>
      <c r="B4" s="424" t="s">
        <v>350</v>
      </c>
      <c r="C4" s="424" t="s">
        <v>243</v>
      </c>
      <c r="D4" s="454" t="s">
        <v>267</v>
      </c>
      <c r="E4" s="456" t="s">
        <v>354</v>
      </c>
      <c r="F4" s="429" t="s">
        <v>358</v>
      </c>
      <c r="G4" s="428"/>
      <c r="H4" s="68"/>
      <c r="I4" s="68"/>
      <c r="J4" s="68"/>
      <c r="K4" s="68"/>
      <c r="L4" s="68"/>
      <c r="M4" s="68"/>
      <c r="N4" s="68"/>
      <c r="O4" s="68"/>
      <c r="P4" s="68"/>
      <c r="Q4" s="316"/>
      <c r="R4" s="308" t="s">
        <v>452</v>
      </c>
      <c r="S4" s="314">
        <f>SUM(T4:AK4)</f>
        <v>1595246</v>
      </c>
      <c r="T4" s="317">
        <f>HLOOKUP($Y$2,Populiacija!$B$1:$BB$40,23,FALSE)</f>
        <v>73612</v>
      </c>
      <c r="U4" s="317">
        <f>HLOOKUP($Y$2,Populiacija!$B$1:$BB$40,24,FALSE)</f>
        <v>65974</v>
      </c>
      <c r="V4" s="317">
        <f>HLOOKUP($Y$2,Populiacija!$B$1:$BB$40,25,FALSE)</f>
        <v>71497</v>
      </c>
      <c r="W4" s="317">
        <f>HLOOKUP($Y$2,Populiacija!$B$1:$BB$40,26,FALSE)</f>
        <v>88846</v>
      </c>
      <c r="X4" s="317">
        <f>HLOOKUP($Y$2,Populiacija!$B$1:$BB$40,27,FALSE)</f>
        <v>103926</v>
      </c>
      <c r="Y4" s="317">
        <f>HLOOKUP($Y$2,Populiacija!$B$1:$BB$40,28,FALSE)</f>
        <v>95057</v>
      </c>
      <c r="Z4" s="317">
        <f>HLOOKUP($Y$2,Populiacija!$B$1:$BB$40,29,FALSE)</f>
        <v>87387</v>
      </c>
      <c r="AA4" s="317">
        <f>HLOOKUP($Y$2,Populiacija!$B$1:$BB$40,30,FALSE)</f>
        <v>95336</v>
      </c>
      <c r="AB4" s="317">
        <f>HLOOKUP($Y$2,Populiacija!$B$1:$BB$40,31,FALSE)</f>
        <v>108432</v>
      </c>
      <c r="AC4" s="317">
        <f>HLOOKUP($Y$2,Populiacija!$B$1:$BB$40,32,FALSE)</f>
        <v>112259</v>
      </c>
      <c r="AD4" s="317">
        <f>HLOOKUP($Y$2,Populiacija!$B$1:$BB$40,33,FALSE)</f>
        <v>126113</v>
      </c>
      <c r="AE4" s="317">
        <f>HLOOKUP($Y$2,Populiacija!$B$1:$BB$40,34,FALSE)</f>
        <v>107867</v>
      </c>
      <c r="AF4" s="317">
        <f>HLOOKUP($Y$2,Populiacija!$B$1:$BB$40,35,FALSE)</f>
        <v>98916</v>
      </c>
      <c r="AG4" s="317">
        <f>HLOOKUP($Y$2,Populiacija!$B$1:$BB$40,36,FALSE)</f>
        <v>83247</v>
      </c>
      <c r="AH4" s="317">
        <f>HLOOKUP($Y$2,Populiacija!$B$1:$BB$40,37,FALSE)</f>
        <v>90066</v>
      </c>
      <c r="AI4" s="317">
        <f>HLOOKUP($Y$2,Populiacija!$B$1:$BB$40,38,FALSE)</f>
        <v>80494</v>
      </c>
      <c r="AJ4" s="317">
        <f>HLOOKUP($Y$2,Populiacija!$B$1:$BB$40,39,FALSE)</f>
        <v>60795</v>
      </c>
      <c r="AK4" s="317">
        <f>HLOOKUP($Y$2,Populiacija!$B$1:$BB$40,40,FALSE)</f>
        <v>45422</v>
      </c>
      <c r="AL4" s="308" t="s">
        <v>452</v>
      </c>
      <c r="AM4" s="314">
        <f>SUM(AN4:BE4)</f>
        <v>1595246</v>
      </c>
      <c r="AN4" s="317">
        <f>HLOOKUP($Y$2,Populiacija!$B$1:$BB$40,23,FALSE)</f>
        <v>73612</v>
      </c>
      <c r="AO4" s="317">
        <f>HLOOKUP($Y$2,Populiacija!$B$1:$BB$40,24,FALSE)</f>
        <v>65974</v>
      </c>
      <c r="AP4" s="317">
        <f>HLOOKUP($Y$2,Populiacija!$B$1:$BB$40,25,FALSE)</f>
        <v>71497</v>
      </c>
      <c r="AQ4" s="317">
        <f>HLOOKUP($Y$2,Populiacija!$B$1:$BB$40,26,FALSE)</f>
        <v>88846</v>
      </c>
      <c r="AR4" s="317">
        <f>HLOOKUP($Y$2,Populiacija!$B$1:$BB$40,27,FALSE)</f>
        <v>103926</v>
      </c>
      <c r="AS4" s="317">
        <f>HLOOKUP($Y$2,Populiacija!$B$1:$BB$40,28,FALSE)</f>
        <v>95057</v>
      </c>
      <c r="AT4" s="317">
        <f>HLOOKUP($Y$2,Populiacija!$B$1:$BB$40,29,FALSE)</f>
        <v>87387</v>
      </c>
      <c r="AU4" s="317">
        <f>HLOOKUP($Y$2,Populiacija!$B$1:$BB$40,30,FALSE)</f>
        <v>95336</v>
      </c>
      <c r="AV4" s="317">
        <f>HLOOKUP($Y$2,Populiacija!$B$1:$BB$40,31,FALSE)</f>
        <v>108432</v>
      </c>
      <c r="AW4" s="317">
        <f>HLOOKUP($Y$2,Populiacija!$B$1:$BB$40,32,FALSE)</f>
        <v>112259</v>
      </c>
      <c r="AX4" s="317">
        <f>HLOOKUP($Y$2,Populiacija!$B$1:$BB$40,33,FALSE)</f>
        <v>126113</v>
      </c>
      <c r="AY4" s="317">
        <f>HLOOKUP($Y$2,Populiacija!$B$1:$BB$40,34,FALSE)</f>
        <v>107867</v>
      </c>
      <c r="AZ4" s="317">
        <f>HLOOKUP($Y$2,Populiacija!$B$1:$BB$40,35,FALSE)</f>
        <v>98916</v>
      </c>
      <c r="BA4" s="317">
        <f>HLOOKUP($Y$2,Populiacija!$B$1:$BB$40,36,FALSE)</f>
        <v>83247</v>
      </c>
      <c r="BB4" s="317">
        <f>HLOOKUP($Y$2,Populiacija!$B$1:$BB$40,37,FALSE)</f>
        <v>90066</v>
      </c>
      <c r="BC4" s="317">
        <f>HLOOKUP($Y$2,Populiacija!$B$1:$BB$40,38,FALSE)</f>
        <v>80494</v>
      </c>
      <c r="BD4" s="317">
        <f>HLOOKUP($Y$2,Populiacija!$B$1:$BB$40,39,FALSE)</f>
        <v>60795</v>
      </c>
      <c r="BE4" s="317">
        <f>HLOOKUP($Y$2,Populiacija!$B$1:$BB$40,40,FALSE)</f>
        <v>45422</v>
      </c>
    </row>
    <row r="5" spans="1:57" ht="12.95" customHeight="1" thickBot="1">
      <c r="A5" s="64"/>
      <c r="B5" s="425"/>
      <c r="C5" s="425"/>
      <c r="D5" s="455"/>
      <c r="E5" s="457"/>
      <c r="F5" s="138" t="s">
        <v>426</v>
      </c>
      <c r="G5" s="138" t="s">
        <v>427</v>
      </c>
      <c r="H5" s="70"/>
      <c r="I5" s="70"/>
      <c r="J5" s="70"/>
      <c r="K5" s="70"/>
      <c r="L5" s="70"/>
      <c r="M5" s="70"/>
      <c r="N5" s="70"/>
      <c r="O5" s="70"/>
      <c r="P5" s="69"/>
      <c r="Q5" s="318"/>
      <c r="R5" s="308" t="s">
        <v>351</v>
      </c>
      <c r="S5" s="309"/>
      <c r="T5" s="319" t="s">
        <v>13</v>
      </c>
      <c r="U5" s="320" t="s">
        <v>11</v>
      </c>
      <c r="V5" s="320" t="s">
        <v>12</v>
      </c>
      <c r="W5" s="319" t="s">
        <v>14</v>
      </c>
      <c r="X5" s="319" t="s">
        <v>15</v>
      </c>
      <c r="Y5" s="319" t="s">
        <v>16</v>
      </c>
      <c r="Z5" s="319" t="s">
        <v>158</v>
      </c>
      <c r="AA5" s="319" t="s">
        <v>17</v>
      </c>
      <c r="AB5" s="319" t="s">
        <v>18</v>
      </c>
      <c r="AC5" s="319" t="s">
        <v>19</v>
      </c>
      <c r="AD5" s="319" t="s">
        <v>20</v>
      </c>
      <c r="AE5" s="319" t="s">
        <v>21</v>
      </c>
      <c r="AF5" s="319" t="s">
        <v>159</v>
      </c>
      <c r="AG5" s="319" t="s">
        <v>160</v>
      </c>
      <c r="AH5" s="319" t="s">
        <v>161</v>
      </c>
      <c r="AI5" s="319" t="s">
        <v>162</v>
      </c>
      <c r="AJ5" s="319" t="s">
        <v>22</v>
      </c>
      <c r="AK5" s="319" t="s">
        <v>23</v>
      </c>
      <c r="AL5" s="308" t="s">
        <v>351</v>
      </c>
      <c r="AM5" s="309"/>
      <c r="AN5" s="319" t="s">
        <v>13</v>
      </c>
      <c r="AO5" s="320" t="s">
        <v>11</v>
      </c>
      <c r="AP5" s="320" t="s">
        <v>12</v>
      </c>
      <c r="AQ5" s="319" t="s">
        <v>14</v>
      </c>
      <c r="AR5" s="319" t="s">
        <v>15</v>
      </c>
      <c r="AS5" s="319" t="s">
        <v>16</v>
      </c>
      <c r="AT5" s="319" t="s">
        <v>158</v>
      </c>
      <c r="AU5" s="319" t="s">
        <v>17</v>
      </c>
      <c r="AV5" s="319" t="s">
        <v>18</v>
      </c>
      <c r="AW5" s="319" t="s">
        <v>19</v>
      </c>
      <c r="AX5" s="319" t="s">
        <v>20</v>
      </c>
      <c r="AY5" s="319" t="s">
        <v>21</v>
      </c>
      <c r="AZ5" s="319" t="s">
        <v>159</v>
      </c>
      <c r="BA5" s="319" t="s">
        <v>160</v>
      </c>
      <c r="BB5" s="319" t="s">
        <v>161</v>
      </c>
      <c r="BC5" s="319" t="s">
        <v>162</v>
      </c>
      <c r="BD5" s="319" t="s">
        <v>22</v>
      </c>
      <c r="BE5" s="319" t="s">
        <v>23</v>
      </c>
    </row>
    <row r="6" spans="1:57" ht="12" customHeight="1" thickTop="1">
      <c r="A6" s="64"/>
      <c r="B6" s="123" t="str">
        <f>UPPER(LEFT(TRIM(Data!B5),1)) &amp; MID(TRIM(Data!B5),2,50)</f>
        <v>Piktybiniai navikai</v>
      </c>
      <c r="C6" s="123" t="str">
        <f>UPPER(LEFT(TRIM(Data!C5),1)) &amp; MID(TRIM(Data!C5),2,50)</f>
        <v>C00-C96</v>
      </c>
      <c r="D6" s="136">
        <f>Data!BR5</f>
        <v>3541</v>
      </c>
      <c r="E6" s="137">
        <f t="shared" ref="E6:E7" si="0">D6/$S$4*100000</f>
        <v>221.97203440723251</v>
      </c>
      <c r="F6" s="127">
        <f t="shared" ref="F6:F7" si="1">S6/$S$3</f>
        <v>127.16484635741658</v>
      </c>
      <c r="G6" s="127">
        <f t="shared" ref="G6:G7" si="2">AM6/$AM$3</f>
        <v>87.101100019763237</v>
      </c>
      <c r="H6" s="70"/>
      <c r="I6" s="70"/>
      <c r="J6" s="70"/>
      <c r="K6" s="70"/>
      <c r="L6" s="70"/>
      <c r="M6" s="70"/>
      <c r="N6" s="70"/>
      <c r="O6" s="70"/>
      <c r="P6" s="69"/>
      <c r="Q6" s="321"/>
      <c r="R6" s="322" t="s">
        <v>352</v>
      </c>
      <c r="S6" s="314">
        <f t="shared" ref="S6:S51" si="3">SUM(T6:AK6)</f>
        <v>12716484.635741659</v>
      </c>
      <c r="T6" s="314">
        <f>Data!DA5/T$4*100000*T$3</f>
        <v>10867.793294571538</v>
      </c>
      <c r="U6" s="314">
        <f>Data!DB5/U$4*100000*U$3</f>
        <v>31830.721193197318</v>
      </c>
      <c r="V6" s="314">
        <f>Data!DC5/V$4*100000*V$3</f>
        <v>29371.861756437331</v>
      </c>
      <c r="W6" s="314">
        <f>Data!DD5/W$4*100000*W$3</f>
        <v>23636.404565202709</v>
      </c>
      <c r="X6" s="314">
        <f>Data!DE5/X$4*100000*X$3</f>
        <v>40413.371052479648</v>
      </c>
      <c r="Y6" s="314">
        <f>Data!DF5/Y$4*100000*Y$3</f>
        <v>66276.023859368594</v>
      </c>
      <c r="Z6" s="314">
        <f>Data!DG5/Z$4*100000*Z$3</f>
        <v>160206.89576252759</v>
      </c>
      <c r="AA6" s="314">
        <f>Data!DH5/AA$4*100000*AA$3</f>
        <v>220273.55878157256</v>
      </c>
      <c r="AB6" s="314">
        <f>Data!DI5/AB$4*100000*AB$3</f>
        <v>406706.50730411691</v>
      </c>
      <c r="AC6" s="314">
        <f>Data!DJ5/AC$4*100000*AC$3</f>
        <v>748269.62648874486</v>
      </c>
      <c r="AD6" s="314">
        <f>Data!DK5/AD$4*100000*AD$3</f>
        <v>1071261.4877134</v>
      </c>
      <c r="AE6" s="314">
        <f>Data!DL5/AE$4*100000*AE$3</f>
        <v>1412851.0109672097</v>
      </c>
      <c r="AF6" s="314">
        <f>Data!DM5/AF$4*100000*AF$3</f>
        <v>1678191.5969105097</v>
      </c>
      <c r="AG6" s="314">
        <f>Data!DN5/AG$4*100000*AG$3</f>
        <v>1604862.6376926498</v>
      </c>
      <c r="AH6" s="314">
        <f>Data!DO5/AH$4*100000*AH$3</f>
        <v>1698754.246885617</v>
      </c>
      <c r="AI6" s="314">
        <f>Data!DP5/AI$4*100000*AI$3</f>
        <v>1490794.3449201183</v>
      </c>
      <c r="AJ6" s="314">
        <f>Data!DQ5/AJ$4*100000*AJ$3</f>
        <v>921128.38226827874</v>
      </c>
      <c r="AK6" s="314">
        <f>Data!DR5/AK$4*100000*AK$3</f>
        <v>1100788.1643256571</v>
      </c>
      <c r="AL6" s="322" t="s">
        <v>352</v>
      </c>
      <c r="AM6" s="314">
        <f t="shared" ref="AM6:AM51" si="4">SUM(AN6:BE6)</f>
        <v>8710110.0019763242</v>
      </c>
      <c r="AN6" s="314">
        <f>Data!DA5/AN$4*100000*AN$3</f>
        <v>16301.689941857307</v>
      </c>
      <c r="AO6" s="314">
        <f>Data!DB5/AO$4*100000*AO$3</f>
        <v>45472.458847424743</v>
      </c>
      <c r="AP6" s="314">
        <f>Data!DC5/AP$4*100000*AP$3</f>
        <v>37763.822258276567</v>
      </c>
      <c r="AQ6" s="314">
        <f>Data!DD5/AQ$4*100000*AQ$3</f>
        <v>30389.663012403482</v>
      </c>
      <c r="AR6" s="314">
        <f>Data!DE5/AR$4*100000*AR$3</f>
        <v>46186.709774262454</v>
      </c>
      <c r="AS6" s="314">
        <f>Data!DF5/AS$4*100000*AS$3</f>
        <v>75744.027267849815</v>
      </c>
      <c r="AT6" s="314">
        <f>Data!DG5/AT$4*100000*AT$3</f>
        <v>137320.1963678808</v>
      </c>
      <c r="AU6" s="314">
        <f>Data!DH5/AU$4*100000*AU$3</f>
        <v>188805.9075270622</v>
      </c>
      <c r="AV6" s="314">
        <f>Data!DI5/AV$4*100000*AV$3</f>
        <v>348605.57768924307</v>
      </c>
      <c r="AW6" s="314">
        <f>Data!DJ5/AW$4*100000*AW$3</f>
        <v>641373.96556178131</v>
      </c>
      <c r="AX6" s="314">
        <f>Data!DK5/AX$4*100000*AX$3</f>
        <v>765186.77693814284</v>
      </c>
      <c r="AY6" s="314">
        <f>Data!DL5/AY$4*100000*AY$3</f>
        <v>941900.67397813988</v>
      </c>
      <c r="AZ6" s="314">
        <f>Data!DM5/AZ$4*100000*AZ$3</f>
        <v>1342553.2775284078</v>
      </c>
      <c r="BA6" s="314">
        <f>Data!DN5/BA$4*100000*BA$3</f>
        <v>1203646.9782694874</v>
      </c>
      <c r="BB6" s="314">
        <f>Data!DO5/BB$4*100000*BB$3</f>
        <v>1132502.8312570781</v>
      </c>
      <c r="BC6" s="314">
        <f>Data!DP5/BC$4*100000*BC$3</f>
        <v>745397.17246005917</v>
      </c>
      <c r="BD6" s="314">
        <f>Data!DQ5/BD$4*100000*BD$3</f>
        <v>460564.19113413937</v>
      </c>
      <c r="BE6" s="314">
        <f>Data!DR5/BE$4*100000*BE$3</f>
        <v>550394.08216282853</v>
      </c>
    </row>
    <row r="7" spans="1:57" ht="12" customHeight="1">
      <c r="A7" s="64"/>
      <c r="B7" s="145" t="str">
        <f>UPPER(LEFT(TRIM(Data!B6),1)) &amp; MID(TRIM(Data!B6),2,50)</f>
        <v>Lūpos</v>
      </c>
      <c r="C7" s="139" t="str">
        <f>UPPER(LEFT(TRIM(Data!C6),1)) &amp; MID(TRIM(Data!C6),2,50)</f>
        <v>C00</v>
      </c>
      <c r="D7" s="146">
        <f>Data!BR6</f>
        <v>2</v>
      </c>
      <c r="E7" s="147">
        <f t="shared" si="0"/>
        <v>0.12537251307948741</v>
      </c>
      <c r="F7" s="148">
        <f t="shared" si="1"/>
        <v>6.4498500683569757E-2</v>
      </c>
      <c r="G7" s="148">
        <f t="shared" si="2"/>
        <v>4.4261695234693935E-2</v>
      </c>
      <c r="H7" s="70"/>
      <c r="I7" s="70"/>
      <c r="J7" s="70"/>
      <c r="K7" s="70"/>
      <c r="L7" s="70"/>
      <c r="M7" s="70"/>
      <c r="N7" s="70"/>
      <c r="O7" s="70"/>
      <c r="P7" s="69"/>
      <c r="Q7" s="321"/>
      <c r="R7" s="322" t="s">
        <v>352</v>
      </c>
      <c r="S7" s="314">
        <f t="shared" si="3"/>
        <v>6449.8500683569755</v>
      </c>
      <c r="T7" s="314">
        <f>Data!DA6/T$4*100000*T$3</f>
        <v>0</v>
      </c>
      <c r="U7" s="314">
        <f>Data!DB6/U$4*100000*U$3</f>
        <v>0</v>
      </c>
      <c r="V7" s="314">
        <f>Data!DC6/V$4*100000*V$3</f>
        <v>0</v>
      </c>
      <c r="W7" s="314">
        <f>Data!DD6/W$4*100000*W$3</f>
        <v>0</v>
      </c>
      <c r="X7" s="314">
        <f>Data!DE6/X$4*100000*X$3</f>
        <v>0</v>
      </c>
      <c r="Y7" s="314">
        <f>Data!DF6/Y$4*100000*Y$3</f>
        <v>0</v>
      </c>
      <c r="Z7" s="314">
        <f>Data!DG6/Z$4*100000*Z$3</f>
        <v>0</v>
      </c>
      <c r="AA7" s="314">
        <f>Data!DH6/AA$4*100000*AA$3</f>
        <v>0</v>
      </c>
      <c r="AB7" s="314">
        <f>Data!DI6/AB$4*100000*AB$3</f>
        <v>0</v>
      </c>
      <c r="AC7" s="314">
        <f>Data!DJ6/AC$4*100000*AC$3</f>
        <v>0</v>
      </c>
      <c r="AD7" s="314">
        <f>Data!DK6/AD$4*100000*AD$3</f>
        <v>0</v>
      </c>
      <c r="AE7" s="314">
        <f>Data!DL6/AE$4*100000*AE$3</f>
        <v>0</v>
      </c>
      <c r="AF7" s="314">
        <f>Data!DM6/AF$4*100000*AF$3</f>
        <v>0</v>
      </c>
      <c r="AG7" s="314">
        <f>Data!DN6/AG$4*100000*AG$3</f>
        <v>4804.9779571636209</v>
      </c>
      <c r="AH7" s="314">
        <f>Data!DO6/AH$4*100000*AH$3</f>
        <v>0</v>
      </c>
      <c r="AI7" s="314">
        <f>Data!DP6/AI$4*100000*AI$3</f>
        <v>0</v>
      </c>
      <c r="AJ7" s="314">
        <f>Data!DQ6/AJ$4*100000*AJ$3</f>
        <v>1644.8721111933548</v>
      </c>
      <c r="AK7" s="314">
        <f>Data!DR6/AK$4*100000*AK$3</f>
        <v>0</v>
      </c>
      <c r="AL7" s="322" t="s">
        <v>352</v>
      </c>
      <c r="AM7" s="314">
        <f t="shared" si="4"/>
        <v>4426.1695234693934</v>
      </c>
      <c r="AN7" s="314">
        <f>Data!DA6/AN$4*100000*AN$3</f>
        <v>0</v>
      </c>
      <c r="AO7" s="314">
        <f>Data!DB6/AO$4*100000*AO$3</f>
        <v>0</v>
      </c>
      <c r="AP7" s="314">
        <f>Data!DC6/AP$4*100000*AP$3</f>
        <v>0</v>
      </c>
      <c r="AQ7" s="314">
        <f>Data!DD6/AQ$4*100000*AQ$3</f>
        <v>0</v>
      </c>
      <c r="AR7" s="314">
        <f>Data!DE6/AR$4*100000*AR$3</f>
        <v>0</v>
      </c>
      <c r="AS7" s="314">
        <f>Data!DF6/AS$4*100000*AS$3</f>
        <v>0</v>
      </c>
      <c r="AT7" s="314">
        <f>Data!DG6/AT$4*100000*AT$3</f>
        <v>0</v>
      </c>
      <c r="AU7" s="314">
        <f>Data!DH6/AU$4*100000*AU$3</f>
        <v>0</v>
      </c>
      <c r="AV7" s="314">
        <f>Data!DI6/AV$4*100000*AV$3</f>
        <v>0</v>
      </c>
      <c r="AW7" s="314">
        <f>Data!DJ6/AW$4*100000*AW$3</f>
        <v>0</v>
      </c>
      <c r="AX7" s="314">
        <f>Data!DK6/AX$4*100000*AX$3</f>
        <v>0</v>
      </c>
      <c r="AY7" s="314">
        <f>Data!DL6/AY$4*100000*AY$3</f>
        <v>0</v>
      </c>
      <c r="AZ7" s="314">
        <f>Data!DM6/AZ$4*100000*AZ$3</f>
        <v>0</v>
      </c>
      <c r="BA7" s="314">
        <f>Data!DN6/BA$4*100000*BA$3</f>
        <v>3603.7334678727161</v>
      </c>
      <c r="BB7" s="314">
        <f>Data!DO6/BB$4*100000*BB$3</f>
        <v>0</v>
      </c>
      <c r="BC7" s="314">
        <f>Data!DP6/BC$4*100000*BC$3</f>
        <v>0</v>
      </c>
      <c r="BD7" s="314">
        <f>Data!DQ6/BD$4*100000*BD$3</f>
        <v>822.43605559667742</v>
      </c>
      <c r="BE7" s="314">
        <f>Data!DR6/BE$4*100000*BE$3</f>
        <v>0</v>
      </c>
    </row>
    <row r="8" spans="1:57" ht="12" customHeight="1">
      <c r="A8" s="64"/>
      <c r="B8" s="123" t="str">
        <f>UPPER(LEFT(TRIM(Data!B7),1)) &amp; MID(TRIM(Data!B7),2,50)</f>
        <v>Burnos ertmės ir ryklės</v>
      </c>
      <c r="C8" s="123" t="str">
        <f>UPPER(LEFT(TRIM(Data!C7),1)) &amp; MID(TRIM(Data!C7),2,50)</f>
        <v>C01-C14</v>
      </c>
      <c r="D8" s="136">
        <f>Data!BR7</f>
        <v>38</v>
      </c>
      <c r="E8" s="137">
        <f t="shared" ref="E8:E51" si="5">D8/$S$4*100000</f>
        <v>2.3820777485102611</v>
      </c>
      <c r="F8" s="127">
        <f t="shared" ref="F8:F51" si="6">S8/$S$3</f>
        <v>1.5543512980882037</v>
      </c>
      <c r="G8" s="127">
        <f t="shared" ref="G8:G51" si="7">AM8/$AM$3</f>
        <v>1.1006387712754524</v>
      </c>
      <c r="H8" s="70"/>
      <c r="I8" s="70"/>
      <c r="J8" s="70"/>
      <c r="K8" s="70"/>
      <c r="L8" s="70"/>
      <c r="M8" s="70"/>
      <c r="N8" s="70"/>
      <c r="O8" s="70"/>
      <c r="P8" s="69"/>
      <c r="Q8" s="307"/>
      <c r="R8" s="322" t="s">
        <v>352</v>
      </c>
      <c r="S8" s="314">
        <f t="shared" si="3"/>
        <v>155435.12980882038</v>
      </c>
      <c r="T8" s="314">
        <f>Data!DA7/T$4*100000*T$3</f>
        <v>0</v>
      </c>
      <c r="U8" s="314">
        <f>Data!DB7/U$4*100000*U$3</f>
        <v>0</v>
      </c>
      <c r="V8" s="314">
        <f>Data!DC7/V$4*100000*V$3</f>
        <v>0</v>
      </c>
      <c r="W8" s="314">
        <f>Data!DD7/W$4*100000*W$3</f>
        <v>0</v>
      </c>
      <c r="X8" s="314">
        <f>Data!DE7/X$4*100000*X$3</f>
        <v>0</v>
      </c>
      <c r="Y8" s="314">
        <f>Data!DF7/Y$4*100000*Y$3</f>
        <v>0</v>
      </c>
      <c r="Z8" s="314">
        <f>Data!DG7/Z$4*100000*Z$3</f>
        <v>0</v>
      </c>
      <c r="AA8" s="314">
        <f>Data!DH7/AA$4*100000*AA$3</f>
        <v>7342.4519593857522</v>
      </c>
      <c r="AB8" s="314">
        <f>Data!DI7/AB$4*100000*AB$3</f>
        <v>0</v>
      </c>
      <c r="AC8" s="314">
        <f>Data!DJ7/AC$4*100000*AC$3</f>
        <v>31177.901103697703</v>
      </c>
      <c r="AD8" s="314">
        <f>Data!DK7/AD$4*100000*AD$3</f>
        <v>11101.155313092228</v>
      </c>
      <c r="AE8" s="314">
        <f>Data!DL7/AE$4*100000*AE$3</f>
        <v>27812.027774945076</v>
      </c>
      <c r="AF8" s="314">
        <f>Data!DM7/AF$4*100000*AF$3</f>
        <v>15164.381899793763</v>
      </c>
      <c r="AG8" s="314">
        <f>Data!DN7/AG$4*100000*AG$3</f>
        <v>19219.911828654484</v>
      </c>
      <c r="AH8" s="314">
        <f>Data!DO7/AH$4*100000*AH$3</f>
        <v>13323.562720671507</v>
      </c>
      <c r="AI8" s="314">
        <f>Data!DP7/AI$4*100000*AI$3</f>
        <v>14907.943449201182</v>
      </c>
      <c r="AJ8" s="314">
        <f>Data!DQ7/AJ$4*100000*AJ$3</f>
        <v>6579.4884447734194</v>
      </c>
      <c r="AK8" s="314">
        <f>Data!DR7/AK$4*100000*AK$3</f>
        <v>8806.3053146052571</v>
      </c>
      <c r="AL8" s="322" t="s">
        <v>352</v>
      </c>
      <c r="AM8" s="314">
        <f t="shared" si="4"/>
        <v>110063.87712754523</v>
      </c>
      <c r="AN8" s="314">
        <f>Data!DA7/AN$4*100000*AN$3</f>
        <v>0</v>
      </c>
      <c r="AO8" s="314">
        <f>Data!DB7/AO$4*100000*AO$3</f>
        <v>0</v>
      </c>
      <c r="AP8" s="314">
        <f>Data!DC7/AP$4*100000*AP$3</f>
        <v>0</v>
      </c>
      <c r="AQ8" s="314">
        <f>Data!DD7/AQ$4*100000*AQ$3</f>
        <v>0</v>
      </c>
      <c r="AR8" s="314">
        <f>Data!DE7/AR$4*100000*AR$3</f>
        <v>0</v>
      </c>
      <c r="AS8" s="314">
        <f>Data!DF7/AS$4*100000*AS$3</f>
        <v>0</v>
      </c>
      <c r="AT8" s="314">
        <f>Data!DG7/AT$4*100000*AT$3</f>
        <v>0</v>
      </c>
      <c r="AU8" s="314">
        <f>Data!DH7/AU$4*100000*AU$3</f>
        <v>6293.530250902073</v>
      </c>
      <c r="AV8" s="314">
        <f>Data!DI7/AV$4*100000*AV$3</f>
        <v>0</v>
      </c>
      <c r="AW8" s="314">
        <f>Data!DJ7/AW$4*100000*AW$3</f>
        <v>26723.915231740888</v>
      </c>
      <c r="AX8" s="314">
        <f>Data!DK7/AX$4*100000*AX$3</f>
        <v>7929.396652208733</v>
      </c>
      <c r="AY8" s="314">
        <f>Data!DL7/AY$4*100000*AY$3</f>
        <v>18541.351849963383</v>
      </c>
      <c r="AZ8" s="314">
        <f>Data!DM7/AZ$4*100000*AZ$3</f>
        <v>12131.505519835011</v>
      </c>
      <c r="BA8" s="314">
        <f>Data!DN7/BA$4*100000*BA$3</f>
        <v>14414.933871490864</v>
      </c>
      <c r="BB8" s="314">
        <f>Data!DO7/BB$4*100000*BB$3</f>
        <v>8882.3751471143387</v>
      </c>
      <c r="BC8" s="314">
        <f>Data!DP7/BC$4*100000*BC$3</f>
        <v>7453.9717246005912</v>
      </c>
      <c r="BD8" s="314">
        <f>Data!DQ7/BD$4*100000*BD$3</f>
        <v>3289.7442223867097</v>
      </c>
      <c r="BE8" s="314">
        <f>Data!DR7/BE$4*100000*BE$3</f>
        <v>4403.1526573026285</v>
      </c>
    </row>
    <row r="9" spans="1:57" ht="12" customHeight="1">
      <c r="A9" s="64"/>
      <c r="B9" s="145" t="str">
        <f>UPPER(LEFT(TRIM(Data!B8),1)) &amp; MID(TRIM(Data!B8),2,50)</f>
        <v>Stemplės</v>
      </c>
      <c r="C9" s="139" t="str">
        <f>UPPER(LEFT(TRIM(Data!C8),1)) &amp; MID(TRIM(Data!C8),2,50)</f>
        <v>C15</v>
      </c>
      <c r="D9" s="146">
        <f>Data!BR8</f>
        <v>19</v>
      </c>
      <c r="E9" s="147">
        <f t="shared" si="5"/>
        <v>1.1910388742551306</v>
      </c>
      <c r="F9" s="148">
        <f t="shared" si="6"/>
        <v>0.66592605291662865</v>
      </c>
      <c r="G9" s="148">
        <f t="shared" si="7"/>
        <v>0.45572727623830861</v>
      </c>
      <c r="H9" s="70"/>
      <c r="I9" s="70"/>
      <c r="J9" s="70"/>
      <c r="K9" s="70"/>
      <c r="L9" s="70"/>
      <c r="M9" s="70"/>
      <c r="N9" s="70"/>
      <c r="O9" s="70"/>
      <c r="P9" s="69"/>
      <c r="Q9" s="307"/>
      <c r="R9" s="322" t="s">
        <v>352</v>
      </c>
      <c r="S9" s="314">
        <f t="shared" si="3"/>
        <v>66592.605291662869</v>
      </c>
      <c r="T9" s="314">
        <f>Data!DA8/T$4*100000*T$3</f>
        <v>0</v>
      </c>
      <c r="U9" s="314">
        <f>Data!DB8/U$4*100000*U$3</f>
        <v>0</v>
      </c>
      <c r="V9" s="314">
        <f>Data!DC8/V$4*100000*V$3</f>
        <v>0</v>
      </c>
      <c r="W9" s="314">
        <f>Data!DD8/W$4*100000*W$3</f>
        <v>0</v>
      </c>
      <c r="X9" s="314">
        <f>Data!DE8/X$4*100000*X$3</f>
        <v>0</v>
      </c>
      <c r="Y9" s="314">
        <f>Data!DF8/Y$4*100000*Y$3</f>
        <v>0</v>
      </c>
      <c r="Z9" s="314">
        <f>Data!DG8/Z$4*100000*Z$3</f>
        <v>0</v>
      </c>
      <c r="AA9" s="314">
        <f>Data!DH8/AA$4*100000*AA$3</f>
        <v>0</v>
      </c>
      <c r="AB9" s="314">
        <f>Data!DI8/AB$4*100000*AB$3</f>
        <v>0</v>
      </c>
      <c r="AC9" s="314">
        <f>Data!DJ8/AC$4*100000*AC$3</f>
        <v>0</v>
      </c>
      <c r="AD9" s="314">
        <f>Data!DK8/AD$4*100000*AD$3</f>
        <v>16651.732969638342</v>
      </c>
      <c r="AE9" s="314">
        <f>Data!DL8/AE$4*100000*AE$3</f>
        <v>0</v>
      </c>
      <c r="AF9" s="314">
        <f>Data!DM8/AF$4*100000*AF$3</f>
        <v>15164.381899793763</v>
      </c>
      <c r="AG9" s="314">
        <f>Data!DN8/AG$4*100000*AG$3</f>
        <v>14414.933871490864</v>
      </c>
      <c r="AH9" s="314">
        <f>Data!DO8/AH$4*100000*AH$3</f>
        <v>3330.8906801678768</v>
      </c>
      <c r="AI9" s="314">
        <f>Data!DP8/AI$4*100000*AI$3</f>
        <v>0</v>
      </c>
      <c r="AJ9" s="314">
        <f>Data!DQ8/AJ$4*100000*AJ$3</f>
        <v>8224.360555966774</v>
      </c>
      <c r="AK9" s="314">
        <f>Data!DR8/AK$4*100000*AK$3</f>
        <v>8806.3053146052571</v>
      </c>
      <c r="AL9" s="322" t="s">
        <v>352</v>
      </c>
      <c r="AM9" s="314">
        <f t="shared" si="4"/>
        <v>45572.727623830862</v>
      </c>
      <c r="AN9" s="314">
        <f>Data!DA8/AN$4*100000*AN$3</f>
        <v>0</v>
      </c>
      <c r="AO9" s="314">
        <f>Data!DB8/AO$4*100000*AO$3</f>
        <v>0</v>
      </c>
      <c r="AP9" s="314">
        <f>Data!DC8/AP$4*100000*AP$3</f>
        <v>0</v>
      </c>
      <c r="AQ9" s="314">
        <f>Data!DD8/AQ$4*100000*AQ$3</f>
        <v>0</v>
      </c>
      <c r="AR9" s="314">
        <f>Data!DE8/AR$4*100000*AR$3</f>
        <v>0</v>
      </c>
      <c r="AS9" s="314">
        <f>Data!DF8/AS$4*100000*AS$3</f>
        <v>0</v>
      </c>
      <c r="AT9" s="314">
        <f>Data!DG8/AT$4*100000*AT$3</f>
        <v>0</v>
      </c>
      <c r="AU9" s="314">
        <f>Data!DH8/AU$4*100000*AU$3</f>
        <v>0</v>
      </c>
      <c r="AV9" s="314">
        <f>Data!DI8/AV$4*100000*AV$3</f>
        <v>0</v>
      </c>
      <c r="AW9" s="314">
        <f>Data!DJ8/AW$4*100000*AW$3</f>
        <v>0</v>
      </c>
      <c r="AX9" s="314">
        <f>Data!DK8/AX$4*100000*AX$3</f>
        <v>11894.094978313102</v>
      </c>
      <c r="AY9" s="314">
        <f>Data!DL8/AY$4*100000*AY$3</f>
        <v>0</v>
      </c>
      <c r="AZ9" s="314">
        <f>Data!DM8/AZ$4*100000*AZ$3</f>
        <v>12131.505519835011</v>
      </c>
      <c r="BA9" s="314">
        <f>Data!DN8/BA$4*100000*BA$3</f>
        <v>10811.200403618148</v>
      </c>
      <c r="BB9" s="314">
        <f>Data!DO8/BB$4*100000*BB$3</f>
        <v>2220.5937867785847</v>
      </c>
      <c r="BC9" s="314">
        <f>Data!DP8/BC$4*100000*BC$3</f>
        <v>0</v>
      </c>
      <c r="BD9" s="314">
        <f>Data!DQ8/BD$4*100000*BD$3</f>
        <v>4112.180277983387</v>
      </c>
      <c r="BE9" s="314">
        <f>Data!DR8/BE$4*100000*BE$3</f>
        <v>4403.1526573026285</v>
      </c>
    </row>
    <row r="10" spans="1:57" ht="12" customHeight="1">
      <c r="A10" s="64"/>
      <c r="B10" s="123" t="str">
        <f>UPPER(LEFT(TRIM(Data!B9),1)) &amp; MID(TRIM(Data!B9),2,50)</f>
        <v>Skrandžio</v>
      </c>
      <c r="C10" s="123" t="str">
        <f>UPPER(LEFT(TRIM(Data!C9),1)) &amp; MID(TRIM(Data!C9),2,50)</f>
        <v>C16</v>
      </c>
      <c r="D10" s="136">
        <f>Data!BR9</f>
        <v>246</v>
      </c>
      <c r="E10" s="137">
        <f t="shared" si="5"/>
        <v>15.420819108776955</v>
      </c>
      <c r="F10" s="127">
        <f t="shared" si="6"/>
        <v>7.9926887184375248</v>
      </c>
      <c r="G10" s="127">
        <f t="shared" si="7"/>
        <v>5.2003432112509582</v>
      </c>
      <c r="H10" s="70"/>
      <c r="I10" s="70"/>
      <c r="J10" s="70"/>
      <c r="K10" s="70"/>
      <c r="L10" s="70"/>
      <c r="M10" s="70"/>
      <c r="N10" s="70"/>
      <c r="O10" s="70"/>
      <c r="P10" s="69"/>
      <c r="Q10" s="307"/>
      <c r="R10" s="322" t="s">
        <v>352</v>
      </c>
      <c r="S10" s="314">
        <f t="shared" si="3"/>
        <v>799268.87184375245</v>
      </c>
      <c r="T10" s="314">
        <f>Data!DA9/T$4*100000*T$3</f>
        <v>0</v>
      </c>
      <c r="U10" s="314">
        <f>Data!DB9/U$4*100000*U$3</f>
        <v>0</v>
      </c>
      <c r="V10" s="314">
        <f>Data!DC9/V$4*100000*V$3</f>
        <v>0</v>
      </c>
      <c r="W10" s="314">
        <f>Data!DD9/W$4*100000*W$3</f>
        <v>0</v>
      </c>
      <c r="X10" s="314">
        <f>Data!DE9/X$4*100000*X$3</f>
        <v>6735.561842079941</v>
      </c>
      <c r="Y10" s="314">
        <f>Data!DF9/Y$4*100000*Y$3</f>
        <v>0</v>
      </c>
      <c r="Z10" s="314">
        <f>Data!DG9/Z$4*100000*Z$3</f>
        <v>8010.344788126381</v>
      </c>
      <c r="AA10" s="314">
        <f>Data!DH9/AA$4*100000*AA$3</f>
        <v>14684.903918771504</v>
      </c>
      <c r="AB10" s="314">
        <f>Data!DI9/AB$4*100000*AB$3</f>
        <v>6455.6588460970934</v>
      </c>
      <c r="AC10" s="314">
        <f>Data!DJ9/AC$4*100000*AC$3</f>
        <v>43649.061545176774</v>
      </c>
      <c r="AD10" s="314">
        <f>Data!DK9/AD$4*100000*AD$3</f>
        <v>66606.931878553369</v>
      </c>
      <c r="AE10" s="314">
        <f>Data!DL9/AE$4*100000*AE$3</f>
        <v>88998.488879824232</v>
      </c>
      <c r="AF10" s="314">
        <f>Data!DM9/AF$4*100000*AF$3</f>
        <v>55602.733632577132</v>
      </c>
      <c r="AG10" s="314">
        <f>Data!DN9/AG$4*100000*AG$3</f>
        <v>110514.49301476328</v>
      </c>
      <c r="AH10" s="314">
        <f>Data!DO9/AH$4*100000*AH$3</f>
        <v>99926.720405036293</v>
      </c>
      <c r="AI10" s="314">
        <f>Data!DP9/AI$4*100000*AI$3</f>
        <v>111809.57586900888</v>
      </c>
      <c r="AJ10" s="314">
        <f>Data!DQ9/AJ$4*100000*AJ$3</f>
        <v>80598.733448474377</v>
      </c>
      <c r="AK10" s="314">
        <f>Data!DR9/AK$4*100000*AK$3</f>
        <v>105675.66377526309</v>
      </c>
      <c r="AL10" s="322" t="s">
        <v>352</v>
      </c>
      <c r="AM10" s="314">
        <f t="shared" si="4"/>
        <v>520034.32112509583</v>
      </c>
      <c r="AN10" s="314">
        <f>Data!DA9/AN$4*100000*AN$3</f>
        <v>0</v>
      </c>
      <c r="AO10" s="314">
        <f>Data!DB9/AO$4*100000*AO$3</f>
        <v>0</v>
      </c>
      <c r="AP10" s="314">
        <f>Data!DC9/AP$4*100000*AP$3</f>
        <v>0</v>
      </c>
      <c r="AQ10" s="314">
        <f>Data!DD9/AQ$4*100000*AQ$3</f>
        <v>0</v>
      </c>
      <c r="AR10" s="314">
        <f>Data!DE9/AR$4*100000*AR$3</f>
        <v>7697.7849623770753</v>
      </c>
      <c r="AS10" s="314">
        <f>Data!DF9/AS$4*100000*AS$3</f>
        <v>0</v>
      </c>
      <c r="AT10" s="314">
        <f>Data!DG9/AT$4*100000*AT$3</f>
        <v>6866.0098183940408</v>
      </c>
      <c r="AU10" s="314">
        <f>Data!DH9/AU$4*100000*AU$3</f>
        <v>12587.060501804146</v>
      </c>
      <c r="AV10" s="314">
        <f>Data!DI9/AV$4*100000*AV$3</f>
        <v>5533.4218680832228</v>
      </c>
      <c r="AW10" s="314">
        <f>Data!DJ9/AW$4*100000*AW$3</f>
        <v>37413.481324437234</v>
      </c>
      <c r="AX10" s="314">
        <f>Data!DK9/AX$4*100000*AX$3</f>
        <v>47576.379913252407</v>
      </c>
      <c r="AY10" s="314">
        <f>Data!DL9/AY$4*100000*AY$3</f>
        <v>59332.325919882816</v>
      </c>
      <c r="AZ10" s="314">
        <f>Data!DM9/AZ$4*100000*AZ$3</f>
        <v>44482.186906061703</v>
      </c>
      <c r="BA10" s="314">
        <f>Data!DN9/BA$4*100000*BA$3</f>
        <v>82885.869761072463</v>
      </c>
      <c r="BB10" s="314">
        <f>Data!DO9/BB$4*100000*BB$3</f>
        <v>66617.813603357528</v>
      </c>
      <c r="BC10" s="314">
        <f>Data!DP9/BC$4*100000*BC$3</f>
        <v>55904.787934504442</v>
      </c>
      <c r="BD10" s="314">
        <f>Data!DQ9/BD$4*100000*BD$3</f>
        <v>40299.366724237188</v>
      </c>
      <c r="BE10" s="314">
        <f>Data!DR9/BE$4*100000*BE$3</f>
        <v>52837.831887631546</v>
      </c>
    </row>
    <row r="11" spans="1:57" ht="12" customHeight="1">
      <c r="A11" s="64"/>
      <c r="B11" s="145" t="str">
        <f>UPPER(LEFT(TRIM(Data!B10),1)) &amp; MID(TRIM(Data!B10),2,50)</f>
        <v>Gaubtinės žarnos</v>
      </c>
      <c r="C11" s="139" t="str">
        <f>UPPER(LEFT(TRIM(Data!C10),1)) &amp; MID(TRIM(Data!C10),2,50)</f>
        <v>C18</v>
      </c>
      <c r="D11" s="146">
        <f>Data!BR10</f>
        <v>254</v>
      </c>
      <c r="E11" s="147">
        <f t="shared" si="5"/>
        <v>15.922309161094903</v>
      </c>
      <c r="F11" s="148">
        <f t="shared" si="6"/>
        <v>7.709773259914912</v>
      </c>
      <c r="G11" s="148">
        <f t="shared" si="7"/>
        <v>4.8867059017671748</v>
      </c>
      <c r="H11" s="70"/>
      <c r="I11" s="70"/>
      <c r="J11" s="70"/>
      <c r="K11" s="70"/>
      <c r="L11" s="70"/>
      <c r="M11" s="70"/>
      <c r="N11" s="70"/>
      <c r="O11" s="70"/>
      <c r="P11" s="69"/>
      <c r="Q11" s="307"/>
      <c r="R11" s="322" t="s">
        <v>352</v>
      </c>
      <c r="S11" s="314">
        <f t="shared" si="3"/>
        <v>770977.32599149121</v>
      </c>
      <c r="T11" s="314">
        <f>Data!DA10/T$4*100000*T$3</f>
        <v>0</v>
      </c>
      <c r="U11" s="314">
        <f>Data!DB10/U$4*100000*U$3</f>
        <v>0</v>
      </c>
      <c r="V11" s="314">
        <f>Data!DC10/V$4*100000*V$3</f>
        <v>0</v>
      </c>
      <c r="W11" s="314">
        <f>Data!DD10/W$4*100000*W$3</f>
        <v>0</v>
      </c>
      <c r="X11" s="314">
        <f>Data!DE10/X$4*100000*X$3</f>
        <v>0</v>
      </c>
      <c r="Y11" s="314">
        <f>Data!DF10/Y$4*100000*Y$3</f>
        <v>0</v>
      </c>
      <c r="Z11" s="314">
        <f>Data!DG10/Z$4*100000*Z$3</f>
        <v>8010.344788126381</v>
      </c>
      <c r="AA11" s="314">
        <f>Data!DH10/AA$4*100000*AA$3</f>
        <v>7342.4519593857522</v>
      </c>
      <c r="AB11" s="314">
        <f>Data!DI10/AB$4*100000*AB$3</f>
        <v>0</v>
      </c>
      <c r="AC11" s="314">
        <f>Data!DJ10/AC$4*100000*AC$3</f>
        <v>18706.740662218617</v>
      </c>
      <c r="AD11" s="314">
        <f>Data!DK10/AD$4*100000*AD$3</f>
        <v>44404.62125236891</v>
      </c>
      <c r="AE11" s="314">
        <f>Data!DL10/AE$4*100000*AE$3</f>
        <v>66748.866659868174</v>
      </c>
      <c r="AF11" s="314">
        <f>Data!DM10/AF$4*100000*AF$3</f>
        <v>90986.291398762594</v>
      </c>
      <c r="AG11" s="314">
        <f>Data!DN10/AG$4*100000*AG$3</f>
        <v>105709.51505759967</v>
      </c>
      <c r="AH11" s="314">
        <f>Data!DO10/AH$4*100000*AH$3</f>
        <v>99926.720405036293</v>
      </c>
      <c r="AI11" s="314">
        <f>Data!DP10/AI$4*100000*AI$3</f>
        <v>129202.17655974357</v>
      </c>
      <c r="AJ11" s="314">
        <f>Data!DQ10/AJ$4*100000*AJ$3</f>
        <v>105271.81511637471</v>
      </c>
      <c r="AK11" s="314">
        <f>Data!DR10/AK$4*100000*AK$3</f>
        <v>94667.782132006527</v>
      </c>
      <c r="AL11" s="322" t="s">
        <v>352</v>
      </c>
      <c r="AM11" s="314">
        <f t="shared" si="4"/>
        <v>488670.59017671744</v>
      </c>
      <c r="AN11" s="314">
        <f>Data!DA10/AN$4*100000*AN$3</f>
        <v>0</v>
      </c>
      <c r="AO11" s="314">
        <f>Data!DB10/AO$4*100000*AO$3</f>
        <v>0</v>
      </c>
      <c r="AP11" s="314">
        <f>Data!DC10/AP$4*100000*AP$3</f>
        <v>0</v>
      </c>
      <c r="AQ11" s="314">
        <f>Data!DD10/AQ$4*100000*AQ$3</f>
        <v>0</v>
      </c>
      <c r="AR11" s="314">
        <f>Data!DE10/AR$4*100000*AR$3</f>
        <v>0</v>
      </c>
      <c r="AS11" s="314">
        <f>Data!DF10/AS$4*100000*AS$3</f>
        <v>0</v>
      </c>
      <c r="AT11" s="314">
        <f>Data!DG10/AT$4*100000*AT$3</f>
        <v>6866.0098183940408</v>
      </c>
      <c r="AU11" s="314">
        <f>Data!DH10/AU$4*100000*AU$3</f>
        <v>6293.530250902073</v>
      </c>
      <c r="AV11" s="314">
        <f>Data!DI10/AV$4*100000*AV$3</f>
        <v>0</v>
      </c>
      <c r="AW11" s="314">
        <f>Data!DJ10/AW$4*100000*AW$3</f>
        <v>16034.349139044529</v>
      </c>
      <c r="AX11" s="314">
        <f>Data!DK10/AX$4*100000*AX$3</f>
        <v>31717.586608834932</v>
      </c>
      <c r="AY11" s="314">
        <f>Data!DL10/AY$4*100000*AY$3</f>
        <v>44499.244439912109</v>
      </c>
      <c r="AZ11" s="314">
        <f>Data!DM10/AZ$4*100000*AZ$3</f>
        <v>72789.03311901007</v>
      </c>
      <c r="BA11" s="314">
        <f>Data!DN10/BA$4*100000*BA$3</f>
        <v>79282.136293199743</v>
      </c>
      <c r="BB11" s="314">
        <f>Data!DO10/BB$4*100000*BB$3</f>
        <v>66617.813603357528</v>
      </c>
      <c r="BC11" s="314">
        <f>Data!DP10/BC$4*100000*BC$3</f>
        <v>64601.088279871787</v>
      </c>
      <c r="BD11" s="314">
        <f>Data!DQ10/BD$4*100000*BD$3</f>
        <v>52635.907558187355</v>
      </c>
      <c r="BE11" s="314">
        <f>Data!DR10/BE$4*100000*BE$3</f>
        <v>47333.891066003263</v>
      </c>
    </row>
    <row r="12" spans="1:57" ht="12" customHeight="1">
      <c r="A12" s="64"/>
      <c r="B12" s="123" t="str">
        <f>UPPER(LEFT(TRIM(Data!B11),1)) &amp; MID(TRIM(Data!B11),2,50)</f>
        <v>Tiesiosios žarnos, išangės</v>
      </c>
      <c r="C12" s="123" t="str">
        <f>UPPER(LEFT(TRIM(Data!C11),1)) &amp; MID(TRIM(Data!C11),2,50)</f>
        <v>C19-C21</v>
      </c>
      <c r="D12" s="136">
        <f>Data!BR11</f>
        <v>203</v>
      </c>
      <c r="E12" s="137">
        <f t="shared" si="5"/>
        <v>12.725310077567974</v>
      </c>
      <c r="F12" s="127">
        <f t="shared" si="6"/>
        <v>6.8276487072454275</v>
      </c>
      <c r="G12" s="127">
        <f t="shared" si="7"/>
        <v>4.4858668197576792</v>
      </c>
      <c r="H12" s="70"/>
      <c r="I12" s="70"/>
      <c r="J12" s="70"/>
      <c r="K12" s="70"/>
      <c r="L12" s="70"/>
      <c r="M12" s="70"/>
      <c r="N12" s="70"/>
      <c r="O12" s="70"/>
      <c r="P12" s="69"/>
      <c r="Q12" s="307"/>
      <c r="R12" s="322" t="s">
        <v>352</v>
      </c>
      <c r="S12" s="314">
        <f t="shared" si="3"/>
        <v>682764.87072454276</v>
      </c>
      <c r="T12" s="314">
        <f>Data!DA11/T$4*100000*T$3</f>
        <v>0</v>
      </c>
      <c r="U12" s="314">
        <f>Data!DB11/U$4*100000*U$3</f>
        <v>0</v>
      </c>
      <c r="V12" s="314">
        <f>Data!DC11/V$4*100000*V$3</f>
        <v>0</v>
      </c>
      <c r="W12" s="314">
        <f>Data!DD11/W$4*100000*W$3</f>
        <v>0</v>
      </c>
      <c r="X12" s="314">
        <f>Data!DE11/X$4*100000*X$3</f>
        <v>0</v>
      </c>
      <c r="Y12" s="314">
        <f>Data!DF11/Y$4*100000*Y$3</f>
        <v>0</v>
      </c>
      <c r="Z12" s="314">
        <f>Data!DG11/Z$4*100000*Z$3</f>
        <v>16020.689576252762</v>
      </c>
      <c r="AA12" s="314">
        <f>Data!DH11/AA$4*100000*AA$3</f>
        <v>7342.4519593857522</v>
      </c>
      <c r="AB12" s="314">
        <f>Data!DI11/AB$4*100000*AB$3</f>
        <v>19366.976538291281</v>
      </c>
      <c r="AC12" s="314">
        <f>Data!DJ11/AC$4*100000*AC$3</f>
        <v>18706.740662218617</v>
      </c>
      <c r="AD12" s="314">
        <f>Data!DK11/AD$4*100000*AD$3</f>
        <v>61056.354222007249</v>
      </c>
      <c r="AE12" s="314">
        <f>Data!DL11/AE$4*100000*AE$3</f>
        <v>88998.488879824232</v>
      </c>
      <c r="AF12" s="314">
        <f>Data!DM11/AF$4*100000*AF$3</f>
        <v>90986.291398762594</v>
      </c>
      <c r="AG12" s="314">
        <f>Data!DN11/AG$4*100000*AG$3</f>
        <v>62464.713443127082</v>
      </c>
      <c r="AH12" s="314">
        <f>Data!DO11/AH$4*100000*AH$3</f>
        <v>86603.157684364807</v>
      </c>
      <c r="AI12" s="314">
        <f>Data!DP11/AI$4*100000*AI$3</f>
        <v>94416.975178274151</v>
      </c>
      <c r="AJ12" s="314">
        <f>Data!DQ11/AJ$4*100000*AJ$3</f>
        <v>64150.012336540829</v>
      </c>
      <c r="AK12" s="314">
        <f>Data!DR11/AK$4*100000*AK$3</f>
        <v>72652.018845493367</v>
      </c>
      <c r="AL12" s="322" t="s">
        <v>352</v>
      </c>
      <c r="AM12" s="314">
        <f t="shared" si="4"/>
        <v>448586.68197576795</v>
      </c>
      <c r="AN12" s="314">
        <f>Data!DA11/AN$4*100000*AN$3</f>
        <v>0</v>
      </c>
      <c r="AO12" s="314">
        <f>Data!DB11/AO$4*100000*AO$3</f>
        <v>0</v>
      </c>
      <c r="AP12" s="314">
        <f>Data!DC11/AP$4*100000*AP$3</f>
        <v>0</v>
      </c>
      <c r="AQ12" s="314">
        <f>Data!DD11/AQ$4*100000*AQ$3</f>
        <v>0</v>
      </c>
      <c r="AR12" s="314">
        <f>Data!DE11/AR$4*100000*AR$3</f>
        <v>0</v>
      </c>
      <c r="AS12" s="314">
        <f>Data!DF11/AS$4*100000*AS$3</f>
        <v>0</v>
      </c>
      <c r="AT12" s="314">
        <f>Data!DG11/AT$4*100000*AT$3</f>
        <v>13732.019636788082</v>
      </c>
      <c r="AU12" s="314">
        <f>Data!DH11/AU$4*100000*AU$3</f>
        <v>6293.530250902073</v>
      </c>
      <c r="AV12" s="314">
        <f>Data!DI11/AV$4*100000*AV$3</f>
        <v>16600.265604249667</v>
      </c>
      <c r="AW12" s="314">
        <f>Data!DJ11/AW$4*100000*AW$3</f>
        <v>16034.349139044529</v>
      </c>
      <c r="AX12" s="314">
        <f>Data!DK11/AX$4*100000*AX$3</f>
        <v>43611.681587148036</v>
      </c>
      <c r="AY12" s="314">
        <f>Data!DL11/AY$4*100000*AY$3</f>
        <v>59332.325919882816</v>
      </c>
      <c r="AZ12" s="314">
        <f>Data!DM11/AZ$4*100000*AZ$3</f>
        <v>72789.03311901007</v>
      </c>
      <c r="BA12" s="314">
        <f>Data!DN11/BA$4*100000*BA$3</f>
        <v>46848.535082345312</v>
      </c>
      <c r="BB12" s="314">
        <f>Data!DO11/BB$4*100000*BB$3</f>
        <v>57735.438456243202</v>
      </c>
      <c r="BC12" s="314">
        <f>Data!DP11/BC$4*100000*BC$3</f>
        <v>47208.487589137076</v>
      </c>
      <c r="BD12" s="314">
        <f>Data!DQ11/BD$4*100000*BD$3</f>
        <v>32075.006168270414</v>
      </c>
      <c r="BE12" s="314">
        <f>Data!DR11/BE$4*100000*BE$3</f>
        <v>36326.009422746683</v>
      </c>
    </row>
    <row r="13" spans="1:57" ht="12" customHeight="1">
      <c r="A13" s="64"/>
      <c r="B13" s="145" t="str">
        <f>UPPER(LEFT(TRIM(Data!B12),1)) &amp; MID(TRIM(Data!B12),2,50)</f>
        <v>Kepenų</v>
      </c>
      <c r="C13" s="139" t="str">
        <f>UPPER(LEFT(TRIM(Data!C12),1)) &amp; MID(TRIM(Data!C12),2,50)</f>
        <v>C22</v>
      </c>
      <c r="D13" s="146">
        <f>Data!BR12</f>
        <v>58</v>
      </c>
      <c r="E13" s="147">
        <f t="shared" si="5"/>
        <v>3.6358028793051349</v>
      </c>
      <c r="F13" s="148">
        <f t="shared" si="6"/>
        <v>2.0089891034675205</v>
      </c>
      <c r="G13" s="148">
        <f t="shared" si="7"/>
        <v>1.3874153575471635</v>
      </c>
      <c r="H13" s="70"/>
      <c r="I13" s="70"/>
      <c r="J13" s="70"/>
      <c r="K13" s="70"/>
      <c r="L13" s="70"/>
      <c r="M13" s="70"/>
      <c r="N13" s="70"/>
      <c r="O13" s="70"/>
      <c r="P13" s="69"/>
      <c r="Q13" s="307"/>
      <c r="R13" s="322" t="s">
        <v>352</v>
      </c>
      <c r="S13" s="314">
        <f t="shared" si="3"/>
        <v>200898.91034675206</v>
      </c>
      <c r="T13" s="314">
        <f>Data!DA12/T$4*100000*T$3</f>
        <v>0</v>
      </c>
      <c r="U13" s="314">
        <f>Data!DB12/U$4*100000*U$3</f>
        <v>0</v>
      </c>
      <c r="V13" s="314">
        <f>Data!DC12/V$4*100000*V$3</f>
        <v>9790.6205854791115</v>
      </c>
      <c r="W13" s="314">
        <f>Data!DD12/W$4*100000*W$3</f>
        <v>0</v>
      </c>
      <c r="X13" s="314">
        <f>Data!DE12/X$4*100000*X$3</f>
        <v>0</v>
      </c>
      <c r="Y13" s="314">
        <f>Data!DF12/Y$4*100000*Y$3</f>
        <v>0</v>
      </c>
      <c r="Z13" s="314">
        <f>Data!DG12/Z$4*100000*Z$3</f>
        <v>0</v>
      </c>
      <c r="AA13" s="314">
        <f>Data!DH12/AA$4*100000*AA$3</f>
        <v>0</v>
      </c>
      <c r="AB13" s="314">
        <f>Data!DI12/AB$4*100000*AB$3</f>
        <v>6455.6588460970934</v>
      </c>
      <c r="AC13" s="314">
        <f>Data!DJ12/AC$4*100000*AC$3</f>
        <v>6235.58022073954</v>
      </c>
      <c r="AD13" s="314">
        <f>Data!DK12/AD$4*100000*AD$3</f>
        <v>22202.310626184455</v>
      </c>
      <c r="AE13" s="314">
        <f>Data!DL12/AE$4*100000*AE$3</f>
        <v>11124.811109978029</v>
      </c>
      <c r="AF13" s="314">
        <f>Data!DM12/AF$4*100000*AF$3</f>
        <v>30328.763799587527</v>
      </c>
      <c r="AG13" s="314">
        <f>Data!DN12/AG$4*100000*AG$3</f>
        <v>19219.911828654484</v>
      </c>
      <c r="AH13" s="314">
        <f>Data!DO12/AH$4*100000*AH$3</f>
        <v>33308.906801678771</v>
      </c>
      <c r="AI13" s="314">
        <f>Data!DP12/AI$4*100000*AI$3</f>
        <v>29815.886898402365</v>
      </c>
      <c r="AJ13" s="314">
        <f>Data!DQ12/AJ$4*100000*AJ$3</f>
        <v>14803.849000740191</v>
      </c>
      <c r="AK13" s="314">
        <f>Data!DR12/AK$4*100000*AK$3</f>
        <v>17612.610629210514</v>
      </c>
      <c r="AL13" s="322" t="s">
        <v>352</v>
      </c>
      <c r="AM13" s="314">
        <f t="shared" si="4"/>
        <v>138741.53575471634</v>
      </c>
      <c r="AN13" s="314">
        <f>Data!DA12/AN$4*100000*AN$3</f>
        <v>0</v>
      </c>
      <c r="AO13" s="314">
        <f>Data!DB12/AO$4*100000*AO$3</f>
        <v>0</v>
      </c>
      <c r="AP13" s="314">
        <f>Data!DC12/AP$4*100000*AP$3</f>
        <v>12587.940752758857</v>
      </c>
      <c r="AQ13" s="314">
        <f>Data!DD12/AQ$4*100000*AQ$3</f>
        <v>0</v>
      </c>
      <c r="AR13" s="314">
        <f>Data!DE12/AR$4*100000*AR$3</f>
        <v>0</v>
      </c>
      <c r="AS13" s="314">
        <f>Data!DF12/AS$4*100000*AS$3</f>
        <v>0</v>
      </c>
      <c r="AT13" s="314">
        <f>Data!DG12/AT$4*100000*AT$3</f>
        <v>0</v>
      </c>
      <c r="AU13" s="314">
        <f>Data!DH12/AU$4*100000*AU$3</f>
        <v>0</v>
      </c>
      <c r="AV13" s="314">
        <f>Data!DI12/AV$4*100000*AV$3</f>
        <v>5533.4218680832228</v>
      </c>
      <c r="AW13" s="314">
        <f>Data!DJ12/AW$4*100000*AW$3</f>
        <v>5344.7830463481769</v>
      </c>
      <c r="AX13" s="314">
        <f>Data!DK12/AX$4*100000*AX$3</f>
        <v>15858.793304417466</v>
      </c>
      <c r="AY13" s="314">
        <f>Data!DL12/AY$4*100000*AY$3</f>
        <v>7416.540739985352</v>
      </c>
      <c r="AZ13" s="314">
        <f>Data!DM12/AZ$4*100000*AZ$3</f>
        <v>24263.011039670022</v>
      </c>
      <c r="BA13" s="314">
        <f>Data!DN12/BA$4*100000*BA$3</f>
        <v>14414.933871490864</v>
      </c>
      <c r="BB13" s="314">
        <f>Data!DO12/BB$4*100000*BB$3</f>
        <v>22205.937867785844</v>
      </c>
      <c r="BC13" s="314">
        <f>Data!DP12/BC$4*100000*BC$3</f>
        <v>14907.943449201182</v>
      </c>
      <c r="BD13" s="314">
        <f>Data!DQ12/BD$4*100000*BD$3</f>
        <v>7401.9245003700953</v>
      </c>
      <c r="BE13" s="314">
        <f>Data!DR12/BE$4*100000*BE$3</f>
        <v>8806.3053146052571</v>
      </c>
    </row>
    <row r="14" spans="1:57" ht="12" customHeight="1">
      <c r="A14" s="64"/>
      <c r="B14" s="123" t="str">
        <f>UPPER(LEFT(TRIM(Data!B13),1)) &amp; MID(TRIM(Data!B13),2,50)</f>
        <v>Tulžies pūslės, ekstrahepatinių takų</v>
      </c>
      <c r="C14" s="123" t="str">
        <f>UPPER(LEFT(TRIM(Data!C13),1)) &amp; MID(TRIM(Data!C13),2,50)</f>
        <v>C23, C24</v>
      </c>
      <c r="D14" s="136">
        <f>Data!BR13</f>
        <v>65</v>
      </c>
      <c r="E14" s="137">
        <f t="shared" si="5"/>
        <v>4.0746066750833414</v>
      </c>
      <c r="F14" s="127">
        <f t="shared" si="6"/>
        <v>2.1349029511139421</v>
      </c>
      <c r="G14" s="127">
        <f t="shared" si="7"/>
        <v>1.3751936413915939</v>
      </c>
      <c r="H14" s="70"/>
      <c r="I14" s="70"/>
      <c r="J14" s="70"/>
      <c r="K14" s="70"/>
      <c r="L14" s="70"/>
      <c r="M14" s="70"/>
      <c r="N14" s="70"/>
      <c r="O14" s="70"/>
      <c r="P14" s="69"/>
      <c r="Q14" s="307"/>
      <c r="R14" s="322" t="s">
        <v>352</v>
      </c>
      <c r="S14" s="314">
        <f t="shared" si="3"/>
        <v>213490.2951113942</v>
      </c>
      <c r="T14" s="314">
        <f>Data!DA13/T$4*100000*T$3</f>
        <v>0</v>
      </c>
      <c r="U14" s="314">
        <f>Data!DB13/U$4*100000*U$3</f>
        <v>0</v>
      </c>
      <c r="V14" s="314">
        <f>Data!DC13/V$4*100000*V$3</f>
        <v>0</v>
      </c>
      <c r="W14" s="314">
        <f>Data!DD13/W$4*100000*W$3</f>
        <v>0</v>
      </c>
      <c r="X14" s="314">
        <f>Data!DE13/X$4*100000*X$3</f>
        <v>0</v>
      </c>
      <c r="Y14" s="314">
        <f>Data!DF13/Y$4*100000*Y$3</f>
        <v>0</v>
      </c>
      <c r="Z14" s="314">
        <f>Data!DG13/Z$4*100000*Z$3</f>
        <v>0</v>
      </c>
      <c r="AA14" s="314">
        <f>Data!DH13/AA$4*100000*AA$3</f>
        <v>0</v>
      </c>
      <c r="AB14" s="314">
        <f>Data!DI13/AB$4*100000*AB$3</f>
        <v>0</v>
      </c>
      <c r="AC14" s="314">
        <f>Data!DJ13/AC$4*100000*AC$3</f>
        <v>0</v>
      </c>
      <c r="AD14" s="314">
        <f>Data!DK13/AD$4*100000*AD$3</f>
        <v>16651.732969638342</v>
      </c>
      <c r="AE14" s="314">
        <f>Data!DL13/AE$4*100000*AE$3</f>
        <v>16687.216664967043</v>
      </c>
      <c r="AF14" s="314">
        <f>Data!DM13/AF$4*100000*AF$3</f>
        <v>15164.381899793763</v>
      </c>
      <c r="AG14" s="314">
        <f>Data!DN13/AG$4*100000*AG$3</f>
        <v>52854.757528799833</v>
      </c>
      <c r="AH14" s="314">
        <f>Data!DO13/AH$4*100000*AH$3</f>
        <v>39970.688162014521</v>
      </c>
      <c r="AI14" s="314">
        <f>Data!DP13/AI$4*100000*AI$3</f>
        <v>34785.201381469422</v>
      </c>
      <c r="AJ14" s="314">
        <f>Data!DQ13/AJ$4*100000*AJ$3</f>
        <v>13158.976889546839</v>
      </c>
      <c r="AK14" s="314">
        <f>Data!DR13/AK$4*100000*AK$3</f>
        <v>24217.339615164456</v>
      </c>
      <c r="AL14" s="322" t="s">
        <v>352</v>
      </c>
      <c r="AM14" s="314">
        <f t="shared" si="4"/>
        <v>137519.36413915938</v>
      </c>
      <c r="AN14" s="314">
        <f>Data!DA13/AN$4*100000*AN$3</f>
        <v>0</v>
      </c>
      <c r="AO14" s="314">
        <f>Data!DB13/AO$4*100000*AO$3</f>
        <v>0</v>
      </c>
      <c r="AP14" s="314">
        <f>Data!DC13/AP$4*100000*AP$3</f>
        <v>0</v>
      </c>
      <c r="AQ14" s="314">
        <f>Data!DD13/AQ$4*100000*AQ$3</f>
        <v>0</v>
      </c>
      <c r="AR14" s="314">
        <f>Data!DE13/AR$4*100000*AR$3</f>
        <v>0</v>
      </c>
      <c r="AS14" s="314">
        <f>Data!DF13/AS$4*100000*AS$3</f>
        <v>0</v>
      </c>
      <c r="AT14" s="314">
        <f>Data!DG13/AT$4*100000*AT$3</f>
        <v>0</v>
      </c>
      <c r="AU14" s="314">
        <f>Data!DH13/AU$4*100000*AU$3</f>
        <v>0</v>
      </c>
      <c r="AV14" s="314">
        <f>Data!DI13/AV$4*100000*AV$3</f>
        <v>0</v>
      </c>
      <c r="AW14" s="314">
        <f>Data!DJ13/AW$4*100000*AW$3</f>
        <v>0</v>
      </c>
      <c r="AX14" s="314">
        <f>Data!DK13/AX$4*100000*AX$3</f>
        <v>11894.094978313102</v>
      </c>
      <c r="AY14" s="314">
        <f>Data!DL13/AY$4*100000*AY$3</f>
        <v>11124.811109978027</v>
      </c>
      <c r="AZ14" s="314">
        <f>Data!DM13/AZ$4*100000*AZ$3</f>
        <v>12131.505519835011</v>
      </c>
      <c r="BA14" s="314">
        <f>Data!DN13/BA$4*100000*BA$3</f>
        <v>39641.068146599871</v>
      </c>
      <c r="BB14" s="314">
        <f>Data!DO13/BB$4*100000*BB$3</f>
        <v>26647.125441343014</v>
      </c>
      <c r="BC14" s="314">
        <f>Data!DP13/BC$4*100000*BC$3</f>
        <v>17392.600690734711</v>
      </c>
      <c r="BD14" s="314">
        <f>Data!DQ13/BD$4*100000*BD$3</f>
        <v>6579.4884447734194</v>
      </c>
      <c r="BE14" s="314">
        <f>Data!DR13/BE$4*100000*BE$3</f>
        <v>12108.669807582228</v>
      </c>
    </row>
    <row r="15" spans="1:57" ht="12" customHeight="1">
      <c r="A15" s="64"/>
      <c r="B15" s="145" t="str">
        <f>UPPER(LEFT(TRIM(Data!B14),1)) &amp; MID(TRIM(Data!B14),2,50)</f>
        <v>Kasos</v>
      </c>
      <c r="C15" s="139" t="str">
        <f>UPPER(LEFT(TRIM(Data!C14),1)) &amp; MID(TRIM(Data!C14),2,50)</f>
        <v>C25</v>
      </c>
      <c r="D15" s="146">
        <f>Data!BR14</f>
        <v>213</v>
      </c>
      <c r="E15" s="147">
        <f t="shared" si="5"/>
        <v>13.352172642965412</v>
      </c>
      <c r="F15" s="148">
        <f t="shared" si="6"/>
        <v>6.9376715841004488</v>
      </c>
      <c r="G15" s="148">
        <f t="shared" si="7"/>
        <v>4.5380605911914174</v>
      </c>
      <c r="H15" s="70"/>
      <c r="I15" s="70"/>
      <c r="J15" s="70"/>
      <c r="K15" s="70"/>
      <c r="L15" s="70"/>
      <c r="M15" s="70"/>
      <c r="N15" s="70"/>
      <c r="O15" s="70"/>
      <c r="P15" s="69"/>
      <c r="Q15" s="307"/>
      <c r="R15" s="322" t="s">
        <v>352</v>
      </c>
      <c r="S15" s="314">
        <f t="shared" si="3"/>
        <v>693767.15841004485</v>
      </c>
      <c r="T15" s="314">
        <f>Data!DA14/T$4*100000*T$3</f>
        <v>0</v>
      </c>
      <c r="U15" s="314">
        <f>Data!DB14/U$4*100000*U$3</f>
        <v>0</v>
      </c>
      <c r="V15" s="314">
        <f>Data!DC14/V$4*100000*V$3</f>
        <v>0</v>
      </c>
      <c r="W15" s="314">
        <f>Data!DD14/W$4*100000*W$3</f>
        <v>0</v>
      </c>
      <c r="X15" s="314">
        <f>Data!DE14/X$4*100000*X$3</f>
        <v>0</v>
      </c>
      <c r="Y15" s="314">
        <f>Data!DF14/Y$4*100000*Y$3</f>
        <v>0</v>
      </c>
      <c r="Z15" s="314">
        <f>Data!DG14/Z$4*100000*Z$3</f>
        <v>8010.344788126381</v>
      </c>
      <c r="AA15" s="314">
        <f>Data!DH14/AA$4*100000*AA$3</f>
        <v>0</v>
      </c>
      <c r="AB15" s="314">
        <f>Data!DI14/AB$4*100000*AB$3</f>
        <v>12911.317692194187</v>
      </c>
      <c r="AC15" s="314">
        <f>Data!DJ14/AC$4*100000*AC$3</f>
        <v>6235.58022073954</v>
      </c>
      <c r="AD15" s="314">
        <f>Data!DK14/AD$4*100000*AD$3</f>
        <v>27752.888282730564</v>
      </c>
      <c r="AE15" s="314">
        <f>Data!DL14/AE$4*100000*AE$3</f>
        <v>83436.083324835199</v>
      </c>
      <c r="AF15" s="314">
        <f>Data!DM14/AF$4*100000*AF$3</f>
        <v>85931.497432164659</v>
      </c>
      <c r="AG15" s="314">
        <f>Data!DN14/AG$4*100000*AG$3</f>
        <v>115319.47097192692</v>
      </c>
      <c r="AH15" s="314">
        <f>Data!DO14/AH$4*100000*AH$3</f>
        <v>136566.51788688297</v>
      </c>
      <c r="AI15" s="314">
        <f>Data!DP14/AI$4*100000*AI$3</f>
        <v>67085.745521405333</v>
      </c>
      <c r="AJ15" s="314">
        <f>Data!DQ14/AJ$4*100000*AJ$3</f>
        <v>75664.11711489431</v>
      </c>
      <c r="AK15" s="314">
        <f>Data!DR14/AK$4*100000*AK$3</f>
        <v>74853.595174144692</v>
      </c>
      <c r="AL15" s="322" t="s">
        <v>352</v>
      </c>
      <c r="AM15" s="314">
        <f t="shared" si="4"/>
        <v>453806.05911914172</v>
      </c>
      <c r="AN15" s="314">
        <f>Data!DA14/AN$4*100000*AN$3</f>
        <v>0</v>
      </c>
      <c r="AO15" s="314">
        <f>Data!DB14/AO$4*100000*AO$3</f>
        <v>0</v>
      </c>
      <c r="AP15" s="314">
        <f>Data!DC14/AP$4*100000*AP$3</f>
        <v>0</v>
      </c>
      <c r="AQ15" s="314">
        <f>Data!DD14/AQ$4*100000*AQ$3</f>
        <v>0</v>
      </c>
      <c r="AR15" s="314">
        <f>Data!DE14/AR$4*100000*AR$3</f>
        <v>0</v>
      </c>
      <c r="AS15" s="314">
        <f>Data!DF14/AS$4*100000*AS$3</f>
        <v>0</v>
      </c>
      <c r="AT15" s="314">
        <f>Data!DG14/AT$4*100000*AT$3</f>
        <v>6866.0098183940408</v>
      </c>
      <c r="AU15" s="314">
        <f>Data!DH14/AU$4*100000*AU$3</f>
        <v>0</v>
      </c>
      <c r="AV15" s="314">
        <f>Data!DI14/AV$4*100000*AV$3</f>
        <v>11066.843736166446</v>
      </c>
      <c r="AW15" s="314">
        <f>Data!DJ14/AW$4*100000*AW$3</f>
        <v>5344.7830463481769</v>
      </c>
      <c r="AX15" s="314">
        <f>Data!DK14/AX$4*100000*AX$3</f>
        <v>19823.491630521832</v>
      </c>
      <c r="AY15" s="314">
        <f>Data!DL14/AY$4*100000*AY$3</f>
        <v>55624.055549890138</v>
      </c>
      <c r="AZ15" s="314">
        <f>Data!DM14/AZ$4*100000*AZ$3</f>
        <v>68745.197945731736</v>
      </c>
      <c r="BA15" s="314">
        <f>Data!DN14/BA$4*100000*BA$3</f>
        <v>86489.603228945183</v>
      </c>
      <c r="BB15" s="314">
        <f>Data!DO14/BB$4*100000*BB$3</f>
        <v>91044.345257921974</v>
      </c>
      <c r="BC15" s="314">
        <f>Data!DP14/BC$4*100000*BC$3</f>
        <v>33542.872760702667</v>
      </c>
      <c r="BD15" s="314">
        <f>Data!DQ14/BD$4*100000*BD$3</f>
        <v>37832.058557447155</v>
      </c>
      <c r="BE15" s="314">
        <f>Data!DR14/BE$4*100000*BE$3</f>
        <v>37426.797587072346</v>
      </c>
    </row>
    <row r="16" spans="1:57" ht="12" customHeight="1">
      <c r="A16" s="64"/>
      <c r="B16" s="123" t="str">
        <f>UPPER(LEFT(TRIM(Data!B15),1)) &amp; MID(TRIM(Data!B15),2,50)</f>
        <v>Kitų virškinimo sistemos organų</v>
      </c>
      <c r="C16" s="123" t="str">
        <f>UPPER(LEFT(TRIM(Data!C15),1)) &amp; MID(TRIM(Data!C15),2,50)</f>
        <v>C17, C26, C48</v>
      </c>
      <c r="D16" s="136">
        <f>Data!BR15</f>
        <v>46</v>
      </c>
      <c r="E16" s="137">
        <f t="shared" si="5"/>
        <v>2.8835678008282106</v>
      </c>
      <c r="F16" s="127">
        <f t="shared" si="6"/>
        <v>1.7145539796998128</v>
      </c>
      <c r="G16" s="127">
        <f t="shared" si="7"/>
        <v>1.2378909887620093</v>
      </c>
      <c r="H16" s="70"/>
      <c r="I16" s="70"/>
      <c r="J16" s="70"/>
      <c r="K16" s="70"/>
      <c r="L16" s="70"/>
      <c r="M16" s="70"/>
      <c r="N16" s="70"/>
      <c r="O16" s="70"/>
      <c r="P16" s="69"/>
      <c r="Q16" s="307"/>
      <c r="R16" s="322" t="s">
        <v>352</v>
      </c>
      <c r="S16" s="314">
        <f t="shared" si="3"/>
        <v>171455.39796998128</v>
      </c>
      <c r="T16" s="314">
        <f>Data!DA15/T$4*100000*T$3</f>
        <v>10867.793294571538</v>
      </c>
      <c r="U16" s="314">
        <f>Data!DB15/U$4*100000*U$3</f>
        <v>0</v>
      </c>
      <c r="V16" s="314">
        <f>Data!DC15/V$4*100000*V$3</f>
        <v>0</v>
      </c>
      <c r="W16" s="314">
        <f>Data!DD15/W$4*100000*W$3</f>
        <v>0</v>
      </c>
      <c r="X16" s="314">
        <f>Data!DE15/X$4*100000*X$3</f>
        <v>0</v>
      </c>
      <c r="Y16" s="314">
        <f>Data!DF15/Y$4*100000*Y$3</f>
        <v>0</v>
      </c>
      <c r="Z16" s="314">
        <f>Data!DG15/Z$4*100000*Z$3</f>
        <v>0</v>
      </c>
      <c r="AA16" s="314">
        <f>Data!DH15/AA$4*100000*AA$3</f>
        <v>7342.4519593857522</v>
      </c>
      <c r="AB16" s="314">
        <f>Data!DI15/AB$4*100000*AB$3</f>
        <v>0</v>
      </c>
      <c r="AC16" s="314">
        <f>Data!DJ15/AC$4*100000*AC$3</f>
        <v>12471.16044147908</v>
      </c>
      <c r="AD16" s="314">
        <f>Data!DK15/AD$4*100000*AD$3</f>
        <v>5550.5776565461138</v>
      </c>
      <c r="AE16" s="314">
        <f>Data!DL15/AE$4*100000*AE$3</f>
        <v>27812.027774945076</v>
      </c>
      <c r="AF16" s="314">
        <f>Data!DM15/AF$4*100000*AF$3</f>
        <v>20219.175866391684</v>
      </c>
      <c r="AG16" s="314">
        <f>Data!DN15/AG$4*100000*AG$3</f>
        <v>24024.889785818108</v>
      </c>
      <c r="AH16" s="314">
        <f>Data!DO15/AH$4*100000*AH$3</f>
        <v>13323.562720671507</v>
      </c>
      <c r="AI16" s="314">
        <f>Data!DP15/AI$4*100000*AI$3</f>
        <v>22361.915173801772</v>
      </c>
      <c r="AJ16" s="314">
        <f>Data!DQ15/AJ$4*100000*AJ$3</f>
        <v>9869.2326671601277</v>
      </c>
      <c r="AK16" s="314">
        <f>Data!DR15/AK$4*100000*AK$3</f>
        <v>17612.610629210514</v>
      </c>
      <c r="AL16" s="322" t="s">
        <v>352</v>
      </c>
      <c r="AM16" s="314">
        <f t="shared" si="4"/>
        <v>123789.09887620094</v>
      </c>
      <c r="AN16" s="314">
        <f>Data!DA15/AN$4*100000*AN$3</f>
        <v>16301.689941857307</v>
      </c>
      <c r="AO16" s="314">
        <f>Data!DB15/AO$4*100000*AO$3</f>
        <v>0</v>
      </c>
      <c r="AP16" s="314">
        <f>Data!DC15/AP$4*100000*AP$3</f>
        <v>0</v>
      </c>
      <c r="AQ16" s="314">
        <f>Data!DD15/AQ$4*100000*AQ$3</f>
        <v>0</v>
      </c>
      <c r="AR16" s="314">
        <f>Data!DE15/AR$4*100000*AR$3</f>
        <v>0</v>
      </c>
      <c r="AS16" s="314">
        <f>Data!DF15/AS$4*100000*AS$3</f>
        <v>0</v>
      </c>
      <c r="AT16" s="314">
        <f>Data!DG15/AT$4*100000*AT$3</f>
        <v>0</v>
      </c>
      <c r="AU16" s="314">
        <f>Data!DH15/AU$4*100000*AU$3</f>
        <v>6293.530250902073</v>
      </c>
      <c r="AV16" s="314">
        <f>Data!DI15/AV$4*100000*AV$3</f>
        <v>0</v>
      </c>
      <c r="AW16" s="314">
        <f>Data!DJ15/AW$4*100000*AW$3</f>
        <v>10689.566092696354</v>
      </c>
      <c r="AX16" s="314">
        <f>Data!DK15/AX$4*100000*AX$3</f>
        <v>3964.6983261043665</v>
      </c>
      <c r="AY16" s="314">
        <f>Data!DL15/AY$4*100000*AY$3</f>
        <v>18541.351849963383</v>
      </c>
      <c r="AZ16" s="314">
        <f>Data!DM15/AZ$4*100000*AZ$3</f>
        <v>16175.340693113349</v>
      </c>
      <c r="BA16" s="314">
        <f>Data!DN15/BA$4*100000*BA$3</f>
        <v>18018.667339363579</v>
      </c>
      <c r="BB16" s="314">
        <f>Data!DO15/BB$4*100000*BB$3</f>
        <v>8882.3751471143387</v>
      </c>
      <c r="BC16" s="314">
        <f>Data!DP15/BC$4*100000*BC$3</f>
        <v>11180.957586900886</v>
      </c>
      <c r="BD16" s="314">
        <f>Data!DQ15/BD$4*100000*BD$3</f>
        <v>4934.6163335800638</v>
      </c>
      <c r="BE16" s="314">
        <f>Data!DR15/BE$4*100000*BE$3</f>
        <v>8806.3053146052571</v>
      </c>
    </row>
    <row r="17" spans="1:57" ht="12" customHeight="1">
      <c r="A17" s="64"/>
      <c r="B17" s="145" t="str">
        <f>UPPER(LEFT(TRIM(Data!B16),1)) &amp; MID(TRIM(Data!B16),2,50)</f>
        <v>Nosies ertmės, vid.ausies ir ančių</v>
      </c>
      <c r="C17" s="139" t="str">
        <f>UPPER(LEFT(TRIM(Data!C16),1)) &amp; MID(TRIM(Data!C16),2,50)</f>
        <v>C30, C31</v>
      </c>
      <c r="D17" s="146">
        <f>Data!BR16</f>
        <v>8</v>
      </c>
      <c r="E17" s="147">
        <f t="shared" si="5"/>
        <v>0.50149005231794963</v>
      </c>
      <c r="F17" s="148">
        <f t="shared" si="6"/>
        <v>0.28541755078728986</v>
      </c>
      <c r="G17" s="148">
        <f t="shared" si="7"/>
        <v>0.20261391344599705</v>
      </c>
      <c r="H17" s="70"/>
      <c r="I17" s="70"/>
      <c r="J17" s="70"/>
      <c r="K17" s="70"/>
      <c r="L17" s="70"/>
      <c r="M17" s="70"/>
      <c r="N17" s="70"/>
      <c r="O17" s="70"/>
      <c r="P17" s="69"/>
      <c r="Q17" s="307"/>
      <c r="R17" s="322" t="s">
        <v>352</v>
      </c>
      <c r="S17" s="314">
        <f t="shared" si="3"/>
        <v>28541.755078728984</v>
      </c>
      <c r="T17" s="314">
        <f>Data!DA16/T$4*100000*T$3</f>
        <v>0</v>
      </c>
      <c r="U17" s="314">
        <f>Data!DB16/U$4*100000*U$3</f>
        <v>0</v>
      </c>
      <c r="V17" s="314">
        <f>Data!DC16/V$4*100000*V$3</f>
        <v>0</v>
      </c>
      <c r="W17" s="314">
        <f>Data!DD16/W$4*100000*W$3</f>
        <v>0</v>
      </c>
      <c r="X17" s="314">
        <f>Data!DE16/X$4*100000*X$3</f>
        <v>0</v>
      </c>
      <c r="Y17" s="314">
        <f>Data!DF16/Y$4*100000*Y$3</f>
        <v>0</v>
      </c>
      <c r="Z17" s="314">
        <f>Data!DG16/Z$4*100000*Z$3</f>
        <v>0</v>
      </c>
      <c r="AA17" s="314">
        <f>Data!DH16/AA$4*100000*AA$3</f>
        <v>0</v>
      </c>
      <c r="AB17" s="314">
        <f>Data!DI16/AB$4*100000*AB$3</f>
        <v>0</v>
      </c>
      <c r="AC17" s="314">
        <f>Data!DJ16/AC$4*100000*AC$3</f>
        <v>0</v>
      </c>
      <c r="AD17" s="314">
        <f>Data!DK16/AD$4*100000*AD$3</f>
        <v>0</v>
      </c>
      <c r="AE17" s="314">
        <f>Data!DL16/AE$4*100000*AE$3</f>
        <v>0</v>
      </c>
      <c r="AF17" s="314">
        <f>Data!DM16/AF$4*100000*AF$3</f>
        <v>10109.587933195842</v>
      </c>
      <c r="AG17" s="314">
        <f>Data!DN16/AG$4*100000*AG$3</f>
        <v>9609.9559143272418</v>
      </c>
      <c r="AH17" s="314">
        <f>Data!DO16/AH$4*100000*AH$3</f>
        <v>3330.8906801678768</v>
      </c>
      <c r="AI17" s="314">
        <f>Data!DP16/AI$4*100000*AI$3</f>
        <v>0</v>
      </c>
      <c r="AJ17" s="314">
        <f>Data!DQ16/AJ$4*100000*AJ$3</f>
        <v>3289.7442223867097</v>
      </c>
      <c r="AK17" s="314">
        <f>Data!DR16/AK$4*100000*AK$3</f>
        <v>2201.5763286513143</v>
      </c>
      <c r="AL17" s="322" t="s">
        <v>352</v>
      </c>
      <c r="AM17" s="314">
        <f t="shared" si="4"/>
        <v>20261.391344599706</v>
      </c>
      <c r="AN17" s="314">
        <f>Data!DA16/AN$4*100000*AN$3</f>
        <v>0</v>
      </c>
      <c r="AO17" s="314">
        <f>Data!DB16/AO$4*100000*AO$3</f>
        <v>0</v>
      </c>
      <c r="AP17" s="314">
        <f>Data!DC16/AP$4*100000*AP$3</f>
        <v>0</v>
      </c>
      <c r="AQ17" s="314">
        <f>Data!DD16/AQ$4*100000*AQ$3</f>
        <v>0</v>
      </c>
      <c r="AR17" s="314">
        <f>Data!DE16/AR$4*100000*AR$3</f>
        <v>0</v>
      </c>
      <c r="AS17" s="314">
        <f>Data!DF16/AS$4*100000*AS$3</f>
        <v>0</v>
      </c>
      <c r="AT17" s="314">
        <f>Data!DG16/AT$4*100000*AT$3</f>
        <v>0</v>
      </c>
      <c r="AU17" s="314">
        <f>Data!DH16/AU$4*100000*AU$3</f>
        <v>0</v>
      </c>
      <c r="AV17" s="314">
        <f>Data!DI16/AV$4*100000*AV$3</f>
        <v>0</v>
      </c>
      <c r="AW17" s="314">
        <f>Data!DJ16/AW$4*100000*AW$3</f>
        <v>0</v>
      </c>
      <c r="AX17" s="314">
        <f>Data!DK16/AX$4*100000*AX$3</f>
        <v>0</v>
      </c>
      <c r="AY17" s="314">
        <f>Data!DL16/AY$4*100000*AY$3</f>
        <v>0</v>
      </c>
      <c r="AZ17" s="314">
        <f>Data!DM16/AZ$4*100000*AZ$3</f>
        <v>8087.6703465566743</v>
      </c>
      <c r="BA17" s="314">
        <f>Data!DN16/BA$4*100000*BA$3</f>
        <v>7207.4669357454322</v>
      </c>
      <c r="BB17" s="314">
        <f>Data!DO16/BB$4*100000*BB$3</f>
        <v>2220.5937867785847</v>
      </c>
      <c r="BC17" s="314">
        <f>Data!DP16/BC$4*100000*BC$3</f>
        <v>0</v>
      </c>
      <c r="BD17" s="314">
        <f>Data!DQ16/BD$4*100000*BD$3</f>
        <v>1644.8721111933548</v>
      </c>
      <c r="BE17" s="314">
        <f>Data!DR16/BE$4*100000*BE$3</f>
        <v>1100.7881643256571</v>
      </c>
    </row>
    <row r="18" spans="1:57" ht="12" customHeight="1">
      <c r="A18" s="64"/>
      <c r="B18" s="123" t="str">
        <f>UPPER(LEFT(TRIM(Data!B17),1)) &amp; MID(TRIM(Data!B17),2,50)</f>
        <v>Gerklų</v>
      </c>
      <c r="C18" s="123" t="str">
        <f>UPPER(LEFT(TRIM(Data!C17),1)) &amp; MID(TRIM(Data!C17),2,50)</f>
        <v>C32</v>
      </c>
      <c r="D18" s="136">
        <f>Data!BR17</f>
        <v>9</v>
      </c>
      <c r="E18" s="137">
        <f t="shared" si="5"/>
        <v>0.56417630885769343</v>
      </c>
      <c r="F18" s="127">
        <f t="shared" si="6"/>
        <v>0.49041994549465207</v>
      </c>
      <c r="G18" s="127">
        <f t="shared" si="7"/>
        <v>0.37453843477977855</v>
      </c>
      <c r="H18" s="70"/>
      <c r="I18" s="70"/>
      <c r="J18" s="70"/>
      <c r="K18" s="70"/>
      <c r="L18" s="70"/>
      <c r="M18" s="70"/>
      <c r="N18" s="70"/>
      <c r="O18" s="70"/>
      <c r="P18" s="69"/>
      <c r="Q18" s="307"/>
      <c r="R18" s="322" t="s">
        <v>352</v>
      </c>
      <c r="S18" s="314">
        <f t="shared" si="3"/>
        <v>49041.994549465206</v>
      </c>
      <c r="T18" s="314">
        <f>Data!DA17/T$4*100000*T$3</f>
        <v>0</v>
      </c>
      <c r="U18" s="314">
        <f>Data!DB17/U$4*100000*U$3</f>
        <v>0</v>
      </c>
      <c r="V18" s="314">
        <f>Data!DC17/V$4*100000*V$3</f>
        <v>0</v>
      </c>
      <c r="W18" s="314">
        <f>Data!DD17/W$4*100000*W$3</f>
        <v>0</v>
      </c>
      <c r="X18" s="314">
        <f>Data!DE17/X$4*100000*X$3</f>
        <v>0</v>
      </c>
      <c r="Y18" s="314">
        <f>Data!DF17/Y$4*100000*Y$3</f>
        <v>0</v>
      </c>
      <c r="Z18" s="314">
        <f>Data!DG17/Z$4*100000*Z$3</f>
        <v>0</v>
      </c>
      <c r="AA18" s="314">
        <f>Data!DH17/AA$4*100000*AA$3</f>
        <v>7342.4519593857522</v>
      </c>
      <c r="AB18" s="314">
        <f>Data!DI17/AB$4*100000*AB$3</f>
        <v>0</v>
      </c>
      <c r="AC18" s="314">
        <f>Data!DJ17/AC$4*100000*AC$3</f>
        <v>0</v>
      </c>
      <c r="AD18" s="314">
        <f>Data!DK17/AD$4*100000*AD$3</f>
        <v>5550.5776565461138</v>
      </c>
      <c r="AE18" s="314">
        <f>Data!DL17/AE$4*100000*AE$3</f>
        <v>11124.811109978029</v>
      </c>
      <c r="AF18" s="314">
        <f>Data!DM17/AF$4*100000*AF$3</f>
        <v>20219.175866391684</v>
      </c>
      <c r="AG18" s="314">
        <f>Data!DN17/AG$4*100000*AG$3</f>
        <v>4804.9779571636209</v>
      </c>
      <c r="AH18" s="314">
        <f>Data!DO17/AH$4*100000*AH$3</f>
        <v>0</v>
      </c>
      <c r="AI18" s="314">
        <f>Data!DP17/AI$4*100000*AI$3</f>
        <v>0</v>
      </c>
      <c r="AJ18" s="314">
        <f>Data!DQ17/AJ$4*100000*AJ$3</f>
        <v>0</v>
      </c>
      <c r="AK18" s="314">
        <f>Data!DR17/AK$4*100000*AK$3</f>
        <v>0</v>
      </c>
      <c r="AL18" s="322" t="s">
        <v>352</v>
      </c>
      <c r="AM18" s="314">
        <f t="shared" si="4"/>
        <v>37453.843477977854</v>
      </c>
      <c r="AN18" s="314">
        <f>Data!DA17/AN$4*100000*AN$3</f>
        <v>0</v>
      </c>
      <c r="AO18" s="314">
        <f>Data!DB17/AO$4*100000*AO$3</f>
        <v>0</v>
      </c>
      <c r="AP18" s="314">
        <f>Data!DC17/AP$4*100000*AP$3</f>
        <v>0</v>
      </c>
      <c r="AQ18" s="314">
        <f>Data!DD17/AQ$4*100000*AQ$3</f>
        <v>0</v>
      </c>
      <c r="AR18" s="314">
        <f>Data!DE17/AR$4*100000*AR$3</f>
        <v>0</v>
      </c>
      <c r="AS18" s="314">
        <f>Data!DF17/AS$4*100000*AS$3</f>
        <v>0</v>
      </c>
      <c r="AT18" s="314">
        <f>Data!DG17/AT$4*100000*AT$3</f>
        <v>0</v>
      </c>
      <c r="AU18" s="314">
        <f>Data!DH17/AU$4*100000*AU$3</f>
        <v>6293.530250902073</v>
      </c>
      <c r="AV18" s="314">
        <f>Data!DI17/AV$4*100000*AV$3</f>
        <v>0</v>
      </c>
      <c r="AW18" s="314">
        <f>Data!DJ17/AW$4*100000*AW$3</f>
        <v>0</v>
      </c>
      <c r="AX18" s="314">
        <f>Data!DK17/AX$4*100000*AX$3</f>
        <v>3964.6983261043665</v>
      </c>
      <c r="AY18" s="314">
        <f>Data!DL17/AY$4*100000*AY$3</f>
        <v>7416.540739985352</v>
      </c>
      <c r="AZ18" s="314">
        <f>Data!DM17/AZ$4*100000*AZ$3</f>
        <v>16175.340693113349</v>
      </c>
      <c r="BA18" s="314">
        <f>Data!DN17/BA$4*100000*BA$3</f>
        <v>3603.7334678727161</v>
      </c>
      <c r="BB18" s="314">
        <f>Data!DO17/BB$4*100000*BB$3</f>
        <v>0</v>
      </c>
      <c r="BC18" s="314">
        <f>Data!DP17/BC$4*100000*BC$3</f>
        <v>0</v>
      </c>
      <c r="BD18" s="314">
        <f>Data!DQ17/BD$4*100000*BD$3</f>
        <v>0</v>
      </c>
      <c r="BE18" s="314">
        <f>Data!DR17/BE$4*100000*BE$3</f>
        <v>0</v>
      </c>
    </row>
    <row r="19" spans="1:57" ht="12" customHeight="1">
      <c r="A19" s="64"/>
      <c r="B19" s="145" t="str">
        <f>UPPER(LEFT(TRIM(Data!B18),1)) &amp; MID(TRIM(Data!B18),2,50)</f>
        <v>Plaučių, trachėjos, bronchų</v>
      </c>
      <c r="C19" s="139" t="str">
        <f>UPPER(LEFT(TRIM(Data!C18),1)) &amp; MID(TRIM(Data!C18),2,50)</f>
        <v>C33, C34</v>
      </c>
      <c r="D19" s="146">
        <f>Data!BR18</f>
        <v>250</v>
      </c>
      <c r="E19" s="147">
        <f t="shared" si="5"/>
        <v>15.671564134935929</v>
      </c>
      <c r="F19" s="148">
        <f t="shared" si="6"/>
        <v>9.3846777278494393</v>
      </c>
      <c r="G19" s="148">
        <f t="shared" si="7"/>
        <v>6.510877466474903</v>
      </c>
      <c r="H19" s="70"/>
      <c r="I19" s="70"/>
      <c r="J19" s="70"/>
      <c r="K19" s="70"/>
      <c r="L19" s="70"/>
      <c r="M19" s="70"/>
      <c r="N19" s="70"/>
      <c r="O19" s="70"/>
      <c r="P19" s="69"/>
      <c r="Q19" s="307"/>
      <c r="R19" s="322" t="s">
        <v>352</v>
      </c>
      <c r="S19" s="314">
        <f t="shared" si="3"/>
        <v>938467.77278494393</v>
      </c>
      <c r="T19" s="314">
        <f>Data!DA18/T$4*100000*T$3</f>
        <v>0</v>
      </c>
      <c r="U19" s="314">
        <f>Data!DB18/U$4*100000*U$3</f>
        <v>0</v>
      </c>
      <c r="V19" s="314">
        <f>Data!DC18/V$4*100000*V$3</f>
        <v>0</v>
      </c>
      <c r="W19" s="314">
        <f>Data!DD18/W$4*100000*W$3</f>
        <v>0</v>
      </c>
      <c r="X19" s="314">
        <f>Data!DE18/X$4*100000*X$3</f>
        <v>0</v>
      </c>
      <c r="Y19" s="314">
        <f>Data!DF18/Y$4*100000*Y$3</f>
        <v>7364.0026510409534</v>
      </c>
      <c r="Z19" s="314">
        <f>Data!DG18/Z$4*100000*Z$3</f>
        <v>0</v>
      </c>
      <c r="AA19" s="314">
        <f>Data!DH18/AA$4*100000*AA$3</f>
        <v>14684.903918771504</v>
      </c>
      <c r="AB19" s="314">
        <f>Data!DI18/AB$4*100000*AB$3</f>
        <v>12911.317692194187</v>
      </c>
      <c r="AC19" s="314">
        <f>Data!DJ18/AC$4*100000*AC$3</f>
        <v>62355.802207395405</v>
      </c>
      <c r="AD19" s="314">
        <f>Data!DK18/AD$4*100000*AD$3</f>
        <v>55505.776565461128</v>
      </c>
      <c r="AE19" s="314">
        <f>Data!DL18/AE$4*100000*AE$3</f>
        <v>116810.51665476929</v>
      </c>
      <c r="AF19" s="314">
        <f>Data!DM18/AF$4*100000*AF$3</f>
        <v>202191.75866391684</v>
      </c>
      <c r="AG19" s="314">
        <f>Data!DN18/AG$4*100000*AG$3</f>
        <v>129734.4048434178</v>
      </c>
      <c r="AH19" s="314">
        <f>Data!DO18/AH$4*100000*AH$3</f>
        <v>123242.95516621144</v>
      </c>
      <c r="AI19" s="314">
        <f>Data!DP18/AI$4*100000*AI$3</f>
        <v>99386.289661341216</v>
      </c>
      <c r="AJ19" s="314">
        <f>Data!DQ18/AJ$4*100000*AJ$3</f>
        <v>52635.907558187355</v>
      </c>
      <c r="AK19" s="314">
        <f>Data!DR18/AK$4*100000*AK$3</f>
        <v>61644.137202236801</v>
      </c>
      <c r="AL19" s="322" t="s">
        <v>352</v>
      </c>
      <c r="AM19" s="314">
        <f t="shared" si="4"/>
        <v>651087.7466474903</v>
      </c>
      <c r="AN19" s="314">
        <f>Data!DA18/AN$4*100000*AN$3</f>
        <v>0</v>
      </c>
      <c r="AO19" s="314">
        <f>Data!DB18/AO$4*100000*AO$3</f>
        <v>0</v>
      </c>
      <c r="AP19" s="314">
        <f>Data!DC18/AP$4*100000*AP$3</f>
        <v>0</v>
      </c>
      <c r="AQ19" s="314">
        <f>Data!DD18/AQ$4*100000*AQ$3</f>
        <v>0</v>
      </c>
      <c r="AR19" s="314">
        <f>Data!DE18/AR$4*100000*AR$3</f>
        <v>0</v>
      </c>
      <c r="AS19" s="314">
        <f>Data!DF18/AS$4*100000*AS$3</f>
        <v>8416.0030297610901</v>
      </c>
      <c r="AT19" s="314">
        <f>Data!DG18/AT$4*100000*AT$3</f>
        <v>0</v>
      </c>
      <c r="AU19" s="314">
        <f>Data!DH18/AU$4*100000*AU$3</f>
        <v>12587.060501804146</v>
      </c>
      <c r="AV19" s="314">
        <f>Data!DI18/AV$4*100000*AV$3</f>
        <v>11066.843736166446</v>
      </c>
      <c r="AW19" s="314">
        <f>Data!DJ18/AW$4*100000*AW$3</f>
        <v>53447.830463481776</v>
      </c>
      <c r="AX19" s="314">
        <f>Data!DK18/AX$4*100000*AX$3</f>
        <v>39646.983261043664</v>
      </c>
      <c r="AY19" s="314">
        <f>Data!DL18/AY$4*100000*AY$3</f>
        <v>77873.677769846196</v>
      </c>
      <c r="AZ19" s="314">
        <f>Data!DM18/AZ$4*100000*AZ$3</f>
        <v>161753.40693113348</v>
      </c>
      <c r="BA19" s="314">
        <f>Data!DN18/BA$4*100000*BA$3</f>
        <v>97300.803632563344</v>
      </c>
      <c r="BB19" s="314">
        <f>Data!DO18/BB$4*100000*BB$3</f>
        <v>82161.970110807626</v>
      </c>
      <c r="BC19" s="314">
        <f>Data!DP18/BC$4*100000*BC$3</f>
        <v>49693.144830670608</v>
      </c>
      <c r="BD19" s="314">
        <f>Data!DQ18/BD$4*100000*BD$3</f>
        <v>26317.953779093677</v>
      </c>
      <c r="BE19" s="314">
        <f>Data!DR18/BE$4*100000*BE$3</f>
        <v>30822.068601118401</v>
      </c>
    </row>
    <row r="20" spans="1:57" ht="12" customHeight="1">
      <c r="A20" s="64"/>
      <c r="B20" s="123" t="str">
        <f>UPPER(LEFT(TRIM(Data!B19),1)) &amp; MID(TRIM(Data!B19),2,50)</f>
        <v>Kitų kvėpavimo sistemos organų</v>
      </c>
      <c r="C20" s="123" t="str">
        <f>UPPER(LEFT(TRIM(Data!C19),1)) &amp; MID(TRIM(Data!C19),2,50)</f>
        <v>C37-C39</v>
      </c>
      <c r="D20" s="136">
        <f>Data!BR19</f>
        <v>9</v>
      </c>
      <c r="E20" s="137">
        <f t="shared" si="5"/>
        <v>0.56417630885769343</v>
      </c>
      <c r="F20" s="127">
        <f t="shared" si="6"/>
        <v>0.46399432790768841</v>
      </c>
      <c r="G20" s="127">
        <f t="shared" si="7"/>
        <v>0.35927884743590133</v>
      </c>
      <c r="H20" s="68"/>
      <c r="I20" s="68"/>
      <c r="J20" s="68"/>
      <c r="K20" s="68"/>
      <c r="L20" s="68"/>
      <c r="M20" s="68"/>
      <c r="N20" s="68"/>
      <c r="O20" s="68"/>
      <c r="P20" s="69"/>
      <c r="Q20" s="307"/>
      <c r="R20" s="322" t="s">
        <v>352</v>
      </c>
      <c r="S20" s="314">
        <f t="shared" si="3"/>
        <v>46399.432790768842</v>
      </c>
      <c r="T20" s="314">
        <f>Data!DA19/T$4*100000*T$3</f>
        <v>0</v>
      </c>
      <c r="U20" s="314">
        <f>Data!DB19/U$4*100000*U$3</f>
        <v>0</v>
      </c>
      <c r="V20" s="314">
        <f>Data!DC19/V$4*100000*V$3</f>
        <v>0</v>
      </c>
      <c r="W20" s="314">
        <f>Data!DD19/W$4*100000*W$3</f>
        <v>0</v>
      </c>
      <c r="X20" s="314">
        <f>Data!DE19/X$4*100000*X$3</f>
        <v>0</v>
      </c>
      <c r="Y20" s="314">
        <f>Data!DF19/Y$4*100000*Y$3</f>
        <v>0</v>
      </c>
      <c r="Z20" s="314">
        <f>Data!DG19/Z$4*100000*Z$3</f>
        <v>0</v>
      </c>
      <c r="AA20" s="314">
        <f>Data!DH19/AA$4*100000*AA$3</f>
        <v>7342.4519593857522</v>
      </c>
      <c r="AB20" s="314">
        <f>Data!DI19/AB$4*100000*AB$3</f>
        <v>0</v>
      </c>
      <c r="AC20" s="314">
        <f>Data!DJ19/AC$4*100000*AC$3</f>
        <v>6235.58022073954</v>
      </c>
      <c r="AD20" s="314">
        <f>Data!DK19/AD$4*100000*AD$3</f>
        <v>0</v>
      </c>
      <c r="AE20" s="314">
        <f>Data!DL19/AE$4*100000*AE$3</f>
        <v>5562.4055549890145</v>
      </c>
      <c r="AF20" s="314">
        <f>Data!DM19/AF$4*100000*AF$3</f>
        <v>15164.381899793763</v>
      </c>
      <c r="AG20" s="314">
        <f>Data!DN19/AG$4*100000*AG$3</f>
        <v>9609.9559143272418</v>
      </c>
      <c r="AH20" s="314">
        <f>Data!DO19/AH$4*100000*AH$3</f>
        <v>0</v>
      </c>
      <c r="AI20" s="314">
        <f>Data!DP19/AI$4*100000*AI$3</f>
        <v>2484.6572415335304</v>
      </c>
      <c r="AJ20" s="314">
        <f>Data!DQ19/AJ$4*100000*AJ$3</f>
        <v>0</v>
      </c>
      <c r="AK20" s="314">
        <f>Data!DR19/AK$4*100000*AK$3</f>
        <v>0</v>
      </c>
      <c r="AL20" s="322" t="s">
        <v>352</v>
      </c>
      <c r="AM20" s="314">
        <f t="shared" si="4"/>
        <v>35927.884743590133</v>
      </c>
      <c r="AN20" s="314">
        <f>Data!DA19/AN$4*100000*AN$3</f>
        <v>0</v>
      </c>
      <c r="AO20" s="314">
        <f>Data!DB19/AO$4*100000*AO$3</f>
        <v>0</v>
      </c>
      <c r="AP20" s="314">
        <f>Data!DC19/AP$4*100000*AP$3</f>
        <v>0</v>
      </c>
      <c r="AQ20" s="314">
        <f>Data!DD19/AQ$4*100000*AQ$3</f>
        <v>0</v>
      </c>
      <c r="AR20" s="314">
        <f>Data!DE19/AR$4*100000*AR$3</f>
        <v>0</v>
      </c>
      <c r="AS20" s="314">
        <f>Data!DF19/AS$4*100000*AS$3</f>
        <v>0</v>
      </c>
      <c r="AT20" s="314">
        <f>Data!DG19/AT$4*100000*AT$3</f>
        <v>0</v>
      </c>
      <c r="AU20" s="314">
        <f>Data!DH19/AU$4*100000*AU$3</f>
        <v>6293.530250902073</v>
      </c>
      <c r="AV20" s="314">
        <f>Data!DI19/AV$4*100000*AV$3</f>
        <v>0</v>
      </c>
      <c r="AW20" s="314">
        <f>Data!DJ19/AW$4*100000*AW$3</f>
        <v>5344.7830463481769</v>
      </c>
      <c r="AX20" s="314">
        <f>Data!DK19/AX$4*100000*AX$3</f>
        <v>0</v>
      </c>
      <c r="AY20" s="314">
        <f>Data!DL19/AY$4*100000*AY$3</f>
        <v>3708.270369992676</v>
      </c>
      <c r="AZ20" s="314">
        <f>Data!DM19/AZ$4*100000*AZ$3</f>
        <v>12131.505519835011</v>
      </c>
      <c r="BA20" s="314">
        <f>Data!DN19/BA$4*100000*BA$3</f>
        <v>7207.4669357454322</v>
      </c>
      <c r="BB20" s="314">
        <f>Data!DO19/BB$4*100000*BB$3</f>
        <v>0</v>
      </c>
      <c r="BC20" s="314">
        <f>Data!DP19/BC$4*100000*BC$3</f>
        <v>1242.3286207667652</v>
      </c>
      <c r="BD20" s="314">
        <f>Data!DQ19/BD$4*100000*BD$3</f>
        <v>0</v>
      </c>
      <c r="BE20" s="314">
        <f>Data!DR19/BE$4*100000*BE$3</f>
        <v>0</v>
      </c>
    </row>
    <row r="21" spans="1:57" ht="12" customHeight="1">
      <c r="A21" s="64"/>
      <c r="B21" s="145" t="str">
        <f>UPPER(LEFT(TRIM(Data!B20),1)) &amp; MID(TRIM(Data!B20),2,50)</f>
        <v>Kaulų ir jungiamojo audinio</v>
      </c>
      <c r="C21" s="139" t="str">
        <f>UPPER(LEFT(TRIM(Data!C20),1)) &amp; MID(TRIM(Data!C20),2,50)</f>
        <v>C40-C41, C45-C47, C49</v>
      </c>
      <c r="D21" s="146">
        <f>Data!BR20</f>
        <v>43</v>
      </c>
      <c r="E21" s="147">
        <f t="shared" si="5"/>
        <v>2.6955090312089798</v>
      </c>
      <c r="F21" s="148">
        <f t="shared" si="6"/>
        <v>1.9850546792807371</v>
      </c>
      <c r="G21" s="148">
        <f t="shared" si="7"/>
        <v>1.6661713427432689</v>
      </c>
      <c r="H21" s="68"/>
      <c r="I21" s="68"/>
      <c r="J21" s="68"/>
      <c r="K21" s="68"/>
      <c r="L21" s="68"/>
      <c r="M21" s="68"/>
      <c r="N21" s="68"/>
      <c r="O21" s="68"/>
      <c r="P21" s="69"/>
      <c r="Q21" s="307"/>
      <c r="R21" s="322" t="s">
        <v>352</v>
      </c>
      <c r="S21" s="314">
        <f t="shared" si="3"/>
        <v>198505.46792807372</v>
      </c>
      <c r="T21" s="314">
        <f>Data!DA20/T$4*100000*T$3</f>
        <v>0</v>
      </c>
      <c r="U21" s="314">
        <f>Data!DB20/U$4*100000*U$3</f>
        <v>10610.240397732439</v>
      </c>
      <c r="V21" s="314">
        <f>Data!DC20/V$4*100000*V$3</f>
        <v>9790.6205854791115</v>
      </c>
      <c r="W21" s="314">
        <f>Data!DD20/W$4*100000*W$3</f>
        <v>7878.8015217342372</v>
      </c>
      <c r="X21" s="314">
        <f>Data!DE20/X$4*100000*X$3</f>
        <v>20206.685526239824</v>
      </c>
      <c r="Y21" s="314">
        <f>Data!DF20/Y$4*100000*Y$3</f>
        <v>0</v>
      </c>
      <c r="Z21" s="314">
        <f>Data!DG20/Z$4*100000*Z$3</f>
        <v>0</v>
      </c>
      <c r="AA21" s="314">
        <f>Data!DH20/AA$4*100000*AA$3</f>
        <v>0</v>
      </c>
      <c r="AB21" s="314">
        <f>Data!DI20/AB$4*100000*AB$3</f>
        <v>6455.6588460970934</v>
      </c>
      <c r="AC21" s="314">
        <f>Data!DJ20/AC$4*100000*AC$3</f>
        <v>12471.16044147908</v>
      </c>
      <c r="AD21" s="314">
        <f>Data!DK20/AD$4*100000*AD$3</f>
        <v>33303.465939276684</v>
      </c>
      <c r="AE21" s="314">
        <f>Data!DL20/AE$4*100000*AE$3</f>
        <v>16687.216664967043</v>
      </c>
      <c r="AF21" s="314">
        <f>Data!DM20/AF$4*100000*AF$3</f>
        <v>25273.969832989605</v>
      </c>
      <c r="AG21" s="314">
        <f>Data!DN20/AG$4*100000*AG$3</f>
        <v>14414.933871490864</v>
      </c>
      <c r="AH21" s="314">
        <f>Data!DO20/AH$4*100000*AH$3</f>
        <v>16654.453400839386</v>
      </c>
      <c r="AI21" s="314">
        <f>Data!DP20/AI$4*100000*AI$3</f>
        <v>4969.3144830670608</v>
      </c>
      <c r="AJ21" s="314">
        <f>Data!DQ20/AJ$4*100000*AJ$3</f>
        <v>6579.4884447734194</v>
      </c>
      <c r="AK21" s="314">
        <f>Data!DR20/AK$4*100000*AK$3</f>
        <v>13209.457971907887</v>
      </c>
      <c r="AL21" s="322" t="s">
        <v>352</v>
      </c>
      <c r="AM21" s="314">
        <f t="shared" si="4"/>
        <v>166617.13427432691</v>
      </c>
      <c r="AN21" s="314">
        <f>Data!DA20/AN$4*100000*AN$3</f>
        <v>0</v>
      </c>
      <c r="AO21" s="314">
        <f>Data!DB20/AO$4*100000*AO$3</f>
        <v>15157.486282474914</v>
      </c>
      <c r="AP21" s="314">
        <f>Data!DC20/AP$4*100000*AP$3</f>
        <v>12587.940752758857</v>
      </c>
      <c r="AQ21" s="314">
        <f>Data!DD20/AQ$4*100000*AQ$3</f>
        <v>10129.887670801163</v>
      </c>
      <c r="AR21" s="314">
        <f>Data!DE20/AR$4*100000*AR$3</f>
        <v>23093.354887131227</v>
      </c>
      <c r="AS21" s="314">
        <f>Data!DF20/AS$4*100000*AS$3</f>
        <v>0</v>
      </c>
      <c r="AT21" s="314">
        <f>Data!DG20/AT$4*100000*AT$3</f>
        <v>0</v>
      </c>
      <c r="AU21" s="314">
        <f>Data!DH20/AU$4*100000*AU$3</f>
        <v>0</v>
      </c>
      <c r="AV21" s="314">
        <f>Data!DI20/AV$4*100000*AV$3</f>
        <v>5533.4218680832228</v>
      </c>
      <c r="AW21" s="314">
        <f>Data!DJ20/AW$4*100000*AW$3</f>
        <v>10689.566092696354</v>
      </c>
      <c r="AX21" s="314">
        <f>Data!DK20/AX$4*100000*AX$3</f>
        <v>23788.189956626204</v>
      </c>
      <c r="AY21" s="314">
        <f>Data!DL20/AY$4*100000*AY$3</f>
        <v>11124.811109978027</v>
      </c>
      <c r="AZ21" s="314">
        <f>Data!DM20/AZ$4*100000*AZ$3</f>
        <v>20219.175866391684</v>
      </c>
      <c r="BA21" s="314">
        <f>Data!DN20/BA$4*100000*BA$3</f>
        <v>10811.200403618148</v>
      </c>
      <c r="BB21" s="314">
        <f>Data!DO20/BB$4*100000*BB$3</f>
        <v>11102.968933892922</v>
      </c>
      <c r="BC21" s="314">
        <f>Data!DP20/BC$4*100000*BC$3</f>
        <v>2484.6572415335304</v>
      </c>
      <c r="BD21" s="314">
        <f>Data!DQ20/BD$4*100000*BD$3</f>
        <v>3289.7442223867097</v>
      </c>
      <c r="BE21" s="314">
        <f>Data!DR20/BE$4*100000*BE$3</f>
        <v>6604.7289859539433</v>
      </c>
    </row>
    <row r="22" spans="1:57" ht="12" customHeight="1">
      <c r="A22" s="64"/>
      <c r="B22" s="123" t="str">
        <f>UPPER(LEFT(TRIM(Data!B21),1)) &amp; MID(TRIM(Data!B21),2,50)</f>
        <v>Odos melanoma</v>
      </c>
      <c r="C22" s="123" t="str">
        <f>UPPER(LEFT(TRIM(Data!C21),1)) &amp; MID(TRIM(Data!C21),2,50)</f>
        <v>C43</v>
      </c>
      <c r="D22" s="136">
        <f>Data!BR21</f>
        <v>58</v>
      </c>
      <c r="E22" s="137">
        <f t="shared" si="5"/>
        <v>3.6358028793051349</v>
      </c>
      <c r="F22" s="127">
        <f t="shared" si="6"/>
        <v>2.0221003738982057</v>
      </c>
      <c r="G22" s="127">
        <f t="shared" si="7"/>
        <v>1.4006099043432811</v>
      </c>
      <c r="H22" s="68"/>
      <c r="I22" s="68"/>
      <c r="J22" s="68"/>
      <c r="K22" s="68"/>
      <c r="L22" s="68"/>
      <c r="M22" s="68"/>
      <c r="N22" s="68"/>
      <c r="O22" s="68"/>
      <c r="P22" s="69"/>
      <c r="Q22" s="307"/>
      <c r="R22" s="322" t="s">
        <v>352</v>
      </c>
      <c r="S22" s="314">
        <f t="shared" si="3"/>
        <v>202210.03738982056</v>
      </c>
      <c r="T22" s="314">
        <f>Data!DA21/T$4*100000*T$3</f>
        <v>0</v>
      </c>
      <c r="U22" s="314">
        <f>Data!DB21/U$4*100000*U$3</f>
        <v>0</v>
      </c>
      <c r="V22" s="314">
        <f>Data!DC21/V$4*100000*V$3</f>
        <v>0</v>
      </c>
      <c r="W22" s="314">
        <f>Data!DD21/W$4*100000*W$3</f>
        <v>0</v>
      </c>
      <c r="X22" s="314">
        <f>Data!DE21/X$4*100000*X$3</f>
        <v>0</v>
      </c>
      <c r="Y22" s="314">
        <f>Data!DF21/Y$4*100000*Y$3</f>
        <v>7364.0026510409534</v>
      </c>
      <c r="Z22" s="314">
        <f>Data!DG21/Z$4*100000*Z$3</f>
        <v>0</v>
      </c>
      <c r="AA22" s="314">
        <f>Data!DH21/AA$4*100000*AA$3</f>
        <v>0</v>
      </c>
      <c r="AB22" s="314">
        <f>Data!DI21/AB$4*100000*AB$3</f>
        <v>12911.317692194187</v>
      </c>
      <c r="AC22" s="314">
        <f>Data!DJ21/AC$4*100000*AC$3</f>
        <v>24942.32088295816</v>
      </c>
      <c r="AD22" s="314">
        <f>Data!DK21/AD$4*100000*AD$3</f>
        <v>0</v>
      </c>
      <c r="AE22" s="314">
        <f>Data!DL21/AE$4*100000*AE$3</f>
        <v>22249.622219956058</v>
      </c>
      <c r="AF22" s="314">
        <f>Data!DM21/AF$4*100000*AF$3</f>
        <v>35383.557766185448</v>
      </c>
      <c r="AG22" s="314">
        <f>Data!DN21/AG$4*100000*AG$3</f>
        <v>14414.933871490864</v>
      </c>
      <c r="AH22" s="314">
        <f>Data!DO21/AH$4*100000*AH$3</f>
        <v>16654.453400839386</v>
      </c>
      <c r="AI22" s="314">
        <f>Data!DP21/AI$4*100000*AI$3</f>
        <v>34785.201381469422</v>
      </c>
      <c r="AJ22" s="314">
        <f>Data!DQ21/AJ$4*100000*AJ$3</f>
        <v>18093.593223126903</v>
      </c>
      <c r="AK22" s="314">
        <f>Data!DR21/AK$4*100000*AK$3</f>
        <v>15411.0343005592</v>
      </c>
      <c r="AL22" s="322" t="s">
        <v>352</v>
      </c>
      <c r="AM22" s="314">
        <f t="shared" si="4"/>
        <v>140060.99043432812</v>
      </c>
      <c r="AN22" s="314">
        <f>Data!DA21/AN$4*100000*AN$3</f>
        <v>0</v>
      </c>
      <c r="AO22" s="314">
        <f>Data!DB21/AO$4*100000*AO$3</f>
        <v>0</v>
      </c>
      <c r="AP22" s="314">
        <f>Data!DC21/AP$4*100000*AP$3</f>
        <v>0</v>
      </c>
      <c r="AQ22" s="314">
        <f>Data!DD21/AQ$4*100000*AQ$3</f>
        <v>0</v>
      </c>
      <c r="AR22" s="314">
        <f>Data!DE21/AR$4*100000*AR$3</f>
        <v>0</v>
      </c>
      <c r="AS22" s="314">
        <f>Data!DF21/AS$4*100000*AS$3</f>
        <v>8416.0030297610901</v>
      </c>
      <c r="AT22" s="314">
        <f>Data!DG21/AT$4*100000*AT$3</f>
        <v>0</v>
      </c>
      <c r="AU22" s="314">
        <f>Data!DH21/AU$4*100000*AU$3</f>
        <v>0</v>
      </c>
      <c r="AV22" s="314">
        <f>Data!DI21/AV$4*100000*AV$3</f>
        <v>11066.843736166446</v>
      </c>
      <c r="AW22" s="314">
        <f>Data!DJ21/AW$4*100000*AW$3</f>
        <v>21379.132185392707</v>
      </c>
      <c r="AX22" s="314">
        <f>Data!DK21/AX$4*100000*AX$3</f>
        <v>0</v>
      </c>
      <c r="AY22" s="314">
        <f>Data!DL21/AY$4*100000*AY$3</f>
        <v>14833.081479970704</v>
      </c>
      <c r="AZ22" s="314">
        <f>Data!DM21/AZ$4*100000*AZ$3</f>
        <v>28306.84621294836</v>
      </c>
      <c r="BA22" s="314">
        <f>Data!DN21/BA$4*100000*BA$3</f>
        <v>10811.200403618148</v>
      </c>
      <c r="BB22" s="314">
        <f>Data!DO21/BB$4*100000*BB$3</f>
        <v>11102.968933892922</v>
      </c>
      <c r="BC22" s="314">
        <f>Data!DP21/BC$4*100000*BC$3</f>
        <v>17392.600690734711</v>
      </c>
      <c r="BD22" s="314">
        <f>Data!DQ21/BD$4*100000*BD$3</f>
        <v>9046.7966115634517</v>
      </c>
      <c r="BE22" s="314">
        <f>Data!DR21/BE$4*100000*BE$3</f>
        <v>7705.5171502796002</v>
      </c>
    </row>
    <row r="23" spans="1:57" ht="12" customHeight="1">
      <c r="A23" s="64"/>
      <c r="B23" s="145" t="str">
        <f>UPPER(LEFT(TRIM(Data!B22),1)) &amp; MID(TRIM(Data!B22),2,50)</f>
        <v>Kiti odos piktybiniai navikai</v>
      </c>
      <c r="C23" s="139" t="str">
        <f>UPPER(LEFT(TRIM(Data!C22),1)) &amp; MID(TRIM(Data!C22),2,50)</f>
        <v>C44</v>
      </c>
      <c r="D23" s="146">
        <f>Data!BR22</f>
        <v>31</v>
      </c>
      <c r="E23" s="147">
        <f t="shared" si="5"/>
        <v>1.9432739527320553</v>
      </c>
      <c r="F23" s="148">
        <f t="shared" si="6"/>
        <v>0.72237792201718465</v>
      </c>
      <c r="G23" s="148">
        <f t="shared" si="7"/>
        <v>0.38339489887637812</v>
      </c>
      <c r="H23" s="68"/>
      <c r="I23" s="68"/>
      <c r="J23" s="68"/>
      <c r="K23" s="68"/>
      <c r="L23" s="68"/>
      <c r="M23" s="68"/>
      <c r="N23" s="68"/>
      <c r="O23" s="68"/>
      <c r="P23" s="69"/>
      <c r="Q23" s="307"/>
      <c r="R23" s="322" t="s">
        <v>352</v>
      </c>
      <c r="S23" s="314">
        <f t="shared" si="3"/>
        <v>72237.792201718461</v>
      </c>
      <c r="T23" s="314">
        <f>Data!DA22/T$4*100000*T$3</f>
        <v>0</v>
      </c>
      <c r="U23" s="314">
        <f>Data!DB22/U$4*100000*U$3</f>
        <v>0</v>
      </c>
      <c r="V23" s="314">
        <f>Data!DC22/V$4*100000*V$3</f>
        <v>0</v>
      </c>
      <c r="W23" s="314">
        <f>Data!DD22/W$4*100000*W$3</f>
        <v>0</v>
      </c>
      <c r="X23" s="314">
        <f>Data!DE22/X$4*100000*X$3</f>
        <v>0</v>
      </c>
      <c r="Y23" s="314">
        <f>Data!DF22/Y$4*100000*Y$3</f>
        <v>0</v>
      </c>
      <c r="Z23" s="314">
        <f>Data!DG22/Z$4*100000*Z$3</f>
        <v>0</v>
      </c>
      <c r="AA23" s="314">
        <f>Data!DH22/AA$4*100000*AA$3</f>
        <v>0</v>
      </c>
      <c r="AB23" s="314">
        <f>Data!DI22/AB$4*100000*AB$3</f>
        <v>0</v>
      </c>
      <c r="AC23" s="314">
        <f>Data!DJ22/AC$4*100000*AC$3</f>
        <v>0</v>
      </c>
      <c r="AD23" s="314">
        <f>Data!DK22/AD$4*100000*AD$3</f>
        <v>0</v>
      </c>
      <c r="AE23" s="314">
        <f>Data!DL22/AE$4*100000*AE$3</f>
        <v>0</v>
      </c>
      <c r="AF23" s="314">
        <f>Data!DM22/AF$4*100000*AF$3</f>
        <v>0</v>
      </c>
      <c r="AG23" s="314">
        <f>Data!DN22/AG$4*100000*AG$3</f>
        <v>0</v>
      </c>
      <c r="AH23" s="314">
        <f>Data!DO22/AH$4*100000*AH$3</f>
        <v>13323.562720671507</v>
      </c>
      <c r="AI23" s="314">
        <f>Data!DP22/AI$4*100000*AI$3</f>
        <v>14907.943449201182</v>
      </c>
      <c r="AJ23" s="314">
        <f>Data!DQ22/AJ$4*100000*AJ$3</f>
        <v>6579.4884447734194</v>
      </c>
      <c r="AK23" s="314">
        <f>Data!DR22/AK$4*100000*AK$3</f>
        <v>37426.797587072346</v>
      </c>
      <c r="AL23" s="322" t="s">
        <v>352</v>
      </c>
      <c r="AM23" s="314">
        <f t="shared" si="4"/>
        <v>38339.489887637814</v>
      </c>
      <c r="AN23" s="314">
        <f>Data!DA22/AN$4*100000*AN$3</f>
        <v>0</v>
      </c>
      <c r="AO23" s="314">
        <f>Data!DB22/AO$4*100000*AO$3</f>
        <v>0</v>
      </c>
      <c r="AP23" s="314">
        <f>Data!DC22/AP$4*100000*AP$3</f>
        <v>0</v>
      </c>
      <c r="AQ23" s="314">
        <f>Data!DD22/AQ$4*100000*AQ$3</f>
        <v>0</v>
      </c>
      <c r="AR23" s="314">
        <f>Data!DE22/AR$4*100000*AR$3</f>
        <v>0</v>
      </c>
      <c r="AS23" s="314">
        <f>Data!DF22/AS$4*100000*AS$3</f>
        <v>0</v>
      </c>
      <c r="AT23" s="314">
        <f>Data!DG22/AT$4*100000*AT$3</f>
        <v>0</v>
      </c>
      <c r="AU23" s="314">
        <f>Data!DH22/AU$4*100000*AU$3</f>
        <v>0</v>
      </c>
      <c r="AV23" s="314">
        <f>Data!DI22/AV$4*100000*AV$3</f>
        <v>0</v>
      </c>
      <c r="AW23" s="314">
        <f>Data!DJ22/AW$4*100000*AW$3</f>
        <v>0</v>
      </c>
      <c r="AX23" s="314">
        <f>Data!DK22/AX$4*100000*AX$3</f>
        <v>0</v>
      </c>
      <c r="AY23" s="314">
        <f>Data!DL22/AY$4*100000*AY$3</f>
        <v>0</v>
      </c>
      <c r="AZ23" s="314">
        <f>Data!DM22/AZ$4*100000*AZ$3</f>
        <v>0</v>
      </c>
      <c r="BA23" s="314">
        <f>Data!DN22/BA$4*100000*BA$3</f>
        <v>0</v>
      </c>
      <c r="BB23" s="314">
        <f>Data!DO22/BB$4*100000*BB$3</f>
        <v>8882.3751471143387</v>
      </c>
      <c r="BC23" s="314">
        <f>Data!DP22/BC$4*100000*BC$3</f>
        <v>7453.9717246005912</v>
      </c>
      <c r="BD23" s="314">
        <f>Data!DQ22/BD$4*100000*BD$3</f>
        <v>3289.7442223867097</v>
      </c>
      <c r="BE23" s="314">
        <f>Data!DR22/BE$4*100000*BE$3</f>
        <v>18713.398793536173</v>
      </c>
    </row>
    <row r="24" spans="1:57" ht="12" customHeight="1">
      <c r="A24" s="64"/>
      <c r="B24" s="123" t="str">
        <f>UPPER(LEFT(TRIM(Data!B23),1)) &amp; MID(TRIM(Data!B23),2,50)</f>
        <v>Krūties</v>
      </c>
      <c r="C24" s="123" t="str">
        <f>UPPER(LEFT(TRIM(Data!C23),1)) &amp; MID(TRIM(Data!C23),2,50)</f>
        <v>C50</v>
      </c>
      <c r="D24" s="136">
        <f>Data!BR23</f>
        <v>565</v>
      </c>
      <c r="E24" s="137">
        <f t="shared" si="5"/>
        <v>35.4177349449552</v>
      </c>
      <c r="F24" s="127">
        <f t="shared" si="6"/>
        <v>21.874747797637752</v>
      </c>
      <c r="G24" s="127">
        <f t="shared" si="7"/>
        <v>15.082215098452561</v>
      </c>
      <c r="H24" s="68"/>
      <c r="I24" s="68"/>
      <c r="J24" s="68"/>
      <c r="K24" s="68"/>
      <c r="L24" s="68"/>
      <c r="M24" s="68"/>
      <c r="N24" s="68"/>
      <c r="O24" s="68"/>
      <c r="P24" s="69"/>
      <c r="Q24" s="307"/>
      <c r="R24" s="322" t="s">
        <v>352</v>
      </c>
      <c r="S24" s="314">
        <f t="shared" si="3"/>
        <v>2187474.7797637754</v>
      </c>
      <c r="T24" s="314">
        <f>Data!DA23/T$4*100000*T$3</f>
        <v>0</v>
      </c>
      <c r="U24" s="314">
        <f>Data!DB23/U$4*100000*U$3</f>
        <v>0</v>
      </c>
      <c r="V24" s="314">
        <f>Data!DC23/V$4*100000*V$3</f>
        <v>0</v>
      </c>
      <c r="W24" s="314">
        <f>Data!DD23/W$4*100000*W$3</f>
        <v>0</v>
      </c>
      <c r="X24" s="314">
        <f>Data!DE23/X$4*100000*X$3</f>
        <v>0</v>
      </c>
      <c r="Y24" s="314">
        <f>Data!DF23/Y$4*100000*Y$3</f>
        <v>7364.0026510409534</v>
      </c>
      <c r="Z24" s="314">
        <f>Data!DG23/Z$4*100000*Z$3</f>
        <v>32041.379152505524</v>
      </c>
      <c r="AA24" s="314">
        <f>Data!DH23/AA$4*100000*AA$3</f>
        <v>22027.355878157254</v>
      </c>
      <c r="AB24" s="314">
        <f>Data!DI23/AB$4*100000*AB$3</f>
        <v>77467.906153165124</v>
      </c>
      <c r="AC24" s="314">
        <f>Data!DJ23/AC$4*100000*AC$3</f>
        <v>149653.92529774894</v>
      </c>
      <c r="AD24" s="314">
        <f>Data!DK23/AD$4*100000*AD$3</f>
        <v>277528.8828273057</v>
      </c>
      <c r="AE24" s="314">
        <f>Data!DL23/AE$4*100000*AE$3</f>
        <v>355993.95551929693</v>
      </c>
      <c r="AF24" s="314">
        <f>Data!DM23/AF$4*100000*AF$3</f>
        <v>298232.84402927739</v>
      </c>
      <c r="AG24" s="314">
        <f>Data!DN23/AG$4*100000*AG$3</f>
        <v>235443.91990101745</v>
      </c>
      <c r="AH24" s="314">
        <f>Data!DO23/AH$4*100000*AH$3</f>
        <v>253147.69169275861</v>
      </c>
      <c r="AI24" s="314">
        <f>Data!DP23/AI$4*100000*AI$3</f>
        <v>223619.15173801777</v>
      </c>
      <c r="AJ24" s="314">
        <f>Data!DQ23/AJ$4*100000*AJ$3</f>
        <v>111851.30356114813</v>
      </c>
      <c r="AK24" s="314">
        <f>Data!DR23/AK$4*100000*AK$3</f>
        <v>143102.46136233542</v>
      </c>
      <c r="AL24" s="322" t="s">
        <v>352</v>
      </c>
      <c r="AM24" s="314">
        <f t="shared" si="4"/>
        <v>1508221.5098452561</v>
      </c>
      <c r="AN24" s="314">
        <f>Data!DA23/AN$4*100000*AN$3</f>
        <v>0</v>
      </c>
      <c r="AO24" s="314">
        <f>Data!DB23/AO$4*100000*AO$3</f>
        <v>0</v>
      </c>
      <c r="AP24" s="314">
        <f>Data!DC23/AP$4*100000*AP$3</f>
        <v>0</v>
      </c>
      <c r="AQ24" s="314">
        <f>Data!DD23/AQ$4*100000*AQ$3</f>
        <v>0</v>
      </c>
      <c r="AR24" s="314">
        <f>Data!DE23/AR$4*100000*AR$3</f>
        <v>0</v>
      </c>
      <c r="AS24" s="314">
        <f>Data!DF23/AS$4*100000*AS$3</f>
        <v>8416.0030297610901</v>
      </c>
      <c r="AT24" s="314">
        <f>Data!DG23/AT$4*100000*AT$3</f>
        <v>27464.039273576163</v>
      </c>
      <c r="AU24" s="314">
        <f>Data!DH23/AU$4*100000*AU$3</f>
        <v>18880.590752706219</v>
      </c>
      <c r="AV24" s="314">
        <f>Data!DI23/AV$4*100000*AV$3</f>
        <v>66401.06241699867</v>
      </c>
      <c r="AW24" s="314">
        <f>Data!DJ23/AW$4*100000*AW$3</f>
        <v>128274.79311235623</v>
      </c>
      <c r="AX24" s="314">
        <f>Data!DK23/AX$4*100000*AX$3</f>
        <v>198234.91630521836</v>
      </c>
      <c r="AY24" s="314">
        <f>Data!DL23/AY$4*100000*AY$3</f>
        <v>237329.30367953127</v>
      </c>
      <c r="AZ24" s="314">
        <f>Data!DM23/AZ$4*100000*AZ$3</f>
        <v>238586.27522342189</v>
      </c>
      <c r="BA24" s="314">
        <f>Data!DN23/BA$4*100000*BA$3</f>
        <v>176582.93992576309</v>
      </c>
      <c r="BB24" s="314">
        <f>Data!DO23/BB$4*100000*BB$3</f>
        <v>168765.12779517242</v>
      </c>
      <c r="BC24" s="314">
        <f>Data!DP23/BC$4*100000*BC$3</f>
        <v>111809.57586900888</v>
      </c>
      <c r="BD24" s="314">
        <f>Data!DQ23/BD$4*100000*BD$3</f>
        <v>55925.651780574066</v>
      </c>
      <c r="BE24" s="314">
        <f>Data!DR23/BE$4*100000*BE$3</f>
        <v>71551.230681167712</v>
      </c>
    </row>
    <row r="25" spans="1:57" ht="12" customHeight="1">
      <c r="A25" s="64"/>
      <c r="B25" s="145" t="str">
        <f>UPPER(LEFT(TRIM(Data!B24),1)) &amp; MID(TRIM(Data!B24),2,50)</f>
        <v>Vulvos</v>
      </c>
      <c r="C25" s="139" t="str">
        <f>UPPER(LEFT(TRIM(Data!C24),1)) &amp; MID(TRIM(Data!C24),2,50)</f>
        <v>C51</v>
      </c>
      <c r="D25" s="146">
        <f>Data!BR24</f>
        <v>25</v>
      </c>
      <c r="E25" s="147">
        <f t="shared" si="5"/>
        <v>1.5671564134935929</v>
      </c>
      <c r="F25" s="148">
        <f t="shared" si="6"/>
        <v>0.62579102256775376</v>
      </c>
      <c r="G25" s="148">
        <f t="shared" si="7"/>
        <v>0.36633968891026641</v>
      </c>
      <c r="H25" s="68"/>
      <c r="I25" s="68"/>
      <c r="J25" s="68"/>
      <c r="K25" s="68"/>
      <c r="L25" s="68"/>
      <c r="M25" s="68"/>
      <c r="N25" s="68"/>
      <c r="O25" s="68"/>
      <c r="P25" s="69"/>
      <c r="Q25" s="307"/>
      <c r="R25" s="322" t="s">
        <v>352</v>
      </c>
      <c r="S25" s="314">
        <f t="shared" si="3"/>
        <v>62579.102256775375</v>
      </c>
      <c r="T25" s="314">
        <f>Data!DA24/T$4*100000*T$3</f>
        <v>0</v>
      </c>
      <c r="U25" s="314">
        <f>Data!DB24/U$4*100000*U$3</f>
        <v>0</v>
      </c>
      <c r="V25" s="314">
        <f>Data!DC24/V$4*100000*V$3</f>
        <v>0</v>
      </c>
      <c r="W25" s="314">
        <f>Data!DD24/W$4*100000*W$3</f>
        <v>0</v>
      </c>
      <c r="X25" s="314">
        <f>Data!DE24/X$4*100000*X$3</f>
        <v>0</v>
      </c>
      <c r="Y25" s="314">
        <f>Data!DF24/Y$4*100000*Y$3</f>
        <v>0</v>
      </c>
      <c r="Z25" s="314">
        <f>Data!DG24/Z$4*100000*Z$3</f>
        <v>0</v>
      </c>
      <c r="AA25" s="314">
        <f>Data!DH24/AA$4*100000*AA$3</f>
        <v>0</v>
      </c>
      <c r="AB25" s="314">
        <f>Data!DI24/AB$4*100000*AB$3</f>
        <v>0</v>
      </c>
      <c r="AC25" s="314">
        <f>Data!DJ24/AC$4*100000*AC$3</f>
        <v>0</v>
      </c>
      <c r="AD25" s="314">
        <f>Data!DK24/AD$4*100000*AD$3</f>
        <v>0</v>
      </c>
      <c r="AE25" s="314">
        <f>Data!DL24/AE$4*100000*AE$3</f>
        <v>0</v>
      </c>
      <c r="AF25" s="314">
        <f>Data!DM24/AF$4*100000*AF$3</f>
        <v>10109.587933195842</v>
      </c>
      <c r="AG25" s="314">
        <f>Data!DN24/AG$4*100000*AG$3</f>
        <v>4804.9779571636209</v>
      </c>
      <c r="AH25" s="314">
        <f>Data!DO24/AH$4*100000*AH$3</f>
        <v>6661.7813603357536</v>
      </c>
      <c r="AI25" s="314">
        <f>Data!DP24/AI$4*100000*AI$3</f>
        <v>17392.600690734711</v>
      </c>
      <c r="AJ25" s="314">
        <f>Data!DQ24/AJ$4*100000*AJ$3</f>
        <v>14803.849000740191</v>
      </c>
      <c r="AK25" s="314">
        <f>Data!DR24/AK$4*100000*AK$3</f>
        <v>8806.3053146052571</v>
      </c>
      <c r="AL25" s="322" t="s">
        <v>352</v>
      </c>
      <c r="AM25" s="314">
        <f t="shared" si="4"/>
        <v>36633.968891026641</v>
      </c>
      <c r="AN25" s="314">
        <f>Data!DA24/AN$4*100000*AN$3</f>
        <v>0</v>
      </c>
      <c r="AO25" s="314">
        <f>Data!DB24/AO$4*100000*AO$3</f>
        <v>0</v>
      </c>
      <c r="AP25" s="314">
        <f>Data!DC24/AP$4*100000*AP$3</f>
        <v>0</v>
      </c>
      <c r="AQ25" s="314">
        <f>Data!DD24/AQ$4*100000*AQ$3</f>
        <v>0</v>
      </c>
      <c r="AR25" s="314">
        <f>Data!DE24/AR$4*100000*AR$3</f>
        <v>0</v>
      </c>
      <c r="AS25" s="314">
        <f>Data!DF24/AS$4*100000*AS$3</f>
        <v>0</v>
      </c>
      <c r="AT25" s="314">
        <f>Data!DG24/AT$4*100000*AT$3</f>
        <v>0</v>
      </c>
      <c r="AU25" s="314">
        <f>Data!DH24/AU$4*100000*AU$3</f>
        <v>0</v>
      </c>
      <c r="AV25" s="314">
        <f>Data!DI24/AV$4*100000*AV$3</f>
        <v>0</v>
      </c>
      <c r="AW25" s="314">
        <f>Data!DJ24/AW$4*100000*AW$3</f>
        <v>0</v>
      </c>
      <c r="AX25" s="314">
        <f>Data!DK24/AX$4*100000*AX$3</f>
        <v>0</v>
      </c>
      <c r="AY25" s="314">
        <f>Data!DL24/AY$4*100000*AY$3</f>
        <v>0</v>
      </c>
      <c r="AZ25" s="314">
        <f>Data!DM24/AZ$4*100000*AZ$3</f>
        <v>8087.6703465566743</v>
      </c>
      <c r="BA25" s="314">
        <f>Data!DN24/BA$4*100000*BA$3</f>
        <v>3603.7334678727161</v>
      </c>
      <c r="BB25" s="314">
        <f>Data!DO24/BB$4*100000*BB$3</f>
        <v>4441.1875735571693</v>
      </c>
      <c r="BC25" s="314">
        <f>Data!DP24/BC$4*100000*BC$3</f>
        <v>8696.3003453673555</v>
      </c>
      <c r="BD25" s="314">
        <f>Data!DQ24/BD$4*100000*BD$3</f>
        <v>7401.9245003700953</v>
      </c>
      <c r="BE25" s="314">
        <f>Data!DR24/BE$4*100000*BE$3</f>
        <v>4403.1526573026285</v>
      </c>
    </row>
    <row r="26" spans="1:57" ht="12" customHeight="1">
      <c r="A26" s="64"/>
      <c r="B26" s="123" t="str">
        <f>UPPER(LEFT(TRIM(Data!B25),1)) &amp; MID(TRIM(Data!B25),2,50)</f>
        <v>Gimdos kaklelio</v>
      </c>
      <c r="C26" s="123" t="str">
        <f>UPPER(LEFT(TRIM(Data!C25),1)) &amp; MID(TRIM(Data!C25),2,50)</f>
        <v>C53</v>
      </c>
      <c r="D26" s="136">
        <f>Data!BR25</f>
        <v>181</v>
      </c>
      <c r="E26" s="137">
        <f t="shared" si="5"/>
        <v>11.346212433693612</v>
      </c>
      <c r="F26" s="127">
        <f t="shared" si="6"/>
        <v>8.3232361376887205</v>
      </c>
      <c r="G26" s="127">
        <f t="shared" si="7"/>
        <v>6.2470595873119752</v>
      </c>
      <c r="H26" s="68"/>
      <c r="I26" s="68"/>
      <c r="J26" s="68"/>
      <c r="K26" s="68"/>
      <c r="L26" s="68"/>
      <c r="M26" s="68"/>
      <c r="N26" s="68"/>
      <c r="O26" s="68"/>
      <c r="P26" s="68"/>
      <c r="Q26" s="307"/>
      <c r="R26" s="322" t="s">
        <v>352</v>
      </c>
      <c r="S26" s="314">
        <f t="shared" si="3"/>
        <v>832323.61376887199</v>
      </c>
      <c r="T26" s="314">
        <f>Data!DA25/T$4*100000*T$3</f>
        <v>0</v>
      </c>
      <c r="U26" s="314">
        <f>Data!DB25/U$4*100000*U$3</f>
        <v>0</v>
      </c>
      <c r="V26" s="314">
        <f>Data!DC25/V$4*100000*V$3</f>
        <v>0</v>
      </c>
      <c r="W26" s="314">
        <f>Data!DD25/W$4*100000*W$3</f>
        <v>0</v>
      </c>
      <c r="X26" s="314">
        <f>Data!DE25/X$4*100000*X$3</f>
        <v>0</v>
      </c>
      <c r="Y26" s="314">
        <f>Data!DF25/Y$4*100000*Y$3</f>
        <v>14728.005302081907</v>
      </c>
      <c r="Z26" s="314">
        <f>Data!DG25/Z$4*100000*Z$3</f>
        <v>32041.379152505524</v>
      </c>
      <c r="AA26" s="314">
        <f>Data!DH25/AA$4*100000*AA$3</f>
        <v>51397.163715700262</v>
      </c>
      <c r="AB26" s="314">
        <f>Data!DI25/AB$4*100000*AB$3</f>
        <v>71012.247307068028</v>
      </c>
      <c r="AC26" s="314">
        <f>Data!DJ25/AC$4*100000*AC$3</f>
        <v>143418.34507700944</v>
      </c>
      <c r="AD26" s="314">
        <f>Data!DK25/AD$4*100000*AD$3</f>
        <v>94359.820161283933</v>
      </c>
      <c r="AE26" s="314">
        <f>Data!DL25/AE$4*100000*AE$3</f>
        <v>100123.29998980225</v>
      </c>
      <c r="AF26" s="314">
        <f>Data!DM25/AF$4*100000*AF$3</f>
        <v>80876.703465566738</v>
      </c>
      <c r="AG26" s="314">
        <f>Data!DN25/AG$4*100000*AG$3</f>
        <v>81684.625271781551</v>
      </c>
      <c r="AH26" s="314">
        <f>Data!DO25/AH$4*100000*AH$3</f>
        <v>66617.813603357543</v>
      </c>
      <c r="AI26" s="314">
        <f>Data!DP25/AI$4*100000*AI$3</f>
        <v>42239.173106070019</v>
      </c>
      <c r="AJ26" s="314">
        <f>Data!DQ25/AJ$4*100000*AJ$3</f>
        <v>29607.698001480381</v>
      </c>
      <c r="AK26" s="314">
        <f>Data!DR25/AK$4*100000*AK$3</f>
        <v>24217.339615164456</v>
      </c>
      <c r="AL26" s="322" t="s">
        <v>352</v>
      </c>
      <c r="AM26" s="314">
        <f t="shared" si="4"/>
        <v>624705.95873119752</v>
      </c>
      <c r="AN26" s="314">
        <f>Data!DA25/AN$4*100000*AN$3</f>
        <v>0</v>
      </c>
      <c r="AO26" s="314">
        <f>Data!DB25/AO$4*100000*AO$3</f>
        <v>0</v>
      </c>
      <c r="AP26" s="314">
        <f>Data!DC25/AP$4*100000*AP$3</f>
        <v>0</v>
      </c>
      <c r="AQ26" s="314">
        <f>Data!DD25/AQ$4*100000*AQ$3</f>
        <v>0</v>
      </c>
      <c r="AR26" s="314">
        <f>Data!DE25/AR$4*100000*AR$3</f>
        <v>0</v>
      </c>
      <c r="AS26" s="314">
        <f>Data!DF25/AS$4*100000*AS$3</f>
        <v>16832.00605952218</v>
      </c>
      <c r="AT26" s="314">
        <f>Data!DG25/AT$4*100000*AT$3</f>
        <v>27464.039273576163</v>
      </c>
      <c r="AU26" s="314">
        <f>Data!DH25/AU$4*100000*AU$3</f>
        <v>44054.711756314508</v>
      </c>
      <c r="AV26" s="314">
        <f>Data!DI25/AV$4*100000*AV$3</f>
        <v>60867.640548915449</v>
      </c>
      <c r="AW26" s="314">
        <f>Data!DJ25/AW$4*100000*AW$3</f>
        <v>122930.01006600808</v>
      </c>
      <c r="AX26" s="314">
        <f>Data!DK25/AX$4*100000*AX$3</f>
        <v>67399.871543774236</v>
      </c>
      <c r="AY26" s="314">
        <f>Data!DL25/AY$4*100000*AY$3</f>
        <v>66748.866659868174</v>
      </c>
      <c r="AZ26" s="314">
        <f>Data!DM25/AZ$4*100000*AZ$3</f>
        <v>64701.362772453394</v>
      </c>
      <c r="BA26" s="314">
        <f>Data!DN25/BA$4*100000*BA$3</f>
        <v>61263.468953836164</v>
      </c>
      <c r="BB26" s="314">
        <f>Data!DO25/BB$4*100000*BB$3</f>
        <v>44411.875735571688</v>
      </c>
      <c r="BC26" s="314">
        <f>Data!DP25/BC$4*100000*BC$3</f>
        <v>21119.586553035009</v>
      </c>
      <c r="BD26" s="314">
        <f>Data!DQ25/BD$4*100000*BD$3</f>
        <v>14803.849000740191</v>
      </c>
      <c r="BE26" s="314">
        <f>Data!DR25/BE$4*100000*BE$3</f>
        <v>12108.669807582228</v>
      </c>
    </row>
    <row r="27" spans="1:57" ht="12" customHeight="1">
      <c r="A27" s="64"/>
      <c r="B27" s="145" t="str">
        <f>UPPER(LEFT(TRIM(Data!B26),1)) &amp; MID(TRIM(Data!B26),2,50)</f>
        <v>Gimdos kūno</v>
      </c>
      <c r="C27" s="139" t="str">
        <f>UPPER(LEFT(TRIM(Data!C26),1)) &amp; MID(TRIM(Data!C26),2,50)</f>
        <v>C54, C55</v>
      </c>
      <c r="D27" s="146">
        <f>Data!BR26</f>
        <v>158</v>
      </c>
      <c r="E27" s="147">
        <f t="shared" si="5"/>
        <v>9.904428533279507</v>
      </c>
      <c r="F27" s="148">
        <f t="shared" si="6"/>
        <v>5.4988687328871908</v>
      </c>
      <c r="G27" s="148">
        <f t="shared" si="7"/>
        <v>3.6815622393748297</v>
      </c>
      <c r="H27" s="68"/>
      <c r="I27" s="68"/>
      <c r="J27" s="68"/>
      <c r="K27" s="68"/>
      <c r="L27" s="68"/>
      <c r="M27" s="68"/>
      <c r="N27" s="68"/>
      <c r="O27" s="68"/>
      <c r="P27" s="68"/>
      <c r="Q27" s="307"/>
      <c r="R27" s="322" t="s">
        <v>352</v>
      </c>
      <c r="S27" s="314">
        <f t="shared" si="3"/>
        <v>549886.8732887191</v>
      </c>
      <c r="T27" s="314">
        <f>Data!DA26/T$4*100000*T$3</f>
        <v>0</v>
      </c>
      <c r="U27" s="314">
        <f>Data!DB26/U$4*100000*U$3</f>
        <v>0</v>
      </c>
      <c r="V27" s="314">
        <f>Data!DC26/V$4*100000*V$3</f>
        <v>0</v>
      </c>
      <c r="W27" s="314">
        <f>Data!DD26/W$4*100000*W$3</f>
        <v>0</v>
      </c>
      <c r="X27" s="314">
        <f>Data!DE26/X$4*100000*X$3</f>
        <v>0</v>
      </c>
      <c r="Y27" s="314">
        <f>Data!DF26/Y$4*100000*Y$3</f>
        <v>0</v>
      </c>
      <c r="Z27" s="314">
        <f>Data!DG26/Z$4*100000*Z$3</f>
        <v>0</v>
      </c>
      <c r="AA27" s="314">
        <f>Data!DH26/AA$4*100000*AA$3</f>
        <v>0</v>
      </c>
      <c r="AB27" s="314">
        <f>Data!DI26/AB$4*100000*AB$3</f>
        <v>12911.317692194187</v>
      </c>
      <c r="AC27" s="314">
        <f>Data!DJ26/AC$4*100000*AC$3</f>
        <v>12471.16044147908</v>
      </c>
      <c r="AD27" s="314">
        <f>Data!DK26/AD$4*100000*AD$3</f>
        <v>38854.04359582279</v>
      </c>
      <c r="AE27" s="314">
        <f>Data!DL26/AE$4*100000*AE$3</f>
        <v>50061.649994901127</v>
      </c>
      <c r="AF27" s="314">
        <f>Data!DM26/AF$4*100000*AF$3</f>
        <v>85931.497432164659</v>
      </c>
      <c r="AG27" s="314">
        <f>Data!DN26/AG$4*100000*AG$3</f>
        <v>91294.581186108815</v>
      </c>
      <c r="AH27" s="314">
        <f>Data!DO26/AH$4*100000*AH$3</f>
        <v>113250.28312570782</v>
      </c>
      <c r="AI27" s="314">
        <f>Data!DP26/AI$4*100000*AI$3</f>
        <v>72055.060004472383</v>
      </c>
      <c r="AJ27" s="314">
        <f>Data!DQ26/AJ$4*100000*AJ$3</f>
        <v>37832.058557447155</v>
      </c>
      <c r="AK27" s="314">
        <f>Data!DR26/AK$4*100000*AK$3</f>
        <v>35225.221258421028</v>
      </c>
      <c r="AL27" s="322" t="s">
        <v>352</v>
      </c>
      <c r="AM27" s="314">
        <f t="shared" si="4"/>
        <v>368156.22393748298</v>
      </c>
      <c r="AN27" s="314">
        <f>Data!DA26/AN$4*100000*AN$3</f>
        <v>0</v>
      </c>
      <c r="AO27" s="314">
        <f>Data!DB26/AO$4*100000*AO$3</f>
        <v>0</v>
      </c>
      <c r="AP27" s="314">
        <f>Data!DC26/AP$4*100000*AP$3</f>
        <v>0</v>
      </c>
      <c r="AQ27" s="314">
        <f>Data!DD26/AQ$4*100000*AQ$3</f>
        <v>0</v>
      </c>
      <c r="AR27" s="314">
        <f>Data!DE26/AR$4*100000*AR$3</f>
        <v>0</v>
      </c>
      <c r="AS27" s="314">
        <f>Data!DF26/AS$4*100000*AS$3</f>
        <v>0</v>
      </c>
      <c r="AT27" s="314">
        <f>Data!DG26/AT$4*100000*AT$3</f>
        <v>0</v>
      </c>
      <c r="AU27" s="314">
        <f>Data!DH26/AU$4*100000*AU$3</f>
        <v>0</v>
      </c>
      <c r="AV27" s="314">
        <f>Data!DI26/AV$4*100000*AV$3</f>
        <v>11066.843736166446</v>
      </c>
      <c r="AW27" s="314">
        <f>Data!DJ26/AW$4*100000*AW$3</f>
        <v>10689.566092696354</v>
      </c>
      <c r="AX27" s="314">
        <f>Data!DK26/AX$4*100000*AX$3</f>
        <v>27752.888282730564</v>
      </c>
      <c r="AY27" s="314">
        <f>Data!DL26/AY$4*100000*AY$3</f>
        <v>33374.433329934087</v>
      </c>
      <c r="AZ27" s="314">
        <f>Data!DM26/AZ$4*100000*AZ$3</f>
        <v>68745.197945731736</v>
      </c>
      <c r="BA27" s="314">
        <f>Data!DN26/BA$4*100000*BA$3</f>
        <v>68470.935889581611</v>
      </c>
      <c r="BB27" s="314">
        <f>Data!DO26/BB$4*100000*BB$3</f>
        <v>75500.188750471876</v>
      </c>
      <c r="BC27" s="314">
        <f>Data!DP26/BC$4*100000*BC$3</f>
        <v>36027.530002236192</v>
      </c>
      <c r="BD27" s="314">
        <f>Data!DQ26/BD$4*100000*BD$3</f>
        <v>18916.029278723578</v>
      </c>
      <c r="BE27" s="314">
        <f>Data!DR26/BE$4*100000*BE$3</f>
        <v>17612.610629210514</v>
      </c>
    </row>
    <row r="28" spans="1:57" ht="12" customHeight="1">
      <c r="A28" s="64"/>
      <c r="B28" s="123" t="str">
        <f>UPPER(LEFT(TRIM(Data!B27),1)) &amp; MID(TRIM(Data!B27),2,50)</f>
        <v>Kiaušidžių</v>
      </c>
      <c r="C28" s="123" t="str">
        <f>UPPER(LEFT(TRIM(Data!C27),1)) &amp; MID(TRIM(Data!C27),2,50)</f>
        <v>C56</v>
      </c>
      <c r="D28" s="136">
        <f>Data!BR27</f>
        <v>249</v>
      </c>
      <c r="E28" s="137">
        <f t="shared" si="5"/>
        <v>15.608877878396186</v>
      </c>
      <c r="F28" s="127">
        <f t="shared" si="6"/>
        <v>9.8837959848017114</v>
      </c>
      <c r="G28" s="127">
        <f t="shared" si="7"/>
        <v>6.9373918374754515</v>
      </c>
      <c r="H28" s="68"/>
      <c r="I28" s="68"/>
      <c r="J28" s="68"/>
      <c r="K28" s="68"/>
      <c r="L28" s="68"/>
      <c r="M28" s="68"/>
      <c r="N28" s="68"/>
      <c r="O28" s="68"/>
      <c r="P28" s="68"/>
      <c r="Q28" s="307"/>
      <c r="R28" s="322" t="s">
        <v>352</v>
      </c>
      <c r="S28" s="314">
        <f t="shared" si="3"/>
        <v>988379.59848017106</v>
      </c>
      <c r="T28" s="314">
        <f>Data!DA27/T$4*100000*T$3</f>
        <v>0</v>
      </c>
      <c r="U28" s="314">
        <f>Data!DB27/U$4*100000*U$3</f>
        <v>0</v>
      </c>
      <c r="V28" s="314">
        <f>Data!DC27/V$4*100000*V$3</f>
        <v>0</v>
      </c>
      <c r="W28" s="314">
        <f>Data!DD27/W$4*100000*W$3</f>
        <v>0</v>
      </c>
      <c r="X28" s="314">
        <f>Data!DE27/X$4*100000*X$3</f>
        <v>0</v>
      </c>
      <c r="Y28" s="314">
        <f>Data!DF27/Y$4*100000*Y$3</f>
        <v>0</v>
      </c>
      <c r="Z28" s="314">
        <f>Data!DG27/Z$4*100000*Z$3</f>
        <v>16020.689576252762</v>
      </c>
      <c r="AA28" s="314">
        <f>Data!DH27/AA$4*100000*AA$3</f>
        <v>22027.355878157254</v>
      </c>
      <c r="AB28" s="314">
        <f>Data!DI27/AB$4*100000*AB$3</f>
        <v>45189.611922679651</v>
      </c>
      <c r="AC28" s="314">
        <f>Data!DJ27/AC$4*100000*AC$3</f>
        <v>87298.123090353547</v>
      </c>
      <c r="AD28" s="314">
        <f>Data!DK27/AD$4*100000*AD$3</f>
        <v>127663.28610056061</v>
      </c>
      <c r="AE28" s="314">
        <f>Data!DL27/AE$4*100000*AE$3</f>
        <v>133497.73331973635</v>
      </c>
      <c r="AF28" s="314">
        <f>Data!DM27/AF$4*100000*AF$3</f>
        <v>126369.84916494804</v>
      </c>
      <c r="AG28" s="314">
        <f>Data!DN27/AG$4*100000*AG$3</f>
        <v>120124.44892909053</v>
      </c>
      <c r="AH28" s="314">
        <f>Data!DO27/AH$4*100000*AH$3</f>
        <v>126573.84584637931</v>
      </c>
      <c r="AI28" s="314">
        <f>Data!DP27/AI$4*100000*AI$3</f>
        <v>91932.317936740612</v>
      </c>
      <c r="AJ28" s="314">
        <f>Data!DQ27/AJ$4*100000*AJ$3</f>
        <v>60860.268114154125</v>
      </c>
      <c r="AK28" s="314">
        <f>Data!DR27/AK$4*100000*AK$3</f>
        <v>30822.068601118401</v>
      </c>
      <c r="AL28" s="322" t="s">
        <v>352</v>
      </c>
      <c r="AM28" s="314">
        <f t="shared" si="4"/>
        <v>693739.18374754512</v>
      </c>
      <c r="AN28" s="314">
        <f>Data!DA27/AN$4*100000*AN$3</f>
        <v>0</v>
      </c>
      <c r="AO28" s="314">
        <f>Data!DB27/AO$4*100000*AO$3</f>
        <v>0</v>
      </c>
      <c r="AP28" s="314">
        <f>Data!DC27/AP$4*100000*AP$3</f>
        <v>0</v>
      </c>
      <c r="AQ28" s="314">
        <f>Data!DD27/AQ$4*100000*AQ$3</f>
        <v>0</v>
      </c>
      <c r="AR28" s="314">
        <f>Data!DE27/AR$4*100000*AR$3</f>
        <v>0</v>
      </c>
      <c r="AS28" s="314">
        <f>Data!DF27/AS$4*100000*AS$3</f>
        <v>0</v>
      </c>
      <c r="AT28" s="314">
        <f>Data!DG27/AT$4*100000*AT$3</f>
        <v>13732.019636788082</v>
      </c>
      <c r="AU28" s="314">
        <f>Data!DH27/AU$4*100000*AU$3</f>
        <v>18880.590752706219</v>
      </c>
      <c r="AV28" s="314">
        <f>Data!DI27/AV$4*100000*AV$3</f>
        <v>38733.953076582562</v>
      </c>
      <c r="AW28" s="314">
        <f>Data!DJ27/AW$4*100000*AW$3</f>
        <v>74826.962648874469</v>
      </c>
      <c r="AX28" s="314">
        <f>Data!DK27/AX$4*100000*AX$3</f>
        <v>91188.061500400436</v>
      </c>
      <c r="AY28" s="314">
        <f>Data!DL27/AY$4*100000*AY$3</f>
        <v>88998.488879824217</v>
      </c>
      <c r="AZ28" s="314">
        <f>Data!DM27/AZ$4*100000*AZ$3</f>
        <v>101095.87933195842</v>
      </c>
      <c r="BA28" s="314">
        <f>Data!DN27/BA$4*100000*BA$3</f>
        <v>90093.336696817903</v>
      </c>
      <c r="BB28" s="314">
        <f>Data!DO27/BB$4*100000*BB$3</f>
        <v>84382.563897586209</v>
      </c>
      <c r="BC28" s="314">
        <f>Data!DP27/BC$4*100000*BC$3</f>
        <v>45966.158968370306</v>
      </c>
      <c r="BD28" s="314">
        <f>Data!DQ27/BD$4*100000*BD$3</f>
        <v>30430.134057077063</v>
      </c>
      <c r="BE28" s="314">
        <f>Data!DR27/BE$4*100000*BE$3</f>
        <v>15411.0343005592</v>
      </c>
    </row>
    <row r="29" spans="1:57" ht="12" customHeight="1">
      <c r="A29" s="64"/>
      <c r="B29" s="145" t="str">
        <f>UPPER(LEFT(TRIM(Data!B30),1)) &amp; MID(TRIM(Data!B30),2,50)</f>
        <v>Kitų lyties organų</v>
      </c>
      <c r="C29" s="139" t="s">
        <v>417</v>
      </c>
      <c r="D29" s="146">
        <f>Data!BR30</f>
        <v>16</v>
      </c>
      <c r="E29" s="147">
        <f t="shared" si="5"/>
        <v>1.0029801046358993</v>
      </c>
      <c r="F29" s="148">
        <f t="shared" si="6"/>
        <v>0.4841190851698649</v>
      </c>
      <c r="G29" s="148">
        <f t="shared" si="7"/>
        <v>0.29994776538765761</v>
      </c>
      <c r="H29" s="68"/>
      <c r="I29" s="68"/>
      <c r="J29" s="68"/>
      <c r="K29" s="68"/>
      <c r="L29" s="68"/>
      <c r="M29" s="68"/>
      <c r="N29" s="68"/>
      <c r="O29" s="68"/>
      <c r="P29" s="68"/>
      <c r="Q29" s="307"/>
      <c r="R29" s="322" t="s">
        <v>352</v>
      </c>
      <c r="S29" s="314">
        <f t="shared" si="3"/>
        <v>48411.908516986492</v>
      </c>
      <c r="T29" s="314">
        <f>Data!DA30/T$4*100000*T$3</f>
        <v>0</v>
      </c>
      <c r="U29" s="314">
        <f>Data!DB30/U$4*100000*U$3</f>
        <v>0</v>
      </c>
      <c r="V29" s="314">
        <f>Data!DC30/V$4*100000*V$3</f>
        <v>0</v>
      </c>
      <c r="W29" s="314">
        <f>Data!DD30/W$4*100000*W$3</f>
        <v>0</v>
      </c>
      <c r="X29" s="314">
        <f>Data!DE30/X$4*100000*X$3</f>
        <v>0</v>
      </c>
      <c r="Y29" s="314">
        <f>Data!DF30/Y$4*100000*Y$3</f>
        <v>0</v>
      </c>
      <c r="Z29" s="314">
        <f>Data!DG30/Z$4*100000*Z$3</f>
        <v>0</v>
      </c>
      <c r="AA29" s="314">
        <f>Data!DH30/AA$4*100000*AA$3</f>
        <v>0</v>
      </c>
      <c r="AB29" s="314">
        <f>Data!DI30/AB$4*100000*AB$3</f>
        <v>0</v>
      </c>
      <c r="AC29" s="314">
        <f>Data!DJ30/AC$4*100000*AC$3</f>
        <v>0</v>
      </c>
      <c r="AD29" s="314">
        <f>Data!DK30/AD$4*100000*AD$3</f>
        <v>16651.732969638342</v>
      </c>
      <c r="AE29" s="314">
        <f>Data!DL30/AE$4*100000*AE$3</f>
        <v>0</v>
      </c>
      <c r="AF29" s="314">
        <f>Data!DM30/AF$4*100000*AF$3</f>
        <v>0</v>
      </c>
      <c r="AG29" s="314">
        <f>Data!DN30/AG$4*100000*AG$3</f>
        <v>0</v>
      </c>
      <c r="AH29" s="314">
        <f>Data!DO30/AH$4*100000*AH$3</f>
        <v>13323.562720671507</v>
      </c>
      <c r="AI29" s="314">
        <f>Data!DP30/AI$4*100000*AI$3</f>
        <v>7453.9717246005912</v>
      </c>
      <c r="AJ29" s="314">
        <f>Data!DQ30/AJ$4*100000*AJ$3</f>
        <v>6579.4884447734194</v>
      </c>
      <c r="AK29" s="314">
        <f>Data!DR30/AK$4*100000*AK$3</f>
        <v>4403.1526573026285</v>
      </c>
      <c r="AL29" s="322" t="s">
        <v>352</v>
      </c>
      <c r="AM29" s="314">
        <f t="shared" si="4"/>
        <v>29994.77653876576</v>
      </c>
      <c r="AN29" s="314">
        <f>Data!DA30/AN$4*100000*AN$3</f>
        <v>0</v>
      </c>
      <c r="AO29" s="314">
        <f>Data!DB30/AO$4*100000*AO$3</f>
        <v>0</v>
      </c>
      <c r="AP29" s="314">
        <f>Data!DC30/AP$4*100000*AP$3</f>
        <v>0</v>
      </c>
      <c r="AQ29" s="314">
        <f>Data!DD30/AQ$4*100000*AQ$3</f>
        <v>0</v>
      </c>
      <c r="AR29" s="314">
        <f>Data!DE30/AR$4*100000*AR$3</f>
        <v>0</v>
      </c>
      <c r="AS29" s="314">
        <f>Data!DF30/AS$4*100000*AS$3</f>
        <v>0</v>
      </c>
      <c r="AT29" s="314">
        <f>Data!DG30/AT$4*100000*AT$3</f>
        <v>0</v>
      </c>
      <c r="AU29" s="314">
        <f>Data!DH30/AU$4*100000*AU$3</f>
        <v>0</v>
      </c>
      <c r="AV29" s="314">
        <f>Data!DI30/AV$4*100000*AV$3</f>
        <v>0</v>
      </c>
      <c r="AW29" s="314">
        <f>Data!DJ30/AW$4*100000*AW$3</f>
        <v>0</v>
      </c>
      <c r="AX29" s="314">
        <f>Data!DK30/AX$4*100000*AX$3</f>
        <v>11894.094978313102</v>
      </c>
      <c r="AY29" s="314">
        <f>Data!DL30/AY$4*100000*AY$3</f>
        <v>0</v>
      </c>
      <c r="AZ29" s="314">
        <f>Data!DM30/AZ$4*100000*AZ$3</f>
        <v>0</v>
      </c>
      <c r="BA29" s="314">
        <f>Data!DN30/BA$4*100000*BA$3</f>
        <v>0</v>
      </c>
      <c r="BB29" s="314">
        <f>Data!DO30/BB$4*100000*BB$3</f>
        <v>8882.3751471143387</v>
      </c>
      <c r="BC29" s="314">
        <f>Data!DP30/BC$4*100000*BC$3</f>
        <v>3726.9858623002956</v>
      </c>
      <c r="BD29" s="314">
        <f>Data!DQ30/BD$4*100000*BD$3</f>
        <v>3289.7442223867097</v>
      </c>
      <c r="BE29" s="314">
        <f>Data!DR30/BE$4*100000*BE$3</f>
        <v>2201.5763286513143</v>
      </c>
    </row>
    <row r="30" spans="1:57" ht="12" customHeight="1">
      <c r="A30" s="64"/>
      <c r="B30" s="123" t="str">
        <f>UPPER(LEFT(TRIM(Data!B31),1)) &amp; MID(TRIM(Data!B31),2,50)</f>
        <v>Inkstų</v>
      </c>
      <c r="C30" s="123" t="str">
        <f>UPPER(LEFT(TRIM(Data!C31),1)) &amp; MID(TRIM(Data!C31),2,50)</f>
        <v>C64</v>
      </c>
      <c r="D30" s="136">
        <f>Data!BR31</f>
        <v>85</v>
      </c>
      <c r="E30" s="137">
        <f t="shared" si="5"/>
        <v>5.3283318058782161</v>
      </c>
      <c r="F30" s="127">
        <f t="shared" si="6"/>
        <v>2.8227659984869105</v>
      </c>
      <c r="G30" s="127">
        <f t="shared" si="7"/>
        <v>1.8675344995507368</v>
      </c>
      <c r="H30" s="68"/>
      <c r="I30" s="68"/>
      <c r="J30" s="68"/>
      <c r="K30" s="68"/>
      <c r="L30" s="68"/>
      <c r="M30" s="68"/>
      <c r="N30" s="68"/>
      <c r="O30" s="68"/>
      <c r="P30" s="68"/>
      <c r="Q30" s="307"/>
      <c r="R30" s="322" t="s">
        <v>352</v>
      </c>
      <c r="S30" s="314">
        <f t="shared" si="3"/>
        <v>282276.59984869102</v>
      </c>
      <c r="T30" s="314">
        <f>Data!DA31/T$4*100000*T$3</f>
        <v>0</v>
      </c>
      <c r="U30" s="314">
        <f>Data!DB31/U$4*100000*U$3</f>
        <v>0</v>
      </c>
      <c r="V30" s="314">
        <f>Data!DC31/V$4*100000*V$3</f>
        <v>0</v>
      </c>
      <c r="W30" s="314">
        <f>Data!DD31/W$4*100000*W$3</f>
        <v>0</v>
      </c>
      <c r="X30" s="314">
        <f>Data!DE31/X$4*100000*X$3</f>
        <v>0</v>
      </c>
      <c r="Y30" s="314">
        <f>Data!DF31/Y$4*100000*Y$3</f>
        <v>0</v>
      </c>
      <c r="Z30" s="314">
        <f>Data!DG31/Z$4*100000*Z$3</f>
        <v>0</v>
      </c>
      <c r="AA30" s="314">
        <f>Data!DH31/AA$4*100000*AA$3</f>
        <v>0</v>
      </c>
      <c r="AB30" s="314">
        <f>Data!DI31/AB$4*100000*AB$3</f>
        <v>0</v>
      </c>
      <c r="AC30" s="314">
        <f>Data!DJ31/AC$4*100000*AC$3</f>
        <v>12471.16044147908</v>
      </c>
      <c r="AD30" s="314">
        <f>Data!DK31/AD$4*100000*AD$3</f>
        <v>11101.155313092228</v>
      </c>
      <c r="AE30" s="314">
        <f>Data!DL31/AE$4*100000*AE$3</f>
        <v>16687.216664967043</v>
      </c>
      <c r="AF30" s="314">
        <f>Data!DM31/AF$4*100000*AF$3</f>
        <v>55602.733632577132</v>
      </c>
      <c r="AG30" s="314">
        <f>Data!DN31/AG$4*100000*AG$3</f>
        <v>52854.757528799833</v>
      </c>
      <c r="AH30" s="314">
        <f>Data!DO31/AH$4*100000*AH$3</f>
        <v>36639.797481846646</v>
      </c>
      <c r="AI30" s="314">
        <f>Data!DP31/AI$4*100000*AI$3</f>
        <v>39754.515864536486</v>
      </c>
      <c r="AJ30" s="314">
        <f>Data!DQ31/AJ$4*100000*AJ$3</f>
        <v>19738.465334320255</v>
      </c>
      <c r="AK30" s="314">
        <f>Data!DR31/AK$4*100000*AK$3</f>
        <v>37426.797587072346</v>
      </c>
      <c r="AL30" s="322" t="s">
        <v>352</v>
      </c>
      <c r="AM30" s="314">
        <f t="shared" si="4"/>
        <v>186753.44995507368</v>
      </c>
      <c r="AN30" s="314">
        <f>Data!DA31/AN$4*100000*AN$3</f>
        <v>0</v>
      </c>
      <c r="AO30" s="314">
        <f>Data!DB31/AO$4*100000*AO$3</f>
        <v>0</v>
      </c>
      <c r="AP30" s="314">
        <f>Data!DC31/AP$4*100000*AP$3</f>
        <v>0</v>
      </c>
      <c r="AQ30" s="314">
        <f>Data!DD31/AQ$4*100000*AQ$3</f>
        <v>0</v>
      </c>
      <c r="AR30" s="314">
        <f>Data!DE31/AR$4*100000*AR$3</f>
        <v>0</v>
      </c>
      <c r="AS30" s="314">
        <f>Data!DF31/AS$4*100000*AS$3</f>
        <v>0</v>
      </c>
      <c r="AT30" s="314">
        <f>Data!DG31/AT$4*100000*AT$3</f>
        <v>0</v>
      </c>
      <c r="AU30" s="314">
        <f>Data!DH31/AU$4*100000*AU$3</f>
        <v>0</v>
      </c>
      <c r="AV30" s="314">
        <f>Data!DI31/AV$4*100000*AV$3</f>
        <v>0</v>
      </c>
      <c r="AW30" s="314">
        <f>Data!DJ31/AW$4*100000*AW$3</f>
        <v>10689.566092696354</v>
      </c>
      <c r="AX30" s="314">
        <f>Data!DK31/AX$4*100000*AX$3</f>
        <v>7929.396652208733</v>
      </c>
      <c r="AY30" s="314">
        <f>Data!DL31/AY$4*100000*AY$3</f>
        <v>11124.811109978027</v>
      </c>
      <c r="AZ30" s="314">
        <f>Data!DM31/AZ$4*100000*AZ$3</f>
        <v>44482.186906061703</v>
      </c>
      <c r="BA30" s="314">
        <f>Data!DN31/BA$4*100000*BA$3</f>
        <v>39641.068146599871</v>
      </c>
      <c r="BB30" s="314">
        <f>Data!DO31/BB$4*100000*BB$3</f>
        <v>24426.531654564431</v>
      </c>
      <c r="BC30" s="314">
        <f>Data!DP31/BC$4*100000*BC$3</f>
        <v>19877.257932268243</v>
      </c>
      <c r="BD30" s="314">
        <f>Data!DQ31/BD$4*100000*BD$3</f>
        <v>9869.2326671601277</v>
      </c>
      <c r="BE30" s="314">
        <f>Data!DR31/BE$4*100000*BE$3</f>
        <v>18713.398793536173</v>
      </c>
    </row>
    <row r="31" spans="1:57" ht="12" customHeight="1">
      <c r="A31" s="64"/>
      <c r="B31" s="145" t="str">
        <f>UPPER(LEFT(TRIM(Data!B32),1)) &amp; MID(TRIM(Data!B32),2,50)</f>
        <v>Šlapimo pūslės</v>
      </c>
      <c r="C31" s="139" t="str">
        <f>UPPER(LEFT(TRIM(Data!C32),1)) &amp; MID(TRIM(Data!C32),2,50)</f>
        <v>C67</v>
      </c>
      <c r="D31" s="146">
        <f>Data!BR32</f>
        <v>68</v>
      </c>
      <c r="E31" s="147">
        <f t="shared" si="5"/>
        <v>4.2626654447025727</v>
      </c>
      <c r="F31" s="148">
        <f t="shared" si="6"/>
        <v>1.832736629530417</v>
      </c>
      <c r="G31" s="148">
        <f t="shared" si="7"/>
        <v>1.0727073812095678</v>
      </c>
      <c r="H31" s="68"/>
      <c r="I31" s="68"/>
      <c r="J31" s="68"/>
      <c r="K31" s="68"/>
      <c r="L31" s="68"/>
      <c r="M31" s="68"/>
      <c r="N31" s="68"/>
      <c r="O31" s="68"/>
      <c r="P31" s="68"/>
      <c r="Q31" s="307"/>
      <c r="R31" s="322" t="s">
        <v>352</v>
      </c>
      <c r="S31" s="314">
        <f t="shared" si="3"/>
        <v>183273.6629530417</v>
      </c>
      <c r="T31" s="314">
        <f>Data!DA32/T$4*100000*T$3</f>
        <v>0</v>
      </c>
      <c r="U31" s="314">
        <f>Data!DB32/U$4*100000*U$3</f>
        <v>0</v>
      </c>
      <c r="V31" s="314">
        <f>Data!DC32/V$4*100000*V$3</f>
        <v>0</v>
      </c>
      <c r="W31" s="314">
        <f>Data!DD32/W$4*100000*W$3</f>
        <v>0</v>
      </c>
      <c r="X31" s="314">
        <f>Data!DE32/X$4*100000*X$3</f>
        <v>0</v>
      </c>
      <c r="Y31" s="314">
        <f>Data!DF32/Y$4*100000*Y$3</f>
        <v>0</v>
      </c>
      <c r="Z31" s="314">
        <f>Data!DG32/Z$4*100000*Z$3</f>
        <v>0</v>
      </c>
      <c r="AA31" s="314">
        <f>Data!DH32/AA$4*100000*AA$3</f>
        <v>0</v>
      </c>
      <c r="AB31" s="314">
        <f>Data!DI32/AB$4*100000*AB$3</f>
        <v>0</v>
      </c>
      <c r="AC31" s="314">
        <f>Data!DJ32/AC$4*100000*AC$3</f>
        <v>0</v>
      </c>
      <c r="AD31" s="314">
        <f>Data!DK32/AD$4*100000*AD$3</f>
        <v>0</v>
      </c>
      <c r="AE31" s="314">
        <f>Data!DL32/AE$4*100000*AE$3</f>
        <v>11124.811109978029</v>
      </c>
      <c r="AF31" s="314">
        <f>Data!DM32/AF$4*100000*AF$3</f>
        <v>25273.969832989605</v>
      </c>
      <c r="AG31" s="314">
        <f>Data!DN32/AG$4*100000*AG$3</f>
        <v>4804.9779571636209</v>
      </c>
      <c r="AH31" s="314">
        <f>Data!DO32/AH$4*100000*AH$3</f>
        <v>29978.016121510889</v>
      </c>
      <c r="AI31" s="314">
        <f>Data!DP32/AI$4*100000*AI$3</f>
        <v>47208.487589137076</v>
      </c>
      <c r="AJ31" s="314">
        <f>Data!DQ32/AJ$4*100000*AJ$3</f>
        <v>16448.721111933548</v>
      </c>
      <c r="AK31" s="314">
        <f>Data!DR32/AK$4*100000*AK$3</f>
        <v>48434.679230328911</v>
      </c>
      <c r="AL31" s="322" t="s">
        <v>352</v>
      </c>
      <c r="AM31" s="314">
        <f t="shared" si="4"/>
        <v>107270.73812095678</v>
      </c>
      <c r="AN31" s="314">
        <f>Data!DA32/AN$4*100000*AN$3</f>
        <v>0</v>
      </c>
      <c r="AO31" s="314">
        <f>Data!DB32/AO$4*100000*AO$3</f>
        <v>0</v>
      </c>
      <c r="AP31" s="314">
        <f>Data!DC32/AP$4*100000*AP$3</f>
        <v>0</v>
      </c>
      <c r="AQ31" s="314">
        <f>Data!DD32/AQ$4*100000*AQ$3</f>
        <v>0</v>
      </c>
      <c r="AR31" s="314">
        <f>Data!DE32/AR$4*100000*AR$3</f>
        <v>0</v>
      </c>
      <c r="AS31" s="314">
        <f>Data!DF32/AS$4*100000*AS$3</f>
        <v>0</v>
      </c>
      <c r="AT31" s="314">
        <f>Data!DG32/AT$4*100000*AT$3</f>
        <v>0</v>
      </c>
      <c r="AU31" s="314">
        <f>Data!DH32/AU$4*100000*AU$3</f>
        <v>0</v>
      </c>
      <c r="AV31" s="314">
        <f>Data!DI32/AV$4*100000*AV$3</f>
        <v>0</v>
      </c>
      <c r="AW31" s="314">
        <f>Data!DJ32/AW$4*100000*AW$3</f>
        <v>0</v>
      </c>
      <c r="AX31" s="314">
        <f>Data!DK32/AX$4*100000*AX$3</f>
        <v>0</v>
      </c>
      <c r="AY31" s="314">
        <f>Data!DL32/AY$4*100000*AY$3</f>
        <v>7416.540739985352</v>
      </c>
      <c r="AZ31" s="314">
        <f>Data!DM32/AZ$4*100000*AZ$3</f>
        <v>20219.175866391684</v>
      </c>
      <c r="BA31" s="314">
        <f>Data!DN32/BA$4*100000*BA$3</f>
        <v>3603.7334678727161</v>
      </c>
      <c r="BB31" s="314">
        <f>Data!DO32/BB$4*100000*BB$3</f>
        <v>19985.344081007261</v>
      </c>
      <c r="BC31" s="314">
        <f>Data!DP32/BC$4*100000*BC$3</f>
        <v>23604.243794568538</v>
      </c>
      <c r="BD31" s="314">
        <f>Data!DQ32/BD$4*100000*BD$3</f>
        <v>8224.360555966774</v>
      </c>
      <c r="BE31" s="314">
        <f>Data!DR32/BE$4*100000*BE$3</f>
        <v>24217.339615164456</v>
      </c>
    </row>
    <row r="32" spans="1:57" ht="12" customHeight="1">
      <c r="A32" s="64"/>
      <c r="B32" s="123" t="str">
        <f>UPPER(LEFT(TRIM(Data!B33),1)) &amp; MID(TRIM(Data!B33),2,50)</f>
        <v>Kitų šlapimą išskiriančių organų</v>
      </c>
      <c r="C32" s="123" t="str">
        <f>UPPER(LEFT(TRIM(Data!C33),1)) &amp; MID(TRIM(Data!C33),2,50)</f>
        <v>C65, C66, C68</v>
      </c>
      <c r="D32" s="136">
        <f>Data!BR33</f>
        <v>7</v>
      </c>
      <c r="E32" s="137">
        <f t="shared" si="5"/>
        <v>0.438803795778206</v>
      </c>
      <c r="F32" s="127">
        <f t="shared" si="6"/>
        <v>0.1883041376427024</v>
      </c>
      <c r="G32" s="127">
        <f t="shared" si="7"/>
        <v>0.10931645072114497</v>
      </c>
      <c r="H32" s="68"/>
      <c r="I32" s="68"/>
      <c r="J32" s="68"/>
      <c r="K32" s="68"/>
      <c r="L32" s="68"/>
      <c r="M32" s="68"/>
      <c r="N32" s="68"/>
      <c r="O32" s="68"/>
      <c r="P32" s="68"/>
      <c r="Q32" s="307"/>
      <c r="R32" s="322" t="s">
        <v>352</v>
      </c>
      <c r="S32" s="314">
        <f t="shared" si="3"/>
        <v>18830.413764270241</v>
      </c>
      <c r="T32" s="314">
        <f>Data!DA33/T$4*100000*T$3</f>
        <v>0</v>
      </c>
      <c r="U32" s="314">
        <f>Data!DB33/U$4*100000*U$3</f>
        <v>0</v>
      </c>
      <c r="V32" s="314">
        <f>Data!DC33/V$4*100000*V$3</f>
        <v>0</v>
      </c>
      <c r="W32" s="314">
        <f>Data!DD33/W$4*100000*W$3</f>
        <v>0</v>
      </c>
      <c r="X32" s="314">
        <f>Data!DE33/X$4*100000*X$3</f>
        <v>0</v>
      </c>
      <c r="Y32" s="314">
        <f>Data!DF33/Y$4*100000*Y$3</f>
        <v>0</v>
      </c>
      <c r="Z32" s="314">
        <f>Data!DG33/Z$4*100000*Z$3</f>
        <v>0</v>
      </c>
      <c r="AA32" s="314">
        <f>Data!DH33/AA$4*100000*AA$3</f>
        <v>0</v>
      </c>
      <c r="AB32" s="314">
        <f>Data!DI33/AB$4*100000*AB$3</f>
        <v>0</v>
      </c>
      <c r="AC32" s="314">
        <f>Data!DJ33/AC$4*100000*AC$3</f>
        <v>0</v>
      </c>
      <c r="AD32" s="314">
        <f>Data!DK33/AD$4*100000*AD$3</f>
        <v>0</v>
      </c>
      <c r="AE32" s="314">
        <f>Data!DL33/AE$4*100000*AE$3</f>
        <v>0</v>
      </c>
      <c r="AF32" s="314">
        <f>Data!DM33/AF$4*100000*AF$3</f>
        <v>5054.7939665979211</v>
      </c>
      <c r="AG32" s="314">
        <f>Data!DN33/AG$4*100000*AG$3</f>
        <v>0</v>
      </c>
      <c r="AH32" s="314">
        <f>Data!DO33/AH$4*100000*AH$3</f>
        <v>0</v>
      </c>
      <c r="AI32" s="314">
        <f>Data!DP33/AI$4*100000*AI$3</f>
        <v>4969.3144830670608</v>
      </c>
      <c r="AJ32" s="314">
        <f>Data!DQ33/AJ$4*100000*AJ$3</f>
        <v>0</v>
      </c>
      <c r="AK32" s="314">
        <f>Data!DR33/AK$4*100000*AK$3</f>
        <v>8806.3053146052571</v>
      </c>
      <c r="AL32" s="322" t="s">
        <v>352</v>
      </c>
      <c r="AM32" s="314">
        <f t="shared" si="4"/>
        <v>10931.645072114497</v>
      </c>
      <c r="AN32" s="314">
        <f>Data!DA33/AN$4*100000*AN$3</f>
        <v>0</v>
      </c>
      <c r="AO32" s="314">
        <f>Data!DB33/AO$4*100000*AO$3</f>
        <v>0</v>
      </c>
      <c r="AP32" s="314">
        <f>Data!DC33/AP$4*100000*AP$3</f>
        <v>0</v>
      </c>
      <c r="AQ32" s="314">
        <f>Data!DD33/AQ$4*100000*AQ$3</f>
        <v>0</v>
      </c>
      <c r="AR32" s="314">
        <f>Data!DE33/AR$4*100000*AR$3</f>
        <v>0</v>
      </c>
      <c r="AS32" s="314">
        <f>Data!DF33/AS$4*100000*AS$3</f>
        <v>0</v>
      </c>
      <c r="AT32" s="314">
        <f>Data!DG33/AT$4*100000*AT$3</f>
        <v>0</v>
      </c>
      <c r="AU32" s="314">
        <f>Data!DH33/AU$4*100000*AU$3</f>
        <v>0</v>
      </c>
      <c r="AV32" s="314">
        <f>Data!DI33/AV$4*100000*AV$3</f>
        <v>0</v>
      </c>
      <c r="AW32" s="314">
        <f>Data!DJ33/AW$4*100000*AW$3</f>
        <v>0</v>
      </c>
      <c r="AX32" s="314">
        <f>Data!DK33/AX$4*100000*AX$3</f>
        <v>0</v>
      </c>
      <c r="AY32" s="314">
        <f>Data!DL33/AY$4*100000*AY$3</f>
        <v>0</v>
      </c>
      <c r="AZ32" s="314">
        <f>Data!DM33/AZ$4*100000*AZ$3</f>
        <v>4043.8351732783372</v>
      </c>
      <c r="BA32" s="314">
        <f>Data!DN33/BA$4*100000*BA$3</f>
        <v>0</v>
      </c>
      <c r="BB32" s="314">
        <f>Data!DO33/BB$4*100000*BB$3</f>
        <v>0</v>
      </c>
      <c r="BC32" s="314">
        <f>Data!DP33/BC$4*100000*BC$3</f>
        <v>2484.6572415335304</v>
      </c>
      <c r="BD32" s="314">
        <f>Data!DQ33/BD$4*100000*BD$3</f>
        <v>0</v>
      </c>
      <c r="BE32" s="314">
        <f>Data!DR33/BE$4*100000*BE$3</f>
        <v>4403.1526573026285</v>
      </c>
    </row>
    <row r="33" spans="1:57" ht="12" customHeight="1">
      <c r="A33" s="64"/>
      <c r="B33" s="145" t="str">
        <f>UPPER(LEFT(TRIM(Data!B34),1)) &amp; MID(TRIM(Data!B34),2,50)</f>
        <v>Akių</v>
      </c>
      <c r="C33" s="139" t="str">
        <f>UPPER(LEFT(TRIM(Data!C34),1)) &amp; MID(TRIM(Data!C34),2,50)</f>
        <v>C69</v>
      </c>
      <c r="D33" s="146">
        <f>Data!BR34</f>
        <v>8</v>
      </c>
      <c r="E33" s="147">
        <f t="shared" si="5"/>
        <v>0.50149005231794963</v>
      </c>
      <c r="F33" s="148">
        <f t="shared" si="6"/>
        <v>0.32685576944134892</v>
      </c>
      <c r="G33" s="148">
        <f t="shared" si="7"/>
        <v>0.23897420271679995</v>
      </c>
      <c r="H33" s="68"/>
      <c r="I33" s="68"/>
      <c r="J33" s="68"/>
      <c r="K33" s="68"/>
      <c r="L33" s="68"/>
      <c r="M33" s="68"/>
      <c r="N33" s="68"/>
      <c r="O33" s="68"/>
      <c r="P33" s="68"/>
      <c r="Q33" s="307"/>
      <c r="R33" s="322" t="s">
        <v>352</v>
      </c>
      <c r="S33" s="314">
        <f t="shared" si="3"/>
        <v>32685.576944134893</v>
      </c>
      <c r="T33" s="314">
        <f>Data!DA34/T$4*100000*T$3</f>
        <v>0</v>
      </c>
      <c r="U33" s="314">
        <f>Data!DB34/U$4*100000*U$3</f>
        <v>0</v>
      </c>
      <c r="V33" s="314">
        <f>Data!DC34/V$4*100000*V$3</f>
        <v>0</v>
      </c>
      <c r="W33" s="314">
        <f>Data!DD34/W$4*100000*W$3</f>
        <v>0</v>
      </c>
      <c r="X33" s="314">
        <f>Data!DE34/X$4*100000*X$3</f>
        <v>0</v>
      </c>
      <c r="Y33" s="314">
        <f>Data!DF34/Y$4*100000*Y$3</f>
        <v>0</v>
      </c>
      <c r="Z33" s="314">
        <f>Data!DG34/Z$4*100000*Z$3</f>
        <v>0</v>
      </c>
      <c r="AA33" s="314">
        <f>Data!DH34/AA$4*100000*AA$3</f>
        <v>7342.4519593857522</v>
      </c>
      <c r="AB33" s="314">
        <f>Data!DI34/AB$4*100000*AB$3</f>
        <v>6455.6588460970934</v>
      </c>
      <c r="AC33" s="314">
        <f>Data!DJ34/AC$4*100000*AC$3</f>
        <v>0</v>
      </c>
      <c r="AD33" s="314">
        <f>Data!DK34/AD$4*100000*AD$3</f>
        <v>0</v>
      </c>
      <c r="AE33" s="314">
        <f>Data!DL34/AE$4*100000*AE$3</f>
        <v>0</v>
      </c>
      <c r="AF33" s="314">
        <f>Data!DM34/AF$4*100000*AF$3</f>
        <v>5054.7939665979211</v>
      </c>
      <c r="AG33" s="314">
        <f>Data!DN34/AG$4*100000*AG$3</f>
        <v>0</v>
      </c>
      <c r="AH33" s="314">
        <f>Data!DO34/AH$4*100000*AH$3</f>
        <v>6661.7813603357536</v>
      </c>
      <c r="AI33" s="314">
        <f>Data!DP34/AI$4*100000*AI$3</f>
        <v>4969.3144830670608</v>
      </c>
      <c r="AJ33" s="314">
        <f>Data!DQ34/AJ$4*100000*AJ$3</f>
        <v>0</v>
      </c>
      <c r="AK33" s="314">
        <f>Data!DR34/AK$4*100000*AK$3</f>
        <v>2201.5763286513143</v>
      </c>
      <c r="AL33" s="322" t="s">
        <v>352</v>
      </c>
      <c r="AM33" s="314">
        <f t="shared" si="4"/>
        <v>23897.420271679995</v>
      </c>
      <c r="AN33" s="314">
        <f>Data!DA34/AN$4*100000*AN$3</f>
        <v>0</v>
      </c>
      <c r="AO33" s="314">
        <f>Data!DB34/AO$4*100000*AO$3</f>
        <v>0</v>
      </c>
      <c r="AP33" s="314">
        <f>Data!DC34/AP$4*100000*AP$3</f>
        <v>0</v>
      </c>
      <c r="AQ33" s="314">
        <f>Data!DD34/AQ$4*100000*AQ$3</f>
        <v>0</v>
      </c>
      <c r="AR33" s="314">
        <f>Data!DE34/AR$4*100000*AR$3</f>
        <v>0</v>
      </c>
      <c r="AS33" s="314">
        <f>Data!DF34/AS$4*100000*AS$3</f>
        <v>0</v>
      </c>
      <c r="AT33" s="314">
        <f>Data!DG34/AT$4*100000*AT$3</f>
        <v>0</v>
      </c>
      <c r="AU33" s="314">
        <f>Data!DH34/AU$4*100000*AU$3</f>
        <v>6293.530250902073</v>
      </c>
      <c r="AV33" s="314">
        <f>Data!DI34/AV$4*100000*AV$3</f>
        <v>5533.4218680832228</v>
      </c>
      <c r="AW33" s="314">
        <f>Data!DJ34/AW$4*100000*AW$3</f>
        <v>0</v>
      </c>
      <c r="AX33" s="314">
        <f>Data!DK34/AX$4*100000*AX$3</f>
        <v>0</v>
      </c>
      <c r="AY33" s="314">
        <f>Data!DL34/AY$4*100000*AY$3</f>
        <v>0</v>
      </c>
      <c r="AZ33" s="314">
        <f>Data!DM34/AZ$4*100000*AZ$3</f>
        <v>4043.8351732783372</v>
      </c>
      <c r="BA33" s="314">
        <f>Data!DN34/BA$4*100000*BA$3</f>
        <v>0</v>
      </c>
      <c r="BB33" s="314">
        <f>Data!DO34/BB$4*100000*BB$3</f>
        <v>4441.1875735571693</v>
      </c>
      <c r="BC33" s="314">
        <f>Data!DP34/BC$4*100000*BC$3</f>
        <v>2484.6572415335304</v>
      </c>
      <c r="BD33" s="314">
        <f>Data!DQ34/BD$4*100000*BD$3</f>
        <v>0</v>
      </c>
      <c r="BE33" s="314">
        <f>Data!DR34/BE$4*100000*BE$3</f>
        <v>1100.7881643256571</v>
      </c>
    </row>
    <row r="34" spans="1:57" ht="12" customHeight="1">
      <c r="A34" s="64"/>
      <c r="B34" s="123" t="str">
        <f>UPPER(LEFT(TRIM(Data!B35),1)) &amp; MID(TRIM(Data!B35),2,50)</f>
        <v>Smegenų</v>
      </c>
      <c r="C34" s="123" t="str">
        <f>UPPER(LEFT(TRIM(Data!C35),1)) &amp; MID(TRIM(Data!C35),2,50)</f>
        <v>C70-C72</v>
      </c>
      <c r="D34" s="136">
        <f>Data!BR35</f>
        <v>142</v>
      </c>
      <c r="E34" s="137">
        <f t="shared" si="5"/>
        <v>8.901448428643608</v>
      </c>
      <c r="F34" s="127">
        <f t="shared" si="6"/>
        <v>6.3440156912909167</v>
      </c>
      <c r="G34" s="127">
        <f t="shared" si="7"/>
        <v>4.906146053188877</v>
      </c>
      <c r="H34" s="68"/>
      <c r="I34" s="68"/>
      <c r="J34" s="68"/>
      <c r="K34" s="68"/>
      <c r="L34" s="68"/>
      <c r="M34" s="68"/>
      <c r="N34" s="68"/>
      <c r="O34" s="68"/>
      <c r="P34" s="68"/>
      <c r="Q34" s="307"/>
      <c r="R34" s="322" t="s">
        <v>352</v>
      </c>
      <c r="S34" s="314">
        <f t="shared" si="3"/>
        <v>634401.56912909169</v>
      </c>
      <c r="T34" s="314">
        <f>Data!DA35/T$4*100000*T$3</f>
        <v>0</v>
      </c>
      <c r="U34" s="314">
        <f>Data!DB35/U$4*100000*U$3</f>
        <v>21220.480795464879</v>
      </c>
      <c r="V34" s="314">
        <f>Data!DC35/V$4*100000*V$3</f>
        <v>9790.6205854791115</v>
      </c>
      <c r="W34" s="314">
        <f>Data!DD35/W$4*100000*W$3</f>
        <v>0</v>
      </c>
      <c r="X34" s="314">
        <f>Data!DE35/X$4*100000*X$3</f>
        <v>13471.123684159882</v>
      </c>
      <c r="Y34" s="314">
        <f>Data!DF35/Y$4*100000*Y$3</f>
        <v>14728.005302081907</v>
      </c>
      <c r="Z34" s="314">
        <f>Data!DG35/Z$4*100000*Z$3</f>
        <v>32041.379152505524</v>
      </c>
      <c r="AA34" s="314">
        <f>Data!DH35/AA$4*100000*AA$3</f>
        <v>22027.355878157254</v>
      </c>
      <c r="AB34" s="314">
        <f>Data!DI35/AB$4*100000*AB$3</f>
        <v>51645.270768776747</v>
      </c>
      <c r="AC34" s="314">
        <f>Data!DJ35/AC$4*100000*AC$3</f>
        <v>43649.061545176774</v>
      </c>
      <c r="AD34" s="314">
        <f>Data!DK35/AD$4*100000*AD$3</f>
        <v>55505.776565461128</v>
      </c>
      <c r="AE34" s="314">
        <f>Data!DL35/AE$4*100000*AE$3</f>
        <v>83436.083324835199</v>
      </c>
      <c r="AF34" s="314">
        <f>Data!DM35/AF$4*100000*AF$3</f>
        <v>65712.321565772974</v>
      </c>
      <c r="AG34" s="314">
        <f>Data!DN35/AG$4*100000*AG$3</f>
        <v>67269.6914002907</v>
      </c>
      <c r="AH34" s="314">
        <f>Data!DO35/AH$4*100000*AH$3</f>
        <v>73279.594963693293</v>
      </c>
      <c r="AI34" s="314">
        <f>Data!DP35/AI$4*100000*AI$3</f>
        <v>27331.229656868836</v>
      </c>
      <c r="AJ34" s="314">
        <f>Data!DQ35/AJ$4*100000*AJ$3</f>
        <v>24673.081667900318</v>
      </c>
      <c r="AK34" s="314">
        <f>Data!DR35/AK$4*100000*AK$3</f>
        <v>28620.492272467083</v>
      </c>
      <c r="AL34" s="322" t="s">
        <v>352</v>
      </c>
      <c r="AM34" s="314">
        <f t="shared" si="4"/>
        <v>490614.60531888768</v>
      </c>
      <c r="AN34" s="314">
        <f>Data!DA35/AN$4*100000*AN$3</f>
        <v>0</v>
      </c>
      <c r="AO34" s="314">
        <f>Data!DB35/AO$4*100000*AO$3</f>
        <v>30314.972564949829</v>
      </c>
      <c r="AP34" s="314">
        <f>Data!DC35/AP$4*100000*AP$3</f>
        <v>12587.940752758857</v>
      </c>
      <c r="AQ34" s="314">
        <f>Data!DD35/AQ$4*100000*AQ$3</f>
        <v>0</v>
      </c>
      <c r="AR34" s="314">
        <f>Data!DE35/AR$4*100000*AR$3</f>
        <v>15395.569924754151</v>
      </c>
      <c r="AS34" s="314">
        <f>Data!DF35/AS$4*100000*AS$3</f>
        <v>16832.00605952218</v>
      </c>
      <c r="AT34" s="314">
        <f>Data!DG35/AT$4*100000*AT$3</f>
        <v>27464.039273576163</v>
      </c>
      <c r="AU34" s="314">
        <f>Data!DH35/AU$4*100000*AU$3</f>
        <v>18880.590752706219</v>
      </c>
      <c r="AV34" s="314">
        <f>Data!DI35/AV$4*100000*AV$3</f>
        <v>44267.374944665782</v>
      </c>
      <c r="AW34" s="314">
        <f>Data!DJ35/AW$4*100000*AW$3</f>
        <v>37413.481324437234</v>
      </c>
      <c r="AX34" s="314">
        <f>Data!DK35/AX$4*100000*AX$3</f>
        <v>39646.983261043664</v>
      </c>
      <c r="AY34" s="314">
        <f>Data!DL35/AY$4*100000*AY$3</f>
        <v>55624.055549890138</v>
      </c>
      <c r="AZ34" s="314">
        <f>Data!DM35/AZ$4*100000*AZ$3</f>
        <v>52569.857252618385</v>
      </c>
      <c r="BA34" s="314">
        <f>Data!DN35/BA$4*100000*BA$3</f>
        <v>50452.268550218025</v>
      </c>
      <c r="BB34" s="314">
        <f>Data!DO35/BB$4*100000*BB$3</f>
        <v>48853.063309128862</v>
      </c>
      <c r="BC34" s="314">
        <f>Data!DP35/BC$4*100000*BC$3</f>
        <v>13665.614828434418</v>
      </c>
      <c r="BD34" s="314">
        <f>Data!DQ35/BD$4*100000*BD$3</f>
        <v>12336.540833950159</v>
      </c>
      <c r="BE34" s="314">
        <f>Data!DR35/BE$4*100000*BE$3</f>
        <v>14310.246136233542</v>
      </c>
    </row>
    <row r="35" spans="1:57" ht="12" customHeight="1">
      <c r="A35" s="64"/>
      <c r="B35" s="145" t="str">
        <f>UPPER(LEFT(TRIM(Data!B36),1)) &amp; MID(TRIM(Data!B36),2,50)</f>
        <v>Skydliaukės</v>
      </c>
      <c r="C35" s="139" t="str">
        <f>UPPER(LEFT(TRIM(Data!C36),1)) &amp; MID(TRIM(Data!C36),2,50)</f>
        <v>C73</v>
      </c>
      <c r="D35" s="146">
        <f>Data!BR36</f>
        <v>15</v>
      </c>
      <c r="E35" s="147">
        <f t="shared" si="5"/>
        <v>0.94029384809615568</v>
      </c>
      <c r="F35" s="148">
        <f t="shared" si="6"/>
        <v>0.44601821648630496</v>
      </c>
      <c r="G35" s="148">
        <f t="shared" si="7"/>
        <v>0.27227352298904517</v>
      </c>
      <c r="H35" s="68"/>
      <c r="I35" s="68"/>
      <c r="J35" s="68"/>
      <c r="K35" s="68"/>
      <c r="L35" s="68"/>
      <c r="M35" s="68"/>
      <c r="N35" s="68"/>
      <c r="O35" s="68"/>
      <c r="P35" s="68"/>
      <c r="Q35" s="307"/>
      <c r="R35" s="322" t="s">
        <v>352</v>
      </c>
      <c r="S35" s="314">
        <f t="shared" si="3"/>
        <v>44601.821648630495</v>
      </c>
      <c r="T35" s="314">
        <f>Data!DA36/T$4*100000*T$3</f>
        <v>0</v>
      </c>
      <c r="U35" s="314">
        <f>Data!DB36/U$4*100000*U$3</f>
        <v>0</v>
      </c>
      <c r="V35" s="314">
        <f>Data!DC36/V$4*100000*V$3</f>
        <v>0</v>
      </c>
      <c r="W35" s="314">
        <f>Data!DD36/W$4*100000*W$3</f>
        <v>0</v>
      </c>
      <c r="X35" s="314">
        <f>Data!DE36/X$4*100000*X$3</f>
        <v>0</v>
      </c>
      <c r="Y35" s="314">
        <f>Data!DF36/Y$4*100000*Y$3</f>
        <v>0</v>
      </c>
      <c r="Z35" s="314">
        <f>Data!DG36/Z$4*100000*Z$3</f>
        <v>0</v>
      </c>
      <c r="AA35" s="314">
        <f>Data!DH36/AA$4*100000*AA$3</f>
        <v>0</v>
      </c>
      <c r="AB35" s="314">
        <f>Data!DI36/AB$4*100000*AB$3</f>
        <v>0</v>
      </c>
      <c r="AC35" s="314">
        <f>Data!DJ36/AC$4*100000*AC$3</f>
        <v>0</v>
      </c>
      <c r="AD35" s="314">
        <f>Data!DK36/AD$4*100000*AD$3</f>
        <v>5550.5776565461138</v>
      </c>
      <c r="AE35" s="314">
        <f>Data!DL36/AE$4*100000*AE$3</f>
        <v>0</v>
      </c>
      <c r="AF35" s="314">
        <f>Data!DM36/AF$4*100000*AF$3</f>
        <v>5054.7939665979211</v>
      </c>
      <c r="AG35" s="314">
        <f>Data!DN36/AG$4*100000*AG$3</f>
        <v>0</v>
      </c>
      <c r="AH35" s="314">
        <f>Data!DO36/AH$4*100000*AH$3</f>
        <v>13323.562720671507</v>
      </c>
      <c r="AI35" s="314">
        <f>Data!DP36/AI$4*100000*AI$3</f>
        <v>12423.286207667652</v>
      </c>
      <c r="AJ35" s="314">
        <f>Data!DQ36/AJ$4*100000*AJ$3</f>
        <v>1644.8721111933548</v>
      </c>
      <c r="AK35" s="314">
        <f>Data!DR36/AK$4*100000*AK$3</f>
        <v>6604.7289859539433</v>
      </c>
      <c r="AL35" s="322" t="s">
        <v>352</v>
      </c>
      <c r="AM35" s="314">
        <f t="shared" si="4"/>
        <v>27227.35229890452</v>
      </c>
      <c r="AN35" s="314">
        <f>Data!DA36/AN$4*100000*AN$3</f>
        <v>0</v>
      </c>
      <c r="AO35" s="314">
        <f>Data!DB36/AO$4*100000*AO$3</f>
        <v>0</v>
      </c>
      <c r="AP35" s="314">
        <f>Data!DC36/AP$4*100000*AP$3</f>
        <v>0</v>
      </c>
      <c r="AQ35" s="314">
        <f>Data!DD36/AQ$4*100000*AQ$3</f>
        <v>0</v>
      </c>
      <c r="AR35" s="314">
        <f>Data!DE36/AR$4*100000*AR$3</f>
        <v>0</v>
      </c>
      <c r="AS35" s="314">
        <f>Data!DF36/AS$4*100000*AS$3</f>
        <v>0</v>
      </c>
      <c r="AT35" s="314">
        <f>Data!DG36/AT$4*100000*AT$3</f>
        <v>0</v>
      </c>
      <c r="AU35" s="314">
        <f>Data!DH36/AU$4*100000*AU$3</f>
        <v>0</v>
      </c>
      <c r="AV35" s="314">
        <f>Data!DI36/AV$4*100000*AV$3</f>
        <v>0</v>
      </c>
      <c r="AW35" s="314">
        <f>Data!DJ36/AW$4*100000*AW$3</f>
        <v>0</v>
      </c>
      <c r="AX35" s="314">
        <f>Data!DK36/AX$4*100000*AX$3</f>
        <v>3964.6983261043665</v>
      </c>
      <c r="AY35" s="314">
        <f>Data!DL36/AY$4*100000*AY$3</f>
        <v>0</v>
      </c>
      <c r="AZ35" s="314">
        <f>Data!DM36/AZ$4*100000*AZ$3</f>
        <v>4043.8351732783372</v>
      </c>
      <c r="BA35" s="314">
        <f>Data!DN36/BA$4*100000*BA$3</f>
        <v>0</v>
      </c>
      <c r="BB35" s="314">
        <f>Data!DO36/BB$4*100000*BB$3</f>
        <v>8882.3751471143387</v>
      </c>
      <c r="BC35" s="314">
        <f>Data!DP36/BC$4*100000*BC$3</f>
        <v>6211.643103833826</v>
      </c>
      <c r="BD35" s="314">
        <f>Data!DQ36/BD$4*100000*BD$3</f>
        <v>822.43605559667742</v>
      </c>
      <c r="BE35" s="314">
        <f>Data!DR36/BE$4*100000*BE$3</f>
        <v>3302.3644929769716</v>
      </c>
    </row>
    <row r="36" spans="1:57" ht="12" customHeight="1">
      <c r="A36" s="64"/>
      <c r="B36" s="123" t="str">
        <f>UPPER(LEFT(TRIM(Data!B37),1)) &amp; MID(TRIM(Data!B37),2,50)</f>
        <v>Kitų endokrininių liaukų</v>
      </c>
      <c r="C36" s="123" t="str">
        <f>UPPER(LEFT(TRIM(Data!C37),1)) &amp; MID(TRIM(Data!C37),2,50)</f>
        <v>C74-C75</v>
      </c>
      <c r="D36" s="136">
        <f>Data!BR37</f>
        <v>5</v>
      </c>
      <c r="E36" s="137">
        <f t="shared" si="5"/>
        <v>0.31343128269871856</v>
      </c>
      <c r="F36" s="127">
        <f t="shared" si="6"/>
        <v>0.19226816452254836</v>
      </c>
      <c r="G36" s="127">
        <f t="shared" si="7"/>
        <v>0.16914192029450759</v>
      </c>
      <c r="H36" s="68"/>
      <c r="I36" s="68"/>
      <c r="J36" s="68"/>
      <c r="K36" s="68"/>
      <c r="L36" s="68"/>
      <c r="M36" s="68"/>
      <c r="N36" s="68"/>
      <c r="O36" s="68"/>
      <c r="P36" s="68"/>
      <c r="Q36" s="307"/>
      <c r="R36" s="322" t="s">
        <v>352</v>
      </c>
      <c r="S36" s="314">
        <f t="shared" si="3"/>
        <v>19226.816452254836</v>
      </c>
      <c r="T36" s="314">
        <f>Data!DA37/T$4*100000*T$3</f>
        <v>0</v>
      </c>
      <c r="U36" s="314">
        <f>Data!DB37/U$4*100000*U$3</f>
        <v>0</v>
      </c>
      <c r="V36" s="314">
        <f>Data!DC37/V$4*100000*V$3</f>
        <v>0</v>
      </c>
      <c r="W36" s="314">
        <f>Data!DD37/W$4*100000*W$3</f>
        <v>7878.8015217342372</v>
      </c>
      <c r="X36" s="314">
        <f>Data!DE37/X$4*100000*X$3</f>
        <v>0</v>
      </c>
      <c r="Y36" s="314">
        <f>Data!DF37/Y$4*100000*Y$3</f>
        <v>0</v>
      </c>
      <c r="Z36" s="314">
        <f>Data!DG37/Z$4*100000*Z$3</f>
        <v>0</v>
      </c>
      <c r="AA36" s="314">
        <f>Data!DH37/AA$4*100000*AA$3</f>
        <v>0</v>
      </c>
      <c r="AB36" s="314">
        <f>Data!DI37/AB$4*100000*AB$3</f>
        <v>0</v>
      </c>
      <c r="AC36" s="314">
        <f>Data!DJ37/AC$4*100000*AC$3</f>
        <v>0</v>
      </c>
      <c r="AD36" s="314">
        <f>Data!DK37/AD$4*100000*AD$3</f>
        <v>0</v>
      </c>
      <c r="AE36" s="314">
        <f>Data!DL37/AE$4*100000*AE$3</f>
        <v>0</v>
      </c>
      <c r="AF36" s="314">
        <f>Data!DM37/AF$4*100000*AF$3</f>
        <v>0</v>
      </c>
      <c r="AG36" s="314">
        <f>Data!DN37/AG$4*100000*AG$3</f>
        <v>0</v>
      </c>
      <c r="AH36" s="314">
        <f>Data!DO37/AH$4*100000*AH$3</f>
        <v>6661.7813603357536</v>
      </c>
      <c r="AI36" s="314">
        <f>Data!DP37/AI$4*100000*AI$3</f>
        <v>2484.6572415335304</v>
      </c>
      <c r="AJ36" s="314">
        <f>Data!DQ37/AJ$4*100000*AJ$3</f>
        <v>0</v>
      </c>
      <c r="AK36" s="314">
        <f>Data!DR37/AK$4*100000*AK$3</f>
        <v>2201.5763286513143</v>
      </c>
      <c r="AL36" s="322" t="s">
        <v>352</v>
      </c>
      <c r="AM36" s="314">
        <f t="shared" si="4"/>
        <v>16914.192029450758</v>
      </c>
      <c r="AN36" s="314">
        <f>Data!DA37/AN$4*100000*AN$3</f>
        <v>0</v>
      </c>
      <c r="AO36" s="314">
        <f>Data!DB37/AO$4*100000*AO$3</f>
        <v>0</v>
      </c>
      <c r="AP36" s="314">
        <f>Data!DC37/AP$4*100000*AP$3</f>
        <v>0</v>
      </c>
      <c r="AQ36" s="314">
        <f>Data!DD37/AQ$4*100000*AQ$3</f>
        <v>10129.887670801163</v>
      </c>
      <c r="AR36" s="314">
        <f>Data!DE37/AR$4*100000*AR$3</f>
        <v>0</v>
      </c>
      <c r="AS36" s="314">
        <f>Data!DF37/AS$4*100000*AS$3</f>
        <v>0</v>
      </c>
      <c r="AT36" s="314">
        <f>Data!DG37/AT$4*100000*AT$3</f>
        <v>0</v>
      </c>
      <c r="AU36" s="314">
        <f>Data!DH37/AU$4*100000*AU$3</f>
        <v>0</v>
      </c>
      <c r="AV36" s="314">
        <f>Data!DI37/AV$4*100000*AV$3</f>
        <v>0</v>
      </c>
      <c r="AW36" s="314">
        <f>Data!DJ37/AW$4*100000*AW$3</f>
        <v>0</v>
      </c>
      <c r="AX36" s="314">
        <f>Data!DK37/AX$4*100000*AX$3</f>
        <v>0</v>
      </c>
      <c r="AY36" s="314">
        <f>Data!DL37/AY$4*100000*AY$3</f>
        <v>0</v>
      </c>
      <c r="AZ36" s="314">
        <f>Data!DM37/AZ$4*100000*AZ$3</f>
        <v>0</v>
      </c>
      <c r="BA36" s="314">
        <f>Data!DN37/BA$4*100000*BA$3</f>
        <v>0</v>
      </c>
      <c r="BB36" s="314">
        <f>Data!DO37/BB$4*100000*BB$3</f>
        <v>4441.1875735571693</v>
      </c>
      <c r="BC36" s="314">
        <f>Data!DP37/BC$4*100000*BC$3</f>
        <v>1242.3286207667652</v>
      </c>
      <c r="BD36" s="314">
        <f>Data!DQ37/BD$4*100000*BD$3</f>
        <v>0</v>
      </c>
      <c r="BE36" s="314">
        <f>Data!DR37/BE$4*100000*BE$3</f>
        <v>1100.7881643256571</v>
      </c>
    </row>
    <row r="37" spans="1:57" ht="12" customHeight="1">
      <c r="A37" s="64"/>
      <c r="B37" s="145" t="str">
        <f>UPPER(LEFT(TRIM(Data!B38),1)) &amp; MID(TRIM(Data!B38),2,50)</f>
        <v>Nepatikslintos lokalizacijos</v>
      </c>
      <c r="C37" s="139" t="str">
        <f>UPPER(LEFT(TRIM(Data!C38),1)) &amp; MID(TRIM(Data!C38),2,50)</f>
        <v>C76-C80</v>
      </c>
      <c r="D37" s="146">
        <f>Data!BR38</f>
        <v>194</v>
      </c>
      <c r="E37" s="147">
        <f t="shared" si="5"/>
        <v>12.161133768710281</v>
      </c>
      <c r="F37" s="148">
        <f t="shared" si="6"/>
        <v>6.4108371426189645</v>
      </c>
      <c r="G37" s="148">
        <f t="shared" si="7"/>
        <v>4.2668454765445221</v>
      </c>
      <c r="H37" s="68"/>
      <c r="I37" s="68"/>
      <c r="J37" s="68"/>
      <c r="K37" s="68"/>
      <c r="L37" s="68"/>
      <c r="M37" s="68"/>
      <c r="N37" s="68"/>
      <c r="O37" s="68"/>
      <c r="P37" s="68"/>
      <c r="Q37" s="307"/>
      <c r="R37" s="322" t="s">
        <v>352</v>
      </c>
      <c r="S37" s="314">
        <f t="shared" si="3"/>
        <v>641083.71426189644</v>
      </c>
      <c r="T37" s="314">
        <f>Data!DA38/T$4*100000*T$3</f>
        <v>0</v>
      </c>
      <c r="U37" s="314">
        <f>Data!DB38/U$4*100000*U$3</f>
        <v>0</v>
      </c>
      <c r="V37" s="314">
        <f>Data!DC38/V$4*100000*V$3</f>
        <v>0</v>
      </c>
      <c r="W37" s="314">
        <f>Data!DD38/W$4*100000*W$3</f>
        <v>0</v>
      </c>
      <c r="X37" s="314">
        <f>Data!DE38/X$4*100000*X$3</f>
        <v>0</v>
      </c>
      <c r="Y37" s="314">
        <f>Data!DF38/Y$4*100000*Y$3</f>
        <v>7364.0026510409534</v>
      </c>
      <c r="Z37" s="314">
        <f>Data!DG38/Z$4*100000*Z$3</f>
        <v>0</v>
      </c>
      <c r="AA37" s="314">
        <f>Data!DH38/AA$4*100000*AA$3</f>
        <v>14684.903918771504</v>
      </c>
      <c r="AB37" s="314">
        <f>Data!DI38/AB$4*100000*AB$3</f>
        <v>19366.976538291281</v>
      </c>
      <c r="AC37" s="314">
        <f>Data!DJ38/AC$4*100000*AC$3</f>
        <v>18706.740662218617</v>
      </c>
      <c r="AD37" s="314">
        <f>Data!DK38/AD$4*100000*AD$3</f>
        <v>38854.04359582279</v>
      </c>
      <c r="AE37" s="314">
        <f>Data!DL38/AE$4*100000*AE$3</f>
        <v>38936.838884923105</v>
      </c>
      <c r="AF37" s="314">
        <f>Data!DM38/AF$4*100000*AF$3</f>
        <v>85931.497432164659</v>
      </c>
      <c r="AG37" s="314">
        <f>Data!DN38/AG$4*100000*AG$3</f>
        <v>105709.51505759967</v>
      </c>
      <c r="AH37" s="314">
        <f>Data!DO38/AH$4*100000*AH$3</f>
        <v>93264.939044700557</v>
      </c>
      <c r="AI37" s="314">
        <f>Data!DP38/AI$4*100000*AI$3</f>
        <v>81993.688970606512</v>
      </c>
      <c r="AJ37" s="314">
        <f>Data!DQ38/AJ$4*100000*AJ$3</f>
        <v>59215.396002960762</v>
      </c>
      <c r="AK37" s="314">
        <f>Data!DR38/AK$4*100000*AK$3</f>
        <v>77055.171502796002</v>
      </c>
      <c r="AL37" s="322" t="s">
        <v>352</v>
      </c>
      <c r="AM37" s="314">
        <f t="shared" si="4"/>
        <v>426684.54765445221</v>
      </c>
      <c r="AN37" s="314">
        <f>Data!DA38/AN$4*100000*AN$3</f>
        <v>0</v>
      </c>
      <c r="AO37" s="314">
        <f>Data!DB38/AO$4*100000*AO$3</f>
        <v>0</v>
      </c>
      <c r="AP37" s="314">
        <f>Data!DC38/AP$4*100000*AP$3</f>
        <v>0</v>
      </c>
      <c r="AQ37" s="314">
        <f>Data!DD38/AQ$4*100000*AQ$3</f>
        <v>0</v>
      </c>
      <c r="AR37" s="314">
        <f>Data!DE38/AR$4*100000*AR$3</f>
        <v>0</v>
      </c>
      <c r="AS37" s="314">
        <f>Data!DF38/AS$4*100000*AS$3</f>
        <v>8416.0030297610901</v>
      </c>
      <c r="AT37" s="314">
        <f>Data!DG38/AT$4*100000*AT$3</f>
        <v>0</v>
      </c>
      <c r="AU37" s="314">
        <f>Data!DH38/AU$4*100000*AU$3</f>
        <v>12587.060501804146</v>
      </c>
      <c r="AV37" s="314">
        <f>Data!DI38/AV$4*100000*AV$3</f>
        <v>16600.265604249667</v>
      </c>
      <c r="AW37" s="314">
        <f>Data!DJ38/AW$4*100000*AW$3</f>
        <v>16034.349139044529</v>
      </c>
      <c r="AX37" s="314">
        <f>Data!DK38/AX$4*100000*AX$3</f>
        <v>27752.888282730564</v>
      </c>
      <c r="AY37" s="314">
        <f>Data!DL38/AY$4*100000*AY$3</f>
        <v>25957.892589948733</v>
      </c>
      <c r="AZ37" s="314">
        <f>Data!DM38/AZ$4*100000*AZ$3</f>
        <v>68745.197945731736</v>
      </c>
      <c r="BA37" s="314">
        <f>Data!DN38/BA$4*100000*BA$3</f>
        <v>79282.136293199743</v>
      </c>
      <c r="BB37" s="314">
        <f>Data!DO38/BB$4*100000*BB$3</f>
        <v>62176.626029800369</v>
      </c>
      <c r="BC37" s="314">
        <f>Data!DP38/BC$4*100000*BC$3</f>
        <v>40996.844485303256</v>
      </c>
      <c r="BD37" s="314">
        <f>Data!DQ38/BD$4*100000*BD$3</f>
        <v>29607.698001480381</v>
      </c>
      <c r="BE37" s="314">
        <f>Data!DR38/BE$4*100000*BE$3</f>
        <v>38527.585751398001</v>
      </c>
    </row>
    <row r="38" spans="1:57" ht="12" customHeight="1">
      <c r="A38" s="64"/>
      <c r="B38" s="123" t="str">
        <f>UPPER(LEFT(TRIM(Data!B39),1)) &amp; MID(TRIM(Data!B39),2,50)</f>
        <v>Hodžkino limfomos</v>
      </c>
      <c r="C38" s="123" t="str">
        <f>UPPER(LEFT(TRIM(Data!C39),1)) &amp; MID(TRIM(Data!C39),2,50)</f>
        <v>C81</v>
      </c>
      <c r="D38" s="136">
        <f>Data!BR39</f>
        <v>1</v>
      </c>
      <c r="E38" s="137">
        <f t="shared" si="5"/>
        <v>6.2686256539743704E-2</v>
      </c>
      <c r="F38" s="127">
        <f t="shared" si="6"/>
        <v>5.5505776565461136E-2</v>
      </c>
      <c r="G38" s="127">
        <f t="shared" si="7"/>
        <v>3.9646983261043663E-2</v>
      </c>
      <c r="H38" s="68"/>
      <c r="I38" s="68"/>
      <c r="J38" s="68"/>
      <c r="K38" s="68"/>
      <c r="L38" s="68"/>
      <c r="M38" s="68"/>
      <c r="N38" s="68"/>
      <c r="O38" s="68"/>
      <c r="P38" s="68"/>
      <c r="Q38" s="307"/>
      <c r="R38" s="322" t="s">
        <v>352</v>
      </c>
      <c r="S38" s="314">
        <f t="shared" si="3"/>
        <v>5550.5776565461138</v>
      </c>
      <c r="T38" s="314">
        <f>Data!DA39/T$4*100000*T$3</f>
        <v>0</v>
      </c>
      <c r="U38" s="314">
        <f>Data!DB39/U$4*100000*U$3</f>
        <v>0</v>
      </c>
      <c r="V38" s="314">
        <f>Data!DC39/V$4*100000*V$3</f>
        <v>0</v>
      </c>
      <c r="W38" s="314">
        <f>Data!DD39/W$4*100000*W$3</f>
        <v>0</v>
      </c>
      <c r="X38" s="314">
        <f>Data!DE39/X$4*100000*X$3</f>
        <v>0</v>
      </c>
      <c r="Y38" s="314">
        <f>Data!DF39/Y$4*100000*Y$3</f>
        <v>0</v>
      </c>
      <c r="Z38" s="314">
        <f>Data!DG39/Z$4*100000*Z$3</f>
        <v>0</v>
      </c>
      <c r="AA38" s="314">
        <f>Data!DH39/AA$4*100000*AA$3</f>
        <v>0</v>
      </c>
      <c r="AB38" s="314">
        <f>Data!DI39/AB$4*100000*AB$3</f>
        <v>0</v>
      </c>
      <c r="AC38" s="314">
        <f>Data!DJ39/AC$4*100000*AC$3</f>
        <v>0</v>
      </c>
      <c r="AD38" s="314">
        <f>Data!DK39/AD$4*100000*AD$3</f>
        <v>5550.5776565461138</v>
      </c>
      <c r="AE38" s="314">
        <f>Data!DL39/AE$4*100000*AE$3</f>
        <v>0</v>
      </c>
      <c r="AF38" s="314">
        <f>Data!DM39/AF$4*100000*AF$3</f>
        <v>0</v>
      </c>
      <c r="AG38" s="314">
        <f>Data!DN39/AG$4*100000*AG$3</f>
        <v>0</v>
      </c>
      <c r="AH38" s="314">
        <f>Data!DO39/AH$4*100000*AH$3</f>
        <v>0</v>
      </c>
      <c r="AI38" s="314">
        <f>Data!DP39/AI$4*100000*AI$3</f>
        <v>0</v>
      </c>
      <c r="AJ38" s="314">
        <f>Data!DQ39/AJ$4*100000*AJ$3</f>
        <v>0</v>
      </c>
      <c r="AK38" s="314">
        <f>Data!DR39/AK$4*100000*AK$3</f>
        <v>0</v>
      </c>
      <c r="AL38" s="322" t="s">
        <v>352</v>
      </c>
      <c r="AM38" s="314">
        <f t="shared" si="4"/>
        <v>3964.6983261043665</v>
      </c>
      <c r="AN38" s="314">
        <f>Data!DA39/AN$4*100000*AN$3</f>
        <v>0</v>
      </c>
      <c r="AO38" s="314">
        <f>Data!DB39/AO$4*100000*AO$3</f>
        <v>0</v>
      </c>
      <c r="AP38" s="314">
        <f>Data!DC39/AP$4*100000*AP$3</f>
        <v>0</v>
      </c>
      <c r="AQ38" s="314">
        <f>Data!DD39/AQ$4*100000*AQ$3</f>
        <v>0</v>
      </c>
      <c r="AR38" s="314">
        <f>Data!DE39/AR$4*100000*AR$3</f>
        <v>0</v>
      </c>
      <c r="AS38" s="314">
        <f>Data!DF39/AS$4*100000*AS$3</f>
        <v>0</v>
      </c>
      <c r="AT38" s="314">
        <f>Data!DG39/AT$4*100000*AT$3</f>
        <v>0</v>
      </c>
      <c r="AU38" s="314">
        <f>Data!DH39/AU$4*100000*AU$3</f>
        <v>0</v>
      </c>
      <c r="AV38" s="314">
        <f>Data!DI39/AV$4*100000*AV$3</f>
        <v>0</v>
      </c>
      <c r="AW38" s="314">
        <f>Data!DJ39/AW$4*100000*AW$3</f>
        <v>0</v>
      </c>
      <c r="AX38" s="314">
        <f>Data!DK39/AX$4*100000*AX$3</f>
        <v>3964.6983261043665</v>
      </c>
      <c r="AY38" s="314">
        <f>Data!DL39/AY$4*100000*AY$3</f>
        <v>0</v>
      </c>
      <c r="AZ38" s="314">
        <f>Data!DM39/AZ$4*100000*AZ$3</f>
        <v>0</v>
      </c>
      <c r="BA38" s="314">
        <f>Data!DN39/BA$4*100000*BA$3</f>
        <v>0</v>
      </c>
      <c r="BB38" s="314">
        <f>Data!DO39/BB$4*100000*BB$3</f>
        <v>0</v>
      </c>
      <c r="BC38" s="314">
        <f>Data!DP39/BC$4*100000*BC$3</f>
        <v>0</v>
      </c>
      <c r="BD38" s="314">
        <f>Data!DQ39/BD$4*100000*BD$3</f>
        <v>0</v>
      </c>
      <c r="BE38" s="314">
        <f>Data!DR39/BE$4*100000*BE$3</f>
        <v>0</v>
      </c>
    </row>
    <row r="39" spans="1:57" ht="12" customHeight="1">
      <c r="A39" s="64"/>
      <c r="B39" s="145" t="str">
        <f>UPPER(LEFT(TRIM(Data!B40),1)) &amp; MID(TRIM(Data!B40),2,50)</f>
        <v>Ne Hodžkino limfomos</v>
      </c>
      <c r="C39" s="139" t="str">
        <f>UPPER(LEFT(TRIM(Data!C40),1)) &amp; MID(TRIM(Data!C40),2,50)</f>
        <v>C82-C85</v>
      </c>
      <c r="D39" s="146">
        <f>Data!BR40</f>
        <v>80</v>
      </c>
      <c r="E39" s="147">
        <f t="shared" si="5"/>
        <v>5.014900523179497</v>
      </c>
      <c r="F39" s="148">
        <f t="shared" si="6"/>
        <v>2.5643989585245426</v>
      </c>
      <c r="G39" s="148">
        <f t="shared" si="7"/>
        <v>1.7051421938218863</v>
      </c>
      <c r="H39" s="68"/>
      <c r="I39" s="68"/>
      <c r="J39" s="68"/>
      <c r="K39" s="68"/>
      <c r="L39" s="68"/>
      <c r="M39" s="68"/>
      <c r="N39" s="68"/>
      <c r="O39" s="68"/>
      <c r="P39" s="68"/>
      <c r="Q39" s="307"/>
      <c r="R39" s="322" t="s">
        <v>352</v>
      </c>
      <c r="S39" s="314">
        <f t="shared" si="3"/>
        <v>256439.89585245424</v>
      </c>
      <c r="T39" s="314">
        <f>Data!DA40/T$4*100000*T$3</f>
        <v>0</v>
      </c>
      <c r="U39" s="314">
        <f>Data!DB40/U$4*100000*U$3</f>
        <v>0</v>
      </c>
      <c r="V39" s="314">
        <f>Data!DC40/V$4*100000*V$3</f>
        <v>0</v>
      </c>
      <c r="W39" s="314">
        <f>Data!DD40/W$4*100000*W$3</f>
        <v>0</v>
      </c>
      <c r="X39" s="314">
        <f>Data!DE40/X$4*100000*X$3</f>
        <v>0</v>
      </c>
      <c r="Y39" s="314">
        <f>Data!DF40/Y$4*100000*Y$3</f>
        <v>7364.0026510409534</v>
      </c>
      <c r="Z39" s="314">
        <f>Data!DG40/Z$4*100000*Z$3</f>
        <v>0</v>
      </c>
      <c r="AA39" s="314">
        <f>Data!DH40/AA$4*100000*AA$3</f>
        <v>0</v>
      </c>
      <c r="AB39" s="314">
        <f>Data!DI40/AB$4*100000*AB$3</f>
        <v>6455.6588460970934</v>
      </c>
      <c r="AC39" s="314">
        <f>Data!DJ40/AC$4*100000*AC$3</f>
        <v>12471.16044147908</v>
      </c>
      <c r="AD39" s="314">
        <f>Data!DK40/AD$4*100000*AD$3</f>
        <v>5550.5776565461138</v>
      </c>
      <c r="AE39" s="314">
        <f>Data!DL40/AE$4*100000*AE$3</f>
        <v>11124.811109978029</v>
      </c>
      <c r="AF39" s="314">
        <f>Data!DM40/AF$4*100000*AF$3</f>
        <v>40438.351732783369</v>
      </c>
      <c r="AG39" s="314">
        <f>Data!DN40/AG$4*100000*AG$3</f>
        <v>33634.84570014535</v>
      </c>
      <c r="AH39" s="314">
        <f>Data!DO40/AH$4*100000*AH$3</f>
        <v>43301.578842182404</v>
      </c>
      <c r="AI39" s="314">
        <f>Data!DP40/AI$4*100000*AI$3</f>
        <v>47208.487589137076</v>
      </c>
      <c r="AJ39" s="314">
        <f>Data!DQ40/AJ$4*100000*AJ$3</f>
        <v>24673.081667900318</v>
      </c>
      <c r="AK39" s="314">
        <f>Data!DR40/AK$4*100000*AK$3</f>
        <v>24217.339615164456</v>
      </c>
      <c r="AL39" s="322" t="s">
        <v>352</v>
      </c>
      <c r="AM39" s="314">
        <f t="shared" si="4"/>
        <v>170514.21938218863</v>
      </c>
      <c r="AN39" s="314">
        <f>Data!DA40/AN$4*100000*AN$3</f>
        <v>0</v>
      </c>
      <c r="AO39" s="314">
        <f>Data!DB40/AO$4*100000*AO$3</f>
        <v>0</v>
      </c>
      <c r="AP39" s="314">
        <f>Data!DC40/AP$4*100000*AP$3</f>
        <v>0</v>
      </c>
      <c r="AQ39" s="314">
        <f>Data!DD40/AQ$4*100000*AQ$3</f>
        <v>0</v>
      </c>
      <c r="AR39" s="314">
        <f>Data!DE40/AR$4*100000*AR$3</f>
        <v>0</v>
      </c>
      <c r="AS39" s="314">
        <f>Data!DF40/AS$4*100000*AS$3</f>
        <v>8416.0030297610901</v>
      </c>
      <c r="AT39" s="314">
        <f>Data!DG40/AT$4*100000*AT$3</f>
        <v>0</v>
      </c>
      <c r="AU39" s="314">
        <f>Data!DH40/AU$4*100000*AU$3</f>
        <v>0</v>
      </c>
      <c r="AV39" s="314">
        <f>Data!DI40/AV$4*100000*AV$3</f>
        <v>5533.4218680832228</v>
      </c>
      <c r="AW39" s="314">
        <f>Data!DJ40/AW$4*100000*AW$3</f>
        <v>10689.566092696354</v>
      </c>
      <c r="AX39" s="314">
        <f>Data!DK40/AX$4*100000*AX$3</f>
        <v>3964.6983261043665</v>
      </c>
      <c r="AY39" s="314">
        <f>Data!DL40/AY$4*100000*AY$3</f>
        <v>7416.540739985352</v>
      </c>
      <c r="AZ39" s="314">
        <f>Data!DM40/AZ$4*100000*AZ$3</f>
        <v>32350.681386226697</v>
      </c>
      <c r="BA39" s="314">
        <f>Data!DN40/BA$4*100000*BA$3</f>
        <v>25226.134275109012</v>
      </c>
      <c r="BB39" s="314">
        <f>Data!DO40/BB$4*100000*BB$3</f>
        <v>28867.719228121601</v>
      </c>
      <c r="BC39" s="314">
        <f>Data!DP40/BC$4*100000*BC$3</f>
        <v>23604.243794568538</v>
      </c>
      <c r="BD39" s="314">
        <f>Data!DQ40/BD$4*100000*BD$3</f>
        <v>12336.540833950159</v>
      </c>
      <c r="BE39" s="314">
        <f>Data!DR40/BE$4*100000*BE$3</f>
        <v>12108.669807582228</v>
      </c>
    </row>
    <row r="40" spans="1:57" ht="12" customHeight="1">
      <c r="A40" s="64"/>
      <c r="B40" s="123" t="str">
        <f>UPPER(LEFT(TRIM(Data!B41),1)) &amp; MID(TRIM(Data!B41),2,50)</f>
        <v>Mielominės ligos</v>
      </c>
      <c r="C40" s="123" t="str">
        <f>UPPER(LEFT(TRIM(Data!C41),1)) &amp; MID(TRIM(Data!C41),2,50)</f>
        <v>C90</v>
      </c>
      <c r="D40" s="136">
        <f>Data!BR41</f>
        <v>54</v>
      </c>
      <c r="E40" s="137">
        <f t="shared" si="5"/>
        <v>3.3850578531461606</v>
      </c>
      <c r="F40" s="127">
        <f t="shared" si="6"/>
        <v>1.6460121832659882</v>
      </c>
      <c r="G40" s="127">
        <f t="shared" si="7"/>
        <v>1.0520895628579388</v>
      </c>
      <c r="H40" s="68"/>
      <c r="I40" s="68"/>
      <c r="J40" s="68"/>
      <c r="K40" s="68"/>
      <c r="L40" s="68"/>
      <c r="M40" s="68"/>
      <c r="N40" s="68"/>
      <c r="O40" s="68"/>
      <c r="P40" s="68"/>
      <c r="Q40" s="307"/>
      <c r="R40" s="322" t="s">
        <v>352</v>
      </c>
      <c r="S40" s="314">
        <f t="shared" si="3"/>
        <v>164601.21832659881</v>
      </c>
      <c r="T40" s="314">
        <f>Data!DA41/T$4*100000*T$3</f>
        <v>0</v>
      </c>
      <c r="U40" s="314">
        <f>Data!DB41/U$4*100000*U$3</f>
        <v>0</v>
      </c>
      <c r="V40" s="314">
        <f>Data!DC41/V$4*100000*V$3</f>
        <v>0</v>
      </c>
      <c r="W40" s="314">
        <f>Data!DD41/W$4*100000*W$3</f>
        <v>0</v>
      </c>
      <c r="X40" s="314">
        <f>Data!DE41/X$4*100000*X$3</f>
        <v>0</v>
      </c>
      <c r="Y40" s="314">
        <f>Data!DF41/Y$4*100000*Y$3</f>
        <v>0</v>
      </c>
      <c r="Z40" s="314">
        <f>Data!DG41/Z$4*100000*Z$3</f>
        <v>0</v>
      </c>
      <c r="AA40" s="314">
        <f>Data!DH41/AA$4*100000*AA$3</f>
        <v>0</v>
      </c>
      <c r="AB40" s="314">
        <f>Data!DI41/AB$4*100000*AB$3</f>
        <v>0</v>
      </c>
      <c r="AC40" s="314">
        <f>Data!DJ41/AC$4*100000*AC$3</f>
        <v>0</v>
      </c>
      <c r="AD40" s="314">
        <f>Data!DK41/AD$4*100000*AD$3</f>
        <v>0</v>
      </c>
      <c r="AE40" s="314">
        <f>Data!DL41/AE$4*100000*AE$3</f>
        <v>0</v>
      </c>
      <c r="AF40" s="314">
        <f>Data!DM41/AF$4*100000*AF$3</f>
        <v>10109.587933195842</v>
      </c>
      <c r="AG40" s="314">
        <f>Data!DN41/AG$4*100000*AG$3</f>
        <v>52854.757528799833</v>
      </c>
      <c r="AH40" s="314">
        <f>Data!DO41/AH$4*100000*AH$3</f>
        <v>39970.688162014521</v>
      </c>
      <c r="AI40" s="314">
        <f>Data!DP41/AI$4*100000*AI$3</f>
        <v>24846.572415335304</v>
      </c>
      <c r="AJ40" s="314">
        <f>Data!DQ41/AJ$4*100000*AJ$3</f>
        <v>14803.849000740191</v>
      </c>
      <c r="AK40" s="314">
        <f>Data!DR41/AK$4*100000*AK$3</f>
        <v>22015.763286513142</v>
      </c>
      <c r="AL40" s="322" t="s">
        <v>352</v>
      </c>
      <c r="AM40" s="314">
        <f t="shared" si="4"/>
        <v>105208.95628579387</v>
      </c>
      <c r="AN40" s="314">
        <f>Data!DA41/AN$4*100000*AN$3</f>
        <v>0</v>
      </c>
      <c r="AO40" s="314">
        <f>Data!DB41/AO$4*100000*AO$3</f>
        <v>0</v>
      </c>
      <c r="AP40" s="314">
        <f>Data!DC41/AP$4*100000*AP$3</f>
        <v>0</v>
      </c>
      <c r="AQ40" s="314">
        <f>Data!DD41/AQ$4*100000*AQ$3</f>
        <v>0</v>
      </c>
      <c r="AR40" s="314">
        <f>Data!DE41/AR$4*100000*AR$3</f>
        <v>0</v>
      </c>
      <c r="AS40" s="314">
        <f>Data!DF41/AS$4*100000*AS$3</f>
        <v>0</v>
      </c>
      <c r="AT40" s="314">
        <f>Data!DG41/AT$4*100000*AT$3</f>
        <v>0</v>
      </c>
      <c r="AU40" s="314">
        <f>Data!DH41/AU$4*100000*AU$3</f>
        <v>0</v>
      </c>
      <c r="AV40" s="314">
        <f>Data!DI41/AV$4*100000*AV$3</f>
        <v>0</v>
      </c>
      <c r="AW40" s="314">
        <f>Data!DJ41/AW$4*100000*AW$3</f>
        <v>0</v>
      </c>
      <c r="AX40" s="314">
        <f>Data!DK41/AX$4*100000*AX$3</f>
        <v>0</v>
      </c>
      <c r="AY40" s="314">
        <f>Data!DL41/AY$4*100000*AY$3</f>
        <v>0</v>
      </c>
      <c r="AZ40" s="314">
        <f>Data!DM41/AZ$4*100000*AZ$3</f>
        <v>8087.6703465566743</v>
      </c>
      <c r="BA40" s="314">
        <f>Data!DN41/BA$4*100000*BA$3</f>
        <v>39641.068146599871</v>
      </c>
      <c r="BB40" s="314">
        <f>Data!DO41/BB$4*100000*BB$3</f>
        <v>26647.125441343014</v>
      </c>
      <c r="BC40" s="314">
        <f>Data!DP41/BC$4*100000*BC$3</f>
        <v>12423.286207667652</v>
      </c>
      <c r="BD40" s="314">
        <f>Data!DQ41/BD$4*100000*BD$3</f>
        <v>7401.9245003700953</v>
      </c>
      <c r="BE40" s="314">
        <f>Data!DR41/BE$4*100000*BE$3</f>
        <v>11007.881643256571</v>
      </c>
    </row>
    <row r="41" spans="1:57" ht="12" customHeight="1">
      <c r="A41" s="64"/>
      <c r="B41" s="145" t="str">
        <f>UPPER(LEFT(TRIM(Data!B42),1)) &amp; MID(TRIM(Data!B42),2,50)</f>
        <v>Leukemijos</v>
      </c>
      <c r="C41" s="139" t="str">
        <f>UPPER(LEFT(TRIM(Data!C42),1)) &amp; MID(TRIM(Data!C42),2,50)</f>
        <v>C91-C95</v>
      </c>
      <c r="D41" s="146">
        <f>Data!BR42</f>
        <v>134</v>
      </c>
      <c r="E41" s="147">
        <f t="shared" si="5"/>
        <v>8.3999583763256567</v>
      </c>
      <c r="F41" s="148">
        <f t="shared" si="6"/>
        <v>4.6066258933973376</v>
      </c>
      <c r="G41" s="148">
        <f t="shared" si="7"/>
        <v>3.1287158722920791</v>
      </c>
      <c r="H41" s="68"/>
      <c r="I41" s="68"/>
      <c r="J41" s="68"/>
      <c r="K41" s="68"/>
      <c r="L41" s="68"/>
      <c r="M41" s="68"/>
      <c r="N41" s="68"/>
      <c r="O41" s="68"/>
      <c r="P41" s="68"/>
      <c r="Q41" s="307"/>
      <c r="R41" s="322" t="s">
        <v>352</v>
      </c>
      <c r="S41" s="314">
        <f t="shared" si="3"/>
        <v>460662.58933973376</v>
      </c>
      <c r="T41" s="314">
        <f>Data!DA42/T$4*100000*T$3</f>
        <v>0</v>
      </c>
      <c r="U41" s="314">
        <f>Data!DB42/U$4*100000*U$3</f>
        <v>0</v>
      </c>
      <c r="V41" s="314">
        <f>Data!DC42/V$4*100000*V$3</f>
        <v>0</v>
      </c>
      <c r="W41" s="314">
        <f>Data!DD42/W$4*100000*W$3</f>
        <v>7878.8015217342372</v>
      </c>
      <c r="X41" s="314">
        <f>Data!DE42/X$4*100000*X$3</f>
        <v>0</v>
      </c>
      <c r="Y41" s="314">
        <f>Data!DF42/Y$4*100000*Y$3</f>
        <v>0</v>
      </c>
      <c r="Z41" s="314">
        <f>Data!DG42/Z$4*100000*Z$3</f>
        <v>8010.344788126381</v>
      </c>
      <c r="AA41" s="314">
        <f>Data!DH42/AA$4*100000*AA$3</f>
        <v>7342.4519593857522</v>
      </c>
      <c r="AB41" s="314">
        <f>Data!DI42/AB$4*100000*AB$3</f>
        <v>38733.953076582562</v>
      </c>
      <c r="AC41" s="314">
        <f>Data!DJ42/AC$4*100000*AC$3</f>
        <v>24942.32088295816</v>
      </c>
      <c r="AD41" s="314">
        <f>Data!DK42/AD$4*100000*AD$3</f>
        <v>27752.888282730564</v>
      </c>
      <c r="AE41" s="314">
        <f>Data!DL42/AE$4*100000*AE$3</f>
        <v>27812.027774945076</v>
      </c>
      <c r="AF41" s="314">
        <f>Data!DM42/AF$4*100000*AF$3</f>
        <v>50547.939665979211</v>
      </c>
      <c r="AG41" s="314">
        <f>Data!DN42/AG$4*100000*AG$3</f>
        <v>38439.823657308967</v>
      </c>
      <c r="AH41" s="314">
        <f>Data!DO42/AH$4*100000*AH$3</f>
        <v>76610.48564386116</v>
      </c>
      <c r="AI41" s="314">
        <f>Data!DP42/AI$4*100000*AI$3</f>
        <v>79509.031729072973</v>
      </c>
      <c r="AJ41" s="314">
        <f>Data!DQ42/AJ$4*100000*AJ$3</f>
        <v>31252.57011267374</v>
      </c>
      <c r="AK41" s="314">
        <f>Data!DR42/AK$4*100000*AK$3</f>
        <v>41829.950244374973</v>
      </c>
      <c r="AL41" s="322" t="s">
        <v>352</v>
      </c>
      <c r="AM41" s="314">
        <f t="shared" si="4"/>
        <v>312871.58722920791</v>
      </c>
      <c r="AN41" s="314">
        <f>Data!DA42/AN$4*100000*AN$3</f>
        <v>0</v>
      </c>
      <c r="AO41" s="314">
        <f>Data!DB42/AO$4*100000*AO$3</f>
        <v>0</v>
      </c>
      <c r="AP41" s="314">
        <f>Data!DC42/AP$4*100000*AP$3</f>
        <v>0</v>
      </c>
      <c r="AQ41" s="314">
        <f>Data!DD42/AQ$4*100000*AQ$3</f>
        <v>10129.887670801163</v>
      </c>
      <c r="AR41" s="314">
        <f>Data!DE42/AR$4*100000*AR$3</f>
        <v>0</v>
      </c>
      <c r="AS41" s="314">
        <f>Data!DF42/AS$4*100000*AS$3</f>
        <v>0</v>
      </c>
      <c r="AT41" s="314">
        <f>Data!DG42/AT$4*100000*AT$3</f>
        <v>6866.0098183940408</v>
      </c>
      <c r="AU41" s="314">
        <f>Data!DH42/AU$4*100000*AU$3</f>
        <v>6293.530250902073</v>
      </c>
      <c r="AV41" s="314">
        <f>Data!DI42/AV$4*100000*AV$3</f>
        <v>33200.531208499335</v>
      </c>
      <c r="AW41" s="314">
        <f>Data!DJ42/AW$4*100000*AW$3</f>
        <v>21379.132185392707</v>
      </c>
      <c r="AX41" s="314">
        <f>Data!DK42/AX$4*100000*AX$3</f>
        <v>19823.491630521832</v>
      </c>
      <c r="AY41" s="314">
        <f>Data!DL42/AY$4*100000*AY$3</f>
        <v>18541.351849963383</v>
      </c>
      <c r="AZ41" s="314">
        <f>Data!DM42/AZ$4*100000*AZ$3</f>
        <v>40438.351732783369</v>
      </c>
      <c r="BA41" s="314">
        <f>Data!DN42/BA$4*100000*BA$3</f>
        <v>28829.867742981729</v>
      </c>
      <c r="BB41" s="314">
        <f>Data!DO42/BB$4*100000*BB$3</f>
        <v>51073.657095907445</v>
      </c>
      <c r="BC41" s="314">
        <f>Data!DP42/BC$4*100000*BC$3</f>
        <v>39754.515864536486</v>
      </c>
      <c r="BD41" s="314">
        <f>Data!DQ42/BD$4*100000*BD$3</f>
        <v>15626.28505633687</v>
      </c>
      <c r="BE41" s="314">
        <f>Data!DR42/BE$4*100000*BE$3</f>
        <v>20914.975122187487</v>
      </c>
    </row>
    <row r="42" spans="1:57" ht="12" customHeight="1">
      <c r="A42" s="64"/>
      <c r="B42" s="123" t="str">
        <f>UPPER(LEFT(TRIM(Data!B43),1)) &amp; MID(TRIM(Data!B43),2,50)</f>
        <v>Kiti limfinio, kraujodaros audinių</v>
      </c>
      <c r="C42" s="123" t="str">
        <f>UPPER(LEFT(TRIM(Data!C43),1)) &amp; MID(TRIM(Data!C43),2,50)</f>
        <v>C88, C96</v>
      </c>
      <c r="D42" s="136">
        <f>Data!BR43</f>
        <v>2</v>
      </c>
      <c r="E42" s="137">
        <f t="shared" si="5"/>
        <v>0.12537251307948741</v>
      </c>
      <c r="F42" s="127">
        <f t="shared" si="6"/>
        <v>7.2896351986971517E-2</v>
      </c>
      <c r="G42" s="127">
        <f t="shared" si="7"/>
        <v>4.8460620886394808E-2</v>
      </c>
      <c r="H42" s="68"/>
      <c r="I42" s="68"/>
      <c r="J42" s="68"/>
      <c r="K42" s="68"/>
      <c r="L42" s="68"/>
      <c r="M42" s="68"/>
      <c r="N42" s="68"/>
      <c r="O42" s="68"/>
      <c r="P42" s="68"/>
      <c r="Q42" s="307"/>
      <c r="R42" s="322" t="s">
        <v>352</v>
      </c>
      <c r="S42" s="314">
        <f t="shared" si="3"/>
        <v>7289.6351986971513</v>
      </c>
      <c r="T42" s="314">
        <f>Data!DA43/T$4*100000*T$3</f>
        <v>0</v>
      </c>
      <c r="U42" s="314">
        <f>Data!DB43/U$4*100000*U$3</f>
        <v>0</v>
      </c>
      <c r="V42" s="314">
        <f>Data!DC43/V$4*100000*V$3</f>
        <v>0</v>
      </c>
      <c r="W42" s="314">
        <f>Data!DD43/W$4*100000*W$3</f>
        <v>0</v>
      </c>
      <c r="X42" s="314">
        <f>Data!DE43/X$4*100000*X$3</f>
        <v>0</v>
      </c>
      <c r="Y42" s="314">
        <f>Data!DF43/Y$4*100000*Y$3</f>
        <v>0</v>
      </c>
      <c r="Z42" s="314">
        <f>Data!DG43/Z$4*100000*Z$3</f>
        <v>0</v>
      </c>
      <c r="AA42" s="314">
        <f>Data!DH43/AA$4*100000*AA$3</f>
        <v>0</v>
      </c>
      <c r="AB42" s="314">
        <f>Data!DI43/AB$4*100000*AB$3</f>
        <v>0</v>
      </c>
      <c r="AC42" s="314">
        <f>Data!DJ43/AC$4*100000*AC$3</f>
        <v>0</v>
      </c>
      <c r="AD42" s="314">
        <f>Data!DK43/AD$4*100000*AD$3</f>
        <v>0</v>
      </c>
      <c r="AE42" s="314">
        <f>Data!DL43/AE$4*100000*AE$3</f>
        <v>0</v>
      </c>
      <c r="AF42" s="314">
        <f>Data!DM43/AF$4*100000*AF$3</f>
        <v>0</v>
      </c>
      <c r="AG42" s="314">
        <f>Data!DN43/AG$4*100000*AG$3</f>
        <v>4804.9779571636209</v>
      </c>
      <c r="AH42" s="314">
        <f>Data!DO43/AH$4*100000*AH$3</f>
        <v>0</v>
      </c>
      <c r="AI42" s="314">
        <f>Data!DP43/AI$4*100000*AI$3</f>
        <v>2484.6572415335304</v>
      </c>
      <c r="AJ42" s="314">
        <f>Data!DQ43/AJ$4*100000*AJ$3</f>
        <v>0</v>
      </c>
      <c r="AK42" s="314">
        <f>Data!DR43/AK$4*100000*AK$3</f>
        <v>0</v>
      </c>
      <c r="AL42" s="322" t="s">
        <v>352</v>
      </c>
      <c r="AM42" s="314">
        <f t="shared" si="4"/>
        <v>4846.0620886394809</v>
      </c>
      <c r="AN42" s="314">
        <f>Data!DA43/AN$4*100000*AN$3</f>
        <v>0</v>
      </c>
      <c r="AO42" s="314">
        <f>Data!DB43/AO$4*100000*AO$3</f>
        <v>0</v>
      </c>
      <c r="AP42" s="314">
        <f>Data!DC43/AP$4*100000*AP$3</f>
        <v>0</v>
      </c>
      <c r="AQ42" s="314">
        <f>Data!DD43/AQ$4*100000*AQ$3</f>
        <v>0</v>
      </c>
      <c r="AR42" s="314">
        <f>Data!DE43/AR$4*100000*AR$3</f>
        <v>0</v>
      </c>
      <c r="AS42" s="314">
        <f>Data!DF43/AS$4*100000*AS$3</f>
        <v>0</v>
      </c>
      <c r="AT42" s="314">
        <f>Data!DG43/AT$4*100000*AT$3</f>
        <v>0</v>
      </c>
      <c r="AU42" s="314">
        <f>Data!DH43/AU$4*100000*AU$3</f>
        <v>0</v>
      </c>
      <c r="AV42" s="314">
        <f>Data!DI43/AV$4*100000*AV$3</f>
        <v>0</v>
      </c>
      <c r="AW42" s="314">
        <f>Data!DJ43/AW$4*100000*AW$3</f>
        <v>0</v>
      </c>
      <c r="AX42" s="314">
        <f>Data!DK43/AX$4*100000*AX$3</f>
        <v>0</v>
      </c>
      <c r="AY42" s="314">
        <f>Data!DL43/AY$4*100000*AY$3</f>
        <v>0</v>
      </c>
      <c r="AZ42" s="314">
        <f>Data!DM43/AZ$4*100000*AZ$3</f>
        <v>0</v>
      </c>
      <c r="BA42" s="314">
        <f>Data!DN43/BA$4*100000*BA$3</f>
        <v>3603.7334678727161</v>
      </c>
      <c r="BB42" s="314">
        <f>Data!DO43/BB$4*100000*BB$3</f>
        <v>0</v>
      </c>
      <c r="BC42" s="314">
        <f>Data!DP43/BC$4*100000*BC$3</f>
        <v>1242.3286207667652</v>
      </c>
      <c r="BD42" s="314">
        <f>Data!DQ43/BD$4*100000*BD$3</f>
        <v>0</v>
      </c>
      <c r="BE42" s="314">
        <f>Data!DR43/BE$4*100000*BE$3</f>
        <v>0</v>
      </c>
    </row>
    <row r="43" spans="1:57" ht="11.25" customHeight="1">
      <c r="A43" s="64"/>
      <c r="B43" s="104"/>
      <c r="C43" s="104"/>
      <c r="D43" s="105"/>
      <c r="E43" s="106"/>
      <c r="F43" s="107"/>
      <c r="G43" s="107"/>
      <c r="H43" s="68"/>
      <c r="I43" s="68"/>
      <c r="J43" s="68"/>
      <c r="K43" s="68"/>
      <c r="L43" s="68"/>
      <c r="M43" s="68"/>
      <c r="N43" s="68"/>
      <c r="O43" s="68"/>
      <c r="P43" s="68"/>
      <c r="Q43" s="307"/>
      <c r="R43" s="322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22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</row>
    <row r="44" spans="1:57" ht="11.25" customHeight="1">
      <c r="A44" s="64"/>
      <c r="B44" s="91" t="str">
        <f>UPPER(LEFT(TRIM(Data!B44),1)) &amp; MID(TRIM(Data!B44),2,50)</f>
        <v>Melanoma in situ</v>
      </c>
      <c r="C44" s="91" t="str">
        <f>UPPER(LEFT(TRIM(Data!C44),1)) &amp; MID(TRIM(Data!C44),2,50)</f>
        <v>D03</v>
      </c>
      <c r="D44" s="95">
        <f>Data!BR44</f>
        <v>0</v>
      </c>
      <c r="E44" s="96">
        <f t="shared" si="5"/>
        <v>0</v>
      </c>
      <c r="F44" s="92">
        <f t="shared" si="6"/>
        <v>0</v>
      </c>
      <c r="G44" s="92">
        <f t="shared" si="7"/>
        <v>0</v>
      </c>
      <c r="H44" s="68"/>
      <c r="I44" s="68"/>
      <c r="J44" s="68"/>
      <c r="K44" s="68"/>
      <c r="L44" s="68"/>
      <c r="M44" s="68"/>
      <c r="N44" s="68"/>
      <c r="O44" s="68"/>
      <c r="P44" s="68"/>
      <c r="Q44" s="307"/>
      <c r="R44" s="322" t="s">
        <v>352</v>
      </c>
      <c r="S44" s="314">
        <f t="shared" si="3"/>
        <v>0</v>
      </c>
      <c r="T44" s="314">
        <f>Data!DA44/T$4*100000*T$3</f>
        <v>0</v>
      </c>
      <c r="U44" s="314">
        <f>Data!DB44/U$4*100000*U$3</f>
        <v>0</v>
      </c>
      <c r="V44" s="314">
        <f>Data!DC44/V$4*100000*V$3</f>
        <v>0</v>
      </c>
      <c r="W44" s="314">
        <f>Data!DD44/W$4*100000*W$3</f>
        <v>0</v>
      </c>
      <c r="X44" s="314">
        <f>Data!DE44/X$4*100000*X$3</f>
        <v>0</v>
      </c>
      <c r="Y44" s="314">
        <f>Data!DF44/Y$4*100000*Y$3</f>
        <v>0</v>
      </c>
      <c r="Z44" s="314">
        <f>Data!DG44/Z$4*100000*Z$3</f>
        <v>0</v>
      </c>
      <c r="AA44" s="314">
        <f>Data!DH44/AA$4*100000*AA$3</f>
        <v>0</v>
      </c>
      <c r="AB44" s="314">
        <f>Data!DI44/AB$4*100000*AB$3</f>
        <v>0</v>
      </c>
      <c r="AC44" s="314">
        <f>Data!DJ44/AC$4*100000*AC$3</f>
        <v>0</v>
      </c>
      <c r="AD44" s="314">
        <f>Data!DK44/AD$4*100000*AD$3</f>
        <v>0</v>
      </c>
      <c r="AE44" s="314">
        <f>Data!DL44/AE$4*100000*AE$3</f>
        <v>0</v>
      </c>
      <c r="AF44" s="314">
        <f>Data!DM44/AF$4*100000*AF$3</f>
        <v>0</v>
      </c>
      <c r="AG44" s="314">
        <f>Data!DN44/AG$4*100000*AG$3</f>
        <v>0</v>
      </c>
      <c r="AH44" s="314">
        <f>Data!DO44/AH$4*100000*AH$3</f>
        <v>0</v>
      </c>
      <c r="AI44" s="314">
        <f>Data!DP44/AI$4*100000*AI$3</f>
        <v>0</v>
      </c>
      <c r="AJ44" s="314">
        <f>Data!DQ44/AJ$4*100000*AJ$3</f>
        <v>0</v>
      </c>
      <c r="AK44" s="314">
        <f>Data!DR44/AK$4*100000*AK$3</f>
        <v>0</v>
      </c>
      <c r="AL44" s="322" t="s">
        <v>352</v>
      </c>
      <c r="AM44" s="314">
        <f t="shared" si="4"/>
        <v>0</v>
      </c>
      <c r="AN44" s="314">
        <f>Data!DA44/AN$4*100000*AN$3</f>
        <v>0</v>
      </c>
      <c r="AO44" s="314">
        <f>Data!DB44/AO$4*100000*AO$3</f>
        <v>0</v>
      </c>
      <c r="AP44" s="314">
        <f>Data!DC44/AP$4*100000*AP$3</f>
        <v>0</v>
      </c>
      <c r="AQ44" s="314">
        <f>Data!DD44/AQ$4*100000*AQ$3</f>
        <v>0</v>
      </c>
      <c r="AR44" s="314">
        <f>Data!DE44/AR$4*100000*AR$3</f>
        <v>0</v>
      </c>
      <c r="AS44" s="314">
        <f>Data!DF44/AS$4*100000*AS$3</f>
        <v>0</v>
      </c>
      <c r="AT44" s="314">
        <f>Data!DG44/AT$4*100000*AT$3</f>
        <v>0</v>
      </c>
      <c r="AU44" s="314">
        <f>Data!DH44/AU$4*100000*AU$3</f>
        <v>0</v>
      </c>
      <c r="AV44" s="314">
        <f>Data!DI44/AV$4*100000*AV$3</f>
        <v>0</v>
      </c>
      <c r="AW44" s="314">
        <f>Data!DJ44/AW$4*100000*AW$3</f>
        <v>0</v>
      </c>
      <c r="AX44" s="314">
        <f>Data!DK44/AX$4*100000*AX$3</f>
        <v>0</v>
      </c>
      <c r="AY44" s="314">
        <f>Data!DL44/AY$4*100000*AY$3</f>
        <v>0</v>
      </c>
      <c r="AZ44" s="314">
        <f>Data!DM44/AZ$4*100000*AZ$3</f>
        <v>0</v>
      </c>
      <c r="BA44" s="314">
        <f>Data!DN44/BA$4*100000*BA$3</f>
        <v>0</v>
      </c>
      <c r="BB44" s="314">
        <f>Data!DO44/BB$4*100000*BB$3</f>
        <v>0</v>
      </c>
      <c r="BC44" s="314">
        <f>Data!DP44/BC$4*100000*BC$3</f>
        <v>0</v>
      </c>
      <c r="BD44" s="314">
        <f>Data!DQ44/BD$4*100000*BD$3</f>
        <v>0</v>
      </c>
      <c r="BE44" s="314">
        <f>Data!DR44/BE$4*100000*BE$3</f>
        <v>0</v>
      </c>
    </row>
    <row r="45" spans="1:57" ht="11.25" customHeight="1">
      <c r="A45" s="64"/>
      <c r="B45" s="98" t="str">
        <f>UPPER(LEFT(TRIM(Data!B45),1)) &amp; MID(TRIM(Data!B45),2,50)</f>
        <v>Krūties navikai in situ</v>
      </c>
      <c r="C45" s="99" t="str">
        <f>UPPER(LEFT(TRIM(Data!C45),1)) &amp; MID(TRIM(Data!C45),2,50)</f>
        <v>D05</v>
      </c>
      <c r="D45" s="100">
        <f>Data!BR45</f>
        <v>0</v>
      </c>
      <c r="E45" s="101">
        <f t="shared" si="5"/>
        <v>0</v>
      </c>
      <c r="F45" s="102">
        <f t="shared" si="6"/>
        <v>0</v>
      </c>
      <c r="G45" s="102">
        <f t="shared" si="7"/>
        <v>0</v>
      </c>
      <c r="H45" s="68"/>
      <c r="I45" s="68"/>
      <c r="J45" s="68"/>
      <c r="K45" s="68"/>
      <c r="L45" s="68"/>
      <c r="M45" s="68"/>
      <c r="N45" s="68"/>
      <c r="O45" s="68"/>
      <c r="P45" s="68"/>
      <c r="Q45" s="307"/>
      <c r="R45" s="322" t="s">
        <v>352</v>
      </c>
      <c r="S45" s="314">
        <f t="shared" si="3"/>
        <v>0</v>
      </c>
      <c r="T45" s="314">
        <f>Data!DA45/T$4*100000*T$3</f>
        <v>0</v>
      </c>
      <c r="U45" s="314">
        <f>Data!DB45/U$4*100000*U$3</f>
        <v>0</v>
      </c>
      <c r="V45" s="314">
        <f>Data!DC45/V$4*100000*V$3</f>
        <v>0</v>
      </c>
      <c r="W45" s="314">
        <f>Data!DD45/W$4*100000*W$3</f>
        <v>0</v>
      </c>
      <c r="X45" s="314">
        <f>Data!DE45/X$4*100000*X$3</f>
        <v>0</v>
      </c>
      <c r="Y45" s="314">
        <f>Data!DF45/Y$4*100000*Y$3</f>
        <v>0</v>
      </c>
      <c r="Z45" s="314">
        <f>Data!DG45/Z$4*100000*Z$3</f>
        <v>0</v>
      </c>
      <c r="AA45" s="314">
        <f>Data!DH45/AA$4*100000*AA$3</f>
        <v>0</v>
      </c>
      <c r="AB45" s="314">
        <f>Data!DI45/AB$4*100000*AB$3</f>
        <v>0</v>
      </c>
      <c r="AC45" s="314">
        <f>Data!DJ45/AC$4*100000*AC$3</f>
        <v>0</v>
      </c>
      <c r="AD45" s="314">
        <f>Data!DK45/AD$4*100000*AD$3</f>
        <v>0</v>
      </c>
      <c r="AE45" s="314">
        <f>Data!DL45/AE$4*100000*AE$3</f>
        <v>0</v>
      </c>
      <c r="AF45" s="314">
        <f>Data!DM45/AF$4*100000*AF$3</f>
        <v>0</v>
      </c>
      <c r="AG45" s="314">
        <f>Data!DN45/AG$4*100000*AG$3</f>
        <v>0</v>
      </c>
      <c r="AH45" s="314">
        <f>Data!DO45/AH$4*100000*AH$3</f>
        <v>0</v>
      </c>
      <c r="AI45" s="314">
        <f>Data!DP45/AI$4*100000*AI$3</f>
        <v>0</v>
      </c>
      <c r="AJ45" s="314">
        <f>Data!DQ45/AJ$4*100000*AJ$3</f>
        <v>0</v>
      </c>
      <c r="AK45" s="314">
        <f>Data!DR45/AK$4*100000*AK$3</f>
        <v>0</v>
      </c>
      <c r="AL45" s="322" t="s">
        <v>352</v>
      </c>
      <c r="AM45" s="314">
        <f t="shared" si="4"/>
        <v>0</v>
      </c>
      <c r="AN45" s="314">
        <f>Data!DA45/AN$4*100000*AN$3</f>
        <v>0</v>
      </c>
      <c r="AO45" s="314">
        <f>Data!DB45/AO$4*100000*AO$3</f>
        <v>0</v>
      </c>
      <c r="AP45" s="314">
        <f>Data!DC45/AP$4*100000*AP$3</f>
        <v>0</v>
      </c>
      <c r="AQ45" s="314">
        <f>Data!DD45/AQ$4*100000*AQ$3</f>
        <v>0</v>
      </c>
      <c r="AR45" s="314">
        <f>Data!DE45/AR$4*100000*AR$3</f>
        <v>0</v>
      </c>
      <c r="AS45" s="314">
        <f>Data!DF45/AS$4*100000*AS$3</f>
        <v>0</v>
      </c>
      <c r="AT45" s="314">
        <f>Data!DG45/AT$4*100000*AT$3</f>
        <v>0</v>
      </c>
      <c r="AU45" s="314">
        <f>Data!DH45/AU$4*100000*AU$3</f>
        <v>0</v>
      </c>
      <c r="AV45" s="314">
        <f>Data!DI45/AV$4*100000*AV$3</f>
        <v>0</v>
      </c>
      <c r="AW45" s="314">
        <f>Data!DJ45/AW$4*100000*AW$3</f>
        <v>0</v>
      </c>
      <c r="AX45" s="314">
        <f>Data!DK45/AX$4*100000*AX$3</f>
        <v>0</v>
      </c>
      <c r="AY45" s="314">
        <f>Data!DL45/AY$4*100000*AY$3</f>
        <v>0</v>
      </c>
      <c r="AZ45" s="314">
        <f>Data!DM45/AZ$4*100000*AZ$3</f>
        <v>0</v>
      </c>
      <c r="BA45" s="314">
        <f>Data!DN45/BA$4*100000*BA$3</f>
        <v>0</v>
      </c>
      <c r="BB45" s="314">
        <f>Data!DO45/BB$4*100000*BB$3</f>
        <v>0</v>
      </c>
      <c r="BC45" s="314">
        <f>Data!DP45/BC$4*100000*BC$3</f>
        <v>0</v>
      </c>
      <c r="BD45" s="314">
        <f>Data!DQ45/BD$4*100000*BD$3</f>
        <v>0</v>
      </c>
      <c r="BE45" s="314">
        <f>Data!DR45/BE$4*100000*BE$3</f>
        <v>0</v>
      </c>
    </row>
    <row r="46" spans="1:57" ht="11.25" customHeight="1">
      <c r="A46" s="64"/>
      <c r="B46" s="97" t="str">
        <f>UPPER(LEFT(TRIM(Data!B46),1)) &amp; MID(TRIM(Data!B46),2,50)</f>
        <v>Gimdos kaklelio in situ</v>
      </c>
      <c r="C46" s="91" t="str">
        <f>UPPER(LEFT(TRIM(Data!C46),1)) &amp; MID(TRIM(Data!C46),2,50)</f>
        <v>D06</v>
      </c>
      <c r="D46" s="95">
        <f>Data!BR46</f>
        <v>0</v>
      </c>
      <c r="E46" s="96">
        <f t="shared" si="5"/>
        <v>0</v>
      </c>
      <c r="F46" s="92">
        <f t="shared" si="6"/>
        <v>0</v>
      </c>
      <c r="G46" s="92">
        <f t="shared" si="7"/>
        <v>0</v>
      </c>
      <c r="H46" s="68"/>
      <c r="I46" s="68"/>
      <c r="J46" s="68"/>
      <c r="K46" s="68"/>
      <c r="L46" s="68"/>
      <c r="M46" s="68"/>
      <c r="N46" s="68"/>
      <c r="O46" s="68"/>
      <c r="P46" s="68"/>
      <c r="Q46" s="307"/>
      <c r="R46" s="322" t="s">
        <v>352</v>
      </c>
      <c r="S46" s="314">
        <f t="shared" si="3"/>
        <v>0</v>
      </c>
      <c r="T46" s="314">
        <f>Data!DA46/T$4*100000*T$3</f>
        <v>0</v>
      </c>
      <c r="U46" s="314">
        <f>Data!DB46/U$4*100000*U$3</f>
        <v>0</v>
      </c>
      <c r="V46" s="314">
        <f>Data!DC46/V$4*100000*V$3</f>
        <v>0</v>
      </c>
      <c r="W46" s="314">
        <f>Data!DD46/W$4*100000*W$3</f>
        <v>0</v>
      </c>
      <c r="X46" s="314">
        <f>Data!DE46/X$4*100000*X$3</f>
        <v>0</v>
      </c>
      <c r="Y46" s="314">
        <f>Data!DF46/Y$4*100000*Y$3</f>
        <v>0</v>
      </c>
      <c r="Z46" s="314">
        <f>Data!DG46/Z$4*100000*Z$3</f>
        <v>0</v>
      </c>
      <c r="AA46" s="314">
        <f>Data!DH46/AA$4*100000*AA$3</f>
        <v>0</v>
      </c>
      <c r="AB46" s="314">
        <f>Data!DI46/AB$4*100000*AB$3</f>
        <v>0</v>
      </c>
      <c r="AC46" s="314">
        <f>Data!DJ46/AC$4*100000*AC$3</f>
        <v>0</v>
      </c>
      <c r="AD46" s="314">
        <f>Data!DK46/AD$4*100000*AD$3</f>
        <v>0</v>
      </c>
      <c r="AE46" s="314">
        <f>Data!DL46/AE$4*100000*AE$3</f>
        <v>0</v>
      </c>
      <c r="AF46" s="314">
        <f>Data!DM46/AF$4*100000*AF$3</f>
        <v>0</v>
      </c>
      <c r="AG46" s="314">
        <f>Data!DN46/AG$4*100000*AG$3</f>
        <v>0</v>
      </c>
      <c r="AH46" s="314">
        <f>Data!DO46/AH$4*100000*AH$3</f>
        <v>0</v>
      </c>
      <c r="AI46" s="314">
        <f>Data!DP46/AI$4*100000*AI$3</f>
        <v>0</v>
      </c>
      <c r="AJ46" s="314">
        <f>Data!DQ46/AJ$4*100000*AJ$3</f>
        <v>0</v>
      </c>
      <c r="AK46" s="314">
        <f>Data!DR46/AK$4*100000*AK$3</f>
        <v>0</v>
      </c>
      <c r="AL46" s="322" t="s">
        <v>352</v>
      </c>
      <c r="AM46" s="314">
        <f t="shared" si="4"/>
        <v>0</v>
      </c>
      <c r="AN46" s="314">
        <f>Data!DA46/AN$4*100000*AN$3</f>
        <v>0</v>
      </c>
      <c r="AO46" s="314">
        <f>Data!DB46/AO$4*100000*AO$3</f>
        <v>0</v>
      </c>
      <c r="AP46" s="314">
        <f>Data!DC46/AP$4*100000*AP$3</f>
        <v>0</v>
      </c>
      <c r="AQ46" s="314">
        <f>Data!DD46/AQ$4*100000*AQ$3</f>
        <v>0</v>
      </c>
      <c r="AR46" s="314">
        <f>Data!DE46/AR$4*100000*AR$3</f>
        <v>0</v>
      </c>
      <c r="AS46" s="314">
        <f>Data!DF46/AS$4*100000*AS$3</f>
        <v>0</v>
      </c>
      <c r="AT46" s="314">
        <f>Data!DG46/AT$4*100000*AT$3</f>
        <v>0</v>
      </c>
      <c r="AU46" s="314">
        <f>Data!DH46/AU$4*100000*AU$3</f>
        <v>0</v>
      </c>
      <c r="AV46" s="314">
        <f>Data!DI46/AV$4*100000*AV$3</f>
        <v>0</v>
      </c>
      <c r="AW46" s="314">
        <f>Data!DJ46/AW$4*100000*AW$3</f>
        <v>0</v>
      </c>
      <c r="AX46" s="314">
        <f>Data!DK46/AX$4*100000*AX$3</f>
        <v>0</v>
      </c>
      <c r="AY46" s="314">
        <f>Data!DL46/AY$4*100000*AY$3</f>
        <v>0</v>
      </c>
      <c r="AZ46" s="314">
        <f>Data!DM46/AZ$4*100000*AZ$3</f>
        <v>0</v>
      </c>
      <c r="BA46" s="314">
        <f>Data!DN46/BA$4*100000*BA$3</f>
        <v>0</v>
      </c>
      <c r="BB46" s="314">
        <f>Data!DO46/BB$4*100000*BB$3</f>
        <v>0</v>
      </c>
      <c r="BC46" s="314">
        <f>Data!DP46/BC$4*100000*BC$3</f>
        <v>0</v>
      </c>
      <c r="BD46" s="314">
        <f>Data!DQ46/BD$4*100000*BD$3</f>
        <v>0</v>
      </c>
      <c r="BE46" s="314">
        <f>Data!DR46/BE$4*100000*BE$3</f>
        <v>0</v>
      </c>
    </row>
    <row r="47" spans="1:57" ht="11.25" customHeight="1">
      <c r="A47" s="64"/>
      <c r="B47" s="98" t="str">
        <f>UPPER(LEFT(TRIM(Data!B47),1)) &amp; MID(TRIM(Data!B47),2,50)</f>
        <v>Šlapimo pūslės in situ</v>
      </c>
      <c r="C47" s="99" t="str">
        <f>UPPER(LEFT(TRIM(Data!C47),1)) &amp; MID(TRIM(Data!C47),2,50)</f>
        <v>D09.0</v>
      </c>
      <c r="D47" s="100">
        <f>Data!BR47</f>
        <v>0</v>
      </c>
      <c r="E47" s="101">
        <f t="shared" si="5"/>
        <v>0</v>
      </c>
      <c r="F47" s="102">
        <f t="shared" si="6"/>
        <v>0</v>
      </c>
      <c r="G47" s="102">
        <f t="shared" si="7"/>
        <v>0</v>
      </c>
      <c r="H47" s="68"/>
      <c r="I47" s="68"/>
      <c r="J47" s="68"/>
      <c r="K47" s="68"/>
      <c r="L47" s="68"/>
      <c r="M47" s="68"/>
      <c r="N47" s="68"/>
      <c r="O47" s="68"/>
      <c r="P47" s="68"/>
      <c r="Q47" s="307"/>
      <c r="R47" s="322" t="s">
        <v>352</v>
      </c>
      <c r="S47" s="314">
        <f t="shared" si="3"/>
        <v>0</v>
      </c>
      <c r="T47" s="314">
        <f>Data!DA47/T$4*100000*T$3</f>
        <v>0</v>
      </c>
      <c r="U47" s="314">
        <f>Data!DB47/U$4*100000*U$3</f>
        <v>0</v>
      </c>
      <c r="V47" s="314">
        <f>Data!DC47/V$4*100000*V$3</f>
        <v>0</v>
      </c>
      <c r="W47" s="314">
        <f>Data!DD47/W$4*100000*W$3</f>
        <v>0</v>
      </c>
      <c r="X47" s="314">
        <f>Data!DE47/X$4*100000*X$3</f>
        <v>0</v>
      </c>
      <c r="Y47" s="314">
        <f>Data!DF47/Y$4*100000*Y$3</f>
        <v>0</v>
      </c>
      <c r="Z47" s="314">
        <f>Data!DG47/Z$4*100000*Z$3</f>
        <v>0</v>
      </c>
      <c r="AA47" s="314">
        <f>Data!DH47/AA$4*100000*AA$3</f>
        <v>0</v>
      </c>
      <c r="AB47" s="314">
        <f>Data!DI47/AB$4*100000*AB$3</f>
        <v>0</v>
      </c>
      <c r="AC47" s="314">
        <f>Data!DJ47/AC$4*100000*AC$3</f>
        <v>0</v>
      </c>
      <c r="AD47" s="314">
        <f>Data!DK47/AD$4*100000*AD$3</f>
        <v>0</v>
      </c>
      <c r="AE47" s="314">
        <f>Data!DL47/AE$4*100000*AE$3</f>
        <v>0</v>
      </c>
      <c r="AF47" s="314">
        <f>Data!DM47/AF$4*100000*AF$3</f>
        <v>0</v>
      </c>
      <c r="AG47" s="314">
        <f>Data!DN47/AG$4*100000*AG$3</f>
        <v>0</v>
      </c>
      <c r="AH47" s="314">
        <f>Data!DO47/AH$4*100000*AH$3</f>
        <v>0</v>
      </c>
      <c r="AI47" s="314">
        <f>Data!DP47/AI$4*100000*AI$3</f>
        <v>0</v>
      </c>
      <c r="AJ47" s="314">
        <f>Data!DQ47/AJ$4*100000*AJ$3</f>
        <v>0</v>
      </c>
      <c r="AK47" s="314">
        <f>Data!DR47/AK$4*100000*AK$3</f>
        <v>0</v>
      </c>
      <c r="AL47" s="322" t="s">
        <v>352</v>
      </c>
      <c r="AM47" s="314">
        <f t="shared" si="4"/>
        <v>0</v>
      </c>
      <c r="AN47" s="314">
        <f>Data!DA47/AN$4*100000*AN$3</f>
        <v>0</v>
      </c>
      <c r="AO47" s="314">
        <f>Data!DB47/AO$4*100000*AO$3</f>
        <v>0</v>
      </c>
      <c r="AP47" s="314">
        <f>Data!DC47/AP$4*100000*AP$3</f>
        <v>0</v>
      </c>
      <c r="AQ47" s="314">
        <f>Data!DD47/AQ$4*100000*AQ$3</f>
        <v>0</v>
      </c>
      <c r="AR47" s="314">
        <f>Data!DE47/AR$4*100000*AR$3</f>
        <v>0</v>
      </c>
      <c r="AS47" s="314">
        <f>Data!DF47/AS$4*100000*AS$3</f>
        <v>0</v>
      </c>
      <c r="AT47" s="314">
        <f>Data!DG47/AT$4*100000*AT$3</f>
        <v>0</v>
      </c>
      <c r="AU47" s="314">
        <f>Data!DH47/AU$4*100000*AU$3</f>
        <v>0</v>
      </c>
      <c r="AV47" s="314">
        <f>Data!DI47/AV$4*100000*AV$3</f>
        <v>0</v>
      </c>
      <c r="AW47" s="314">
        <f>Data!DJ47/AW$4*100000*AW$3</f>
        <v>0</v>
      </c>
      <c r="AX47" s="314">
        <f>Data!DK47/AX$4*100000*AX$3</f>
        <v>0</v>
      </c>
      <c r="AY47" s="314">
        <f>Data!DL47/AY$4*100000*AY$3</f>
        <v>0</v>
      </c>
      <c r="AZ47" s="314">
        <f>Data!DM47/AZ$4*100000*AZ$3</f>
        <v>0</v>
      </c>
      <c r="BA47" s="314">
        <f>Data!DN47/BA$4*100000*BA$3</f>
        <v>0</v>
      </c>
      <c r="BB47" s="314">
        <f>Data!DO47/BB$4*100000*BB$3</f>
        <v>0</v>
      </c>
      <c r="BC47" s="314">
        <f>Data!DP47/BC$4*100000*BC$3</f>
        <v>0</v>
      </c>
      <c r="BD47" s="314">
        <f>Data!DQ47/BD$4*100000*BD$3</f>
        <v>0</v>
      </c>
      <c r="BE47" s="314">
        <f>Data!DR47/BE$4*100000*BE$3</f>
        <v>0</v>
      </c>
    </row>
    <row r="48" spans="1:57" ht="11.25" customHeight="1">
      <c r="A48" s="64"/>
      <c r="B48" s="97" t="str">
        <f>UPPER(LEFT(TRIM(Data!B48),1)) &amp; MID(TRIM(Data!B48),2,50)</f>
        <v>Nervų sistemos gerybiniai navikai</v>
      </c>
      <c r="C48" s="91" t="str">
        <f>UPPER(LEFT(TRIM(Data!C48),1)) &amp; MID(TRIM(Data!C48),2,50)</f>
        <v>D32, D33</v>
      </c>
      <c r="D48" s="95">
        <f>Data!BR48</f>
        <v>16</v>
      </c>
      <c r="E48" s="96">
        <f t="shared" si="5"/>
        <v>1.0029801046358993</v>
      </c>
      <c r="F48" s="92">
        <f t="shared" si="6"/>
        <v>0.52015314287475434</v>
      </c>
      <c r="G48" s="92">
        <f t="shared" si="7"/>
        <v>0.34543814672615297</v>
      </c>
      <c r="H48" s="68"/>
      <c r="I48" s="68"/>
      <c r="J48" s="68"/>
      <c r="K48" s="68"/>
      <c r="L48" s="68"/>
      <c r="M48" s="68"/>
      <c r="N48" s="68"/>
      <c r="O48" s="68"/>
      <c r="P48" s="68"/>
      <c r="Q48" s="307"/>
      <c r="R48" s="322" t="s">
        <v>352</v>
      </c>
      <c r="S48" s="314">
        <f t="shared" si="3"/>
        <v>52015.314287475434</v>
      </c>
      <c r="T48" s="314">
        <f>Data!DA48/T$4*100000*T$3</f>
        <v>0</v>
      </c>
      <c r="U48" s="314">
        <f>Data!DB48/U$4*100000*U$3</f>
        <v>0</v>
      </c>
      <c r="V48" s="314">
        <f>Data!DC48/V$4*100000*V$3</f>
        <v>0</v>
      </c>
      <c r="W48" s="314">
        <f>Data!DD48/W$4*100000*W$3</f>
        <v>0</v>
      </c>
      <c r="X48" s="314">
        <f>Data!DE48/X$4*100000*X$3</f>
        <v>0</v>
      </c>
      <c r="Y48" s="314">
        <f>Data!DF48/Y$4*100000*Y$3</f>
        <v>0</v>
      </c>
      <c r="Z48" s="314">
        <f>Data!DG48/Z$4*100000*Z$3</f>
        <v>8010.344788126381</v>
      </c>
      <c r="AA48" s="314">
        <f>Data!DH48/AA$4*100000*AA$3</f>
        <v>0</v>
      </c>
      <c r="AB48" s="314">
        <f>Data!DI48/AB$4*100000*AB$3</f>
        <v>0</v>
      </c>
      <c r="AC48" s="314">
        <f>Data!DJ48/AC$4*100000*AC$3</f>
        <v>0</v>
      </c>
      <c r="AD48" s="314">
        <f>Data!DK48/AD$4*100000*AD$3</f>
        <v>0</v>
      </c>
      <c r="AE48" s="314">
        <f>Data!DL48/AE$4*100000*AE$3</f>
        <v>0</v>
      </c>
      <c r="AF48" s="314">
        <f>Data!DM48/AF$4*100000*AF$3</f>
        <v>5054.7939665979211</v>
      </c>
      <c r="AG48" s="314">
        <f>Data!DN48/AG$4*100000*AG$3</f>
        <v>14414.933871490864</v>
      </c>
      <c r="AH48" s="314">
        <f>Data!DO48/AH$4*100000*AH$3</f>
        <v>3330.8906801678768</v>
      </c>
      <c r="AI48" s="314">
        <f>Data!DP48/AI$4*100000*AI$3</f>
        <v>12423.286207667652</v>
      </c>
      <c r="AJ48" s="314">
        <f>Data!DQ48/AJ$4*100000*AJ$3</f>
        <v>6579.4884447734194</v>
      </c>
      <c r="AK48" s="314">
        <f>Data!DR48/AK$4*100000*AK$3</f>
        <v>2201.5763286513143</v>
      </c>
      <c r="AL48" s="322" t="s">
        <v>352</v>
      </c>
      <c r="AM48" s="314">
        <f t="shared" si="4"/>
        <v>34543.814672615299</v>
      </c>
      <c r="AN48" s="314">
        <f>Data!DA48/AN$4*100000*AN$3</f>
        <v>0</v>
      </c>
      <c r="AO48" s="314">
        <f>Data!DB48/AO$4*100000*AO$3</f>
        <v>0</v>
      </c>
      <c r="AP48" s="314">
        <f>Data!DC48/AP$4*100000*AP$3</f>
        <v>0</v>
      </c>
      <c r="AQ48" s="314">
        <f>Data!DD48/AQ$4*100000*AQ$3</f>
        <v>0</v>
      </c>
      <c r="AR48" s="314">
        <f>Data!DE48/AR$4*100000*AR$3</f>
        <v>0</v>
      </c>
      <c r="AS48" s="314">
        <f>Data!DF48/AS$4*100000*AS$3</f>
        <v>0</v>
      </c>
      <c r="AT48" s="314">
        <f>Data!DG48/AT$4*100000*AT$3</f>
        <v>6866.0098183940408</v>
      </c>
      <c r="AU48" s="314">
        <f>Data!DH48/AU$4*100000*AU$3</f>
        <v>0</v>
      </c>
      <c r="AV48" s="314">
        <f>Data!DI48/AV$4*100000*AV$3</f>
        <v>0</v>
      </c>
      <c r="AW48" s="314">
        <f>Data!DJ48/AW$4*100000*AW$3</f>
        <v>0</v>
      </c>
      <c r="AX48" s="314">
        <f>Data!DK48/AX$4*100000*AX$3</f>
        <v>0</v>
      </c>
      <c r="AY48" s="314">
        <f>Data!DL48/AY$4*100000*AY$3</f>
        <v>0</v>
      </c>
      <c r="AZ48" s="314">
        <f>Data!DM48/AZ$4*100000*AZ$3</f>
        <v>4043.8351732783372</v>
      </c>
      <c r="BA48" s="314">
        <f>Data!DN48/BA$4*100000*BA$3</f>
        <v>10811.200403618148</v>
      </c>
      <c r="BB48" s="314">
        <f>Data!DO48/BB$4*100000*BB$3</f>
        <v>2220.5937867785847</v>
      </c>
      <c r="BC48" s="314">
        <f>Data!DP48/BC$4*100000*BC$3</f>
        <v>6211.643103833826</v>
      </c>
      <c r="BD48" s="314">
        <f>Data!DQ48/BD$4*100000*BD$3</f>
        <v>3289.7442223867097</v>
      </c>
      <c r="BE48" s="314">
        <f>Data!DR48/BE$4*100000*BE$3</f>
        <v>1100.7881643256571</v>
      </c>
    </row>
    <row r="49" spans="1:57" ht="11.25" customHeight="1">
      <c r="A49" s="64"/>
      <c r="B49" s="98" t="str">
        <f>UPPER(LEFT(TRIM(Data!B49),1)) &amp; MID(TRIM(Data!B49),2,50)</f>
        <v>Kiaušidžių</v>
      </c>
      <c r="C49" s="99" t="str">
        <f>UPPER(LEFT(TRIM(Data!C49),1)) &amp; MID(TRIM(Data!C49),2,50)</f>
        <v>D39.1</v>
      </c>
      <c r="D49" s="100">
        <f>Data!BR49</f>
        <v>1</v>
      </c>
      <c r="E49" s="101">
        <f t="shared" si="5"/>
        <v>6.2686256539743704E-2</v>
      </c>
      <c r="F49" s="102">
        <f t="shared" si="6"/>
        <v>1.6448721111933549E-2</v>
      </c>
      <c r="G49" s="102">
        <f t="shared" si="7"/>
        <v>8.2243605559667744E-3</v>
      </c>
      <c r="H49" s="68"/>
      <c r="I49" s="68"/>
      <c r="J49" s="68"/>
      <c r="K49" s="68"/>
      <c r="L49" s="68"/>
      <c r="M49" s="68"/>
      <c r="N49" s="68"/>
      <c r="O49" s="68"/>
      <c r="P49" s="68"/>
      <c r="Q49" s="307"/>
      <c r="R49" s="322" t="s">
        <v>352</v>
      </c>
      <c r="S49" s="314">
        <f t="shared" si="3"/>
        <v>1644.8721111933548</v>
      </c>
      <c r="T49" s="314">
        <f>Data!DA49/T$4*100000*T$3</f>
        <v>0</v>
      </c>
      <c r="U49" s="314">
        <f>Data!DB49/U$4*100000*U$3</f>
        <v>0</v>
      </c>
      <c r="V49" s="314">
        <f>Data!DC49/V$4*100000*V$3</f>
        <v>0</v>
      </c>
      <c r="W49" s="314">
        <f>Data!DD49/W$4*100000*W$3</f>
        <v>0</v>
      </c>
      <c r="X49" s="314">
        <f>Data!DE49/X$4*100000*X$3</f>
        <v>0</v>
      </c>
      <c r="Y49" s="314">
        <f>Data!DF49/Y$4*100000*Y$3</f>
        <v>0</v>
      </c>
      <c r="Z49" s="314">
        <f>Data!DG49/Z$4*100000*Z$3</f>
        <v>0</v>
      </c>
      <c r="AA49" s="314">
        <f>Data!DH49/AA$4*100000*AA$3</f>
        <v>0</v>
      </c>
      <c r="AB49" s="314">
        <f>Data!DI49/AB$4*100000*AB$3</f>
        <v>0</v>
      </c>
      <c r="AC49" s="314">
        <f>Data!DJ49/AC$4*100000*AC$3</f>
        <v>0</v>
      </c>
      <c r="AD49" s="314">
        <f>Data!DK49/AD$4*100000*AD$3</f>
        <v>0</v>
      </c>
      <c r="AE49" s="314">
        <f>Data!DL49/AE$4*100000*AE$3</f>
        <v>0</v>
      </c>
      <c r="AF49" s="314">
        <f>Data!DM49/AF$4*100000*AF$3</f>
        <v>0</v>
      </c>
      <c r="AG49" s="314">
        <f>Data!DN49/AG$4*100000*AG$3</f>
        <v>0</v>
      </c>
      <c r="AH49" s="314">
        <f>Data!DO49/AH$4*100000*AH$3</f>
        <v>0</v>
      </c>
      <c r="AI49" s="314">
        <f>Data!DP49/AI$4*100000*AI$3</f>
        <v>0</v>
      </c>
      <c r="AJ49" s="314">
        <f>Data!DQ49/AJ$4*100000*AJ$3</f>
        <v>1644.8721111933548</v>
      </c>
      <c r="AK49" s="314">
        <f>Data!DR49/AK$4*100000*AK$3</f>
        <v>0</v>
      </c>
      <c r="AL49" s="322" t="s">
        <v>352</v>
      </c>
      <c r="AM49" s="314">
        <f t="shared" si="4"/>
        <v>822.43605559667742</v>
      </c>
      <c r="AN49" s="314">
        <f>Data!DA49/AN$4*100000*AN$3</f>
        <v>0</v>
      </c>
      <c r="AO49" s="314">
        <f>Data!DB49/AO$4*100000*AO$3</f>
        <v>0</v>
      </c>
      <c r="AP49" s="314">
        <f>Data!DC49/AP$4*100000*AP$3</f>
        <v>0</v>
      </c>
      <c r="AQ49" s="314">
        <f>Data!DD49/AQ$4*100000*AQ$3</f>
        <v>0</v>
      </c>
      <c r="AR49" s="314">
        <f>Data!DE49/AR$4*100000*AR$3</f>
        <v>0</v>
      </c>
      <c r="AS49" s="314">
        <f>Data!DF49/AS$4*100000*AS$3</f>
        <v>0</v>
      </c>
      <c r="AT49" s="314">
        <f>Data!DG49/AT$4*100000*AT$3</f>
        <v>0</v>
      </c>
      <c r="AU49" s="314">
        <f>Data!DH49/AU$4*100000*AU$3</f>
        <v>0</v>
      </c>
      <c r="AV49" s="314">
        <f>Data!DI49/AV$4*100000*AV$3</f>
        <v>0</v>
      </c>
      <c r="AW49" s="314">
        <f>Data!DJ49/AW$4*100000*AW$3</f>
        <v>0</v>
      </c>
      <c r="AX49" s="314">
        <f>Data!DK49/AX$4*100000*AX$3</f>
        <v>0</v>
      </c>
      <c r="AY49" s="314">
        <f>Data!DL49/AY$4*100000*AY$3</f>
        <v>0</v>
      </c>
      <c r="AZ49" s="314">
        <f>Data!DM49/AZ$4*100000*AZ$3</f>
        <v>0</v>
      </c>
      <c r="BA49" s="314">
        <f>Data!DN49/BA$4*100000*BA$3</f>
        <v>0</v>
      </c>
      <c r="BB49" s="314">
        <f>Data!DO49/BB$4*100000*BB$3</f>
        <v>0</v>
      </c>
      <c r="BC49" s="314">
        <f>Data!DP49/BC$4*100000*BC$3</f>
        <v>0</v>
      </c>
      <c r="BD49" s="314">
        <f>Data!DQ49/BD$4*100000*BD$3</f>
        <v>822.43605559667742</v>
      </c>
      <c r="BE49" s="314">
        <f>Data!DR49/BE$4*100000*BE$3</f>
        <v>0</v>
      </c>
    </row>
    <row r="50" spans="1:57" ht="11.25" customHeight="1">
      <c r="A50" s="64"/>
      <c r="B50" s="97" t="str">
        <f>UPPER(LEFT(TRIM(Data!B50),1)) &amp; MID(TRIM(Data!B50),2,50)</f>
        <v>Kiti nervų sistemos</v>
      </c>
      <c r="C50" s="91" t="str">
        <f>UPPER(LEFT(TRIM(Data!C50),1)) &amp; MID(TRIM(Data!C50),2,50)</f>
        <v>D42, D43</v>
      </c>
      <c r="D50" s="95">
        <f>Data!BR50</f>
        <v>5</v>
      </c>
      <c r="E50" s="96">
        <f t="shared" si="5"/>
        <v>0.31343128269871856</v>
      </c>
      <c r="F50" s="92">
        <f t="shared" si="6"/>
        <v>0.11863572690197391</v>
      </c>
      <c r="G50" s="92">
        <f t="shared" si="7"/>
        <v>6.4869347917933404E-2</v>
      </c>
      <c r="H50" s="68"/>
      <c r="I50" s="68"/>
      <c r="J50" s="68"/>
      <c r="K50" s="68"/>
      <c r="L50" s="68"/>
      <c r="M50" s="68"/>
      <c r="N50" s="68"/>
      <c r="O50" s="68"/>
      <c r="P50" s="68"/>
      <c r="Q50" s="307"/>
      <c r="R50" s="322" t="s">
        <v>352</v>
      </c>
      <c r="S50" s="314">
        <f t="shared" si="3"/>
        <v>11863.57269019739</v>
      </c>
      <c r="T50" s="314">
        <f>Data!DA50/T$4*100000*T$3</f>
        <v>0</v>
      </c>
      <c r="U50" s="314">
        <f>Data!DB50/U$4*100000*U$3</f>
        <v>0</v>
      </c>
      <c r="V50" s="314">
        <f>Data!DC50/V$4*100000*V$3</f>
        <v>0</v>
      </c>
      <c r="W50" s="314">
        <f>Data!DD50/W$4*100000*W$3</f>
        <v>0</v>
      </c>
      <c r="X50" s="314">
        <f>Data!DE50/X$4*100000*X$3</f>
        <v>0</v>
      </c>
      <c r="Y50" s="314">
        <f>Data!DF50/Y$4*100000*Y$3</f>
        <v>0</v>
      </c>
      <c r="Z50" s="314">
        <f>Data!DG50/Z$4*100000*Z$3</f>
        <v>0</v>
      </c>
      <c r="AA50" s="314">
        <f>Data!DH50/AA$4*100000*AA$3</f>
        <v>0</v>
      </c>
      <c r="AB50" s="314">
        <f>Data!DI50/AB$4*100000*AB$3</f>
        <v>0</v>
      </c>
      <c r="AC50" s="314">
        <f>Data!DJ50/AC$4*100000*AC$3</f>
        <v>0</v>
      </c>
      <c r="AD50" s="314">
        <f>Data!DK50/AD$4*100000*AD$3</f>
        <v>0</v>
      </c>
      <c r="AE50" s="314">
        <f>Data!DL50/AE$4*100000*AE$3</f>
        <v>0</v>
      </c>
      <c r="AF50" s="314">
        <f>Data!DM50/AF$4*100000*AF$3</f>
        <v>0</v>
      </c>
      <c r="AG50" s="314">
        <f>Data!DN50/AG$4*100000*AG$3</f>
        <v>0</v>
      </c>
      <c r="AH50" s="314">
        <f>Data!DO50/AH$4*100000*AH$3</f>
        <v>3330.8906801678768</v>
      </c>
      <c r="AI50" s="314">
        <f>Data!DP50/AI$4*100000*AI$3</f>
        <v>2484.6572415335304</v>
      </c>
      <c r="AJ50" s="314">
        <f>Data!DQ50/AJ$4*100000*AJ$3</f>
        <v>1644.8721111933548</v>
      </c>
      <c r="AK50" s="314">
        <f>Data!DR50/AK$4*100000*AK$3</f>
        <v>4403.1526573026285</v>
      </c>
      <c r="AL50" s="322" t="s">
        <v>352</v>
      </c>
      <c r="AM50" s="314">
        <f t="shared" si="4"/>
        <v>6486.934791793341</v>
      </c>
      <c r="AN50" s="314">
        <f>Data!DA50/AN$4*100000*AN$3</f>
        <v>0</v>
      </c>
      <c r="AO50" s="314">
        <f>Data!DB50/AO$4*100000*AO$3</f>
        <v>0</v>
      </c>
      <c r="AP50" s="314">
        <f>Data!DC50/AP$4*100000*AP$3</f>
        <v>0</v>
      </c>
      <c r="AQ50" s="314">
        <f>Data!DD50/AQ$4*100000*AQ$3</f>
        <v>0</v>
      </c>
      <c r="AR50" s="314">
        <f>Data!DE50/AR$4*100000*AR$3</f>
        <v>0</v>
      </c>
      <c r="AS50" s="314">
        <f>Data!DF50/AS$4*100000*AS$3</f>
        <v>0</v>
      </c>
      <c r="AT50" s="314">
        <f>Data!DG50/AT$4*100000*AT$3</f>
        <v>0</v>
      </c>
      <c r="AU50" s="314">
        <f>Data!DH50/AU$4*100000*AU$3</f>
        <v>0</v>
      </c>
      <c r="AV50" s="314">
        <f>Data!DI50/AV$4*100000*AV$3</f>
        <v>0</v>
      </c>
      <c r="AW50" s="314">
        <f>Data!DJ50/AW$4*100000*AW$3</f>
        <v>0</v>
      </c>
      <c r="AX50" s="314">
        <f>Data!DK50/AX$4*100000*AX$3</f>
        <v>0</v>
      </c>
      <c r="AY50" s="314">
        <f>Data!DL50/AY$4*100000*AY$3</f>
        <v>0</v>
      </c>
      <c r="AZ50" s="314">
        <f>Data!DM50/AZ$4*100000*AZ$3</f>
        <v>0</v>
      </c>
      <c r="BA50" s="314">
        <f>Data!DN50/BA$4*100000*BA$3</f>
        <v>0</v>
      </c>
      <c r="BB50" s="314">
        <f>Data!DO50/BB$4*100000*BB$3</f>
        <v>2220.5937867785847</v>
      </c>
      <c r="BC50" s="314">
        <f>Data!DP50/BC$4*100000*BC$3</f>
        <v>1242.3286207667652</v>
      </c>
      <c r="BD50" s="314">
        <f>Data!DQ50/BD$4*100000*BD$3</f>
        <v>822.43605559667742</v>
      </c>
      <c r="BE50" s="314">
        <f>Data!DR50/BE$4*100000*BE$3</f>
        <v>2201.5763286513143</v>
      </c>
    </row>
    <row r="51" spans="1:57" ht="11.25" customHeight="1">
      <c r="A51" s="64"/>
      <c r="B51" s="98" t="str">
        <f>UPPER(LEFT(TRIM(Data!B51),1)) &amp; MID(TRIM(Data!B51),2,50)</f>
        <v>Limfinio ir kraujodaros audinių</v>
      </c>
      <c r="C51" s="99" t="str">
        <f>UPPER(LEFT(TRIM(Data!C51),1)) &amp; MID(TRIM(Data!C51),2,50)</f>
        <v>D45-D47</v>
      </c>
      <c r="D51" s="100">
        <f>Data!BR51</f>
        <v>34</v>
      </c>
      <c r="E51" s="101">
        <f t="shared" si="5"/>
        <v>2.1313327223512863</v>
      </c>
      <c r="F51" s="102">
        <f t="shared" si="6"/>
        <v>1.016709404616007</v>
      </c>
      <c r="G51" s="102">
        <f t="shared" si="7"/>
        <v>0.64435886039108559</v>
      </c>
      <c r="H51" s="68"/>
      <c r="I51" s="68"/>
      <c r="J51" s="68"/>
      <c r="K51" s="68"/>
      <c r="L51" s="68"/>
      <c r="M51" s="68"/>
      <c r="N51" s="68"/>
      <c r="O51" s="68"/>
      <c r="P51" s="68"/>
      <c r="Q51" s="307"/>
      <c r="R51" s="322" t="s">
        <v>352</v>
      </c>
      <c r="S51" s="314">
        <f t="shared" si="3"/>
        <v>101670.94046160071</v>
      </c>
      <c r="T51" s="314">
        <f>Data!DA51/T$4*100000*T$3</f>
        <v>0</v>
      </c>
      <c r="U51" s="314">
        <f>Data!DB51/U$4*100000*U$3</f>
        <v>0</v>
      </c>
      <c r="V51" s="314">
        <f>Data!DC51/V$4*100000*V$3</f>
        <v>0</v>
      </c>
      <c r="W51" s="314">
        <f>Data!DD51/W$4*100000*W$3</f>
        <v>0</v>
      </c>
      <c r="X51" s="314">
        <f>Data!DE51/X$4*100000*X$3</f>
        <v>0</v>
      </c>
      <c r="Y51" s="314">
        <f>Data!DF51/Y$4*100000*Y$3</f>
        <v>0</v>
      </c>
      <c r="Z51" s="314">
        <f>Data!DG51/Z$4*100000*Z$3</f>
        <v>0</v>
      </c>
      <c r="AA51" s="314">
        <f>Data!DH51/AA$4*100000*AA$3</f>
        <v>0</v>
      </c>
      <c r="AB51" s="314">
        <f>Data!DI51/AB$4*100000*AB$3</f>
        <v>0</v>
      </c>
      <c r="AC51" s="314">
        <f>Data!DJ51/AC$4*100000*AC$3</f>
        <v>0</v>
      </c>
      <c r="AD51" s="314">
        <f>Data!DK51/AD$4*100000*AD$3</f>
        <v>5550.5776565461138</v>
      </c>
      <c r="AE51" s="314">
        <f>Data!DL51/AE$4*100000*AE$3</f>
        <v>5562.4055549890145</v>
      </c>
      <c r="AF51" s="314">
        <f>Data!DM51/AF$4*100000*AF$3</f>
        <v>15164.381899793763</v>
      </c>
      <c r="AG51" s="314">
        <f>Data!DN51/AG$4*100000*AG$3</f>
        <v>14414.933871490864</v>
      </c>
      <c r="AH51" s="314">
        <f>Data!DO51/AH$4*100000*AH$3</f>
        <v>19985.344081007261</v>
      </c>
      <c r="AI51" s="314">
        <f>Data!DP51/AI$4*100000*AI$3</f>
        <v>12423.286207667652</v>
      </c>
      <c r="AJ51" s="314">
        <f>Data!DQ51/AJ$4*100000*AJ$3</f>
        <v>13158.976889546839</v>
      </c>
      <c r="AK51" s="314">
        <f>Data!DR51/AK$4*100000*AK$3</f>
        <v>15411.0343005592</v>
      </c>
      <c r="AL51" s="322" t="s">
        <v>352</v>
      </c>
      <c r="AM51" s="314">
        <f t="shared" si="4"/>
        <v>64435.886039108555</v>
      </c>
      <c r="AN51" s="314">
        <f>Data!DA51/AN$4*100000*AN$3</f>
        <v>0</v>
      </c>
      <c r="AO51" s="314">
        <f>Data!DB51/AO$4*100000*AO$3</f>
        <v>0</v>
      </c>
      <c r="AP51" s="314">
        <f>Data!DC51/AP$4*100000*AP$3</f>
        <v>0</v>
      </c>
      <c r="AQ51" s="314">
        <f>Data!DD51/AQ$4*100000*AQ$3</f>
        <v>0</v>
      </c>
      <c r="AR51" s="314">
        <f>Data!DE51/AR$4*100000*AR$3</f>
        <v>0</v>
      </c>
      <c r="AS51" s="314">
        <f>Data!DF51/AS$4*100000*AS$3</f>
        <v>0</v>
      </c>
      <c r="AT51" s="314">
        <f>Data!DG51/AT$4*100000*AT$3</f>
        <v>0</v>
      </c>
      <c r="AU51" s="314">
        <f>Data!DH51/AU$4*100000*AU$3</f>
        <v>0</v>
      </c>
      <c r="AV51" s="314">
        <f>Data!DI51/AV$4*100000*AV$3</f>
        <v>0</v>
      </c>
      <c r="AW51" s="314">
        <f>Data!DJ51/AW$4*100000*AW$3</f>
        <v>0</v>
      </c>
      <c r="AX51" s="314">
        <f>Data!DK51/AX$4*100000*AX$3</f>
        <v>3964.6983261043665</v>
      </c>
      <c r="AY51" s="314">
        <f>Data!DL51/AY$4*100000*AY$3</f>
        <v>3708.270369992676</v>
      </c>
      <c r="AZ51" s="314">
        <f>Data!DM51/AZ$4*100000*AZ$3</f>
        <v>12131.505519835011</v>
      </c>
      <c r="BA51" s="314">
        <f>Data!DN51/BA$4*100000*BA$3</f>
        <v>10811.200403618148</v>
      </c>
      <c r="BB51" s="314">
        <f>Data!DO51/BB$4*100000*BB$3</f>
        <v>13323.562720671507</v>
      </c>
      <c r="BC51" s="314">
        <f>Data!DP51/BC$4*100000*BC$3</f>
        <v>6211.643103833826</v>
      </c>
      <c r="BD51" s="314">
        <f>Data!DQ51/BD$4*100000*BD$3</f>
        <v>6579.4884447734194</v>
      </c>
      <c r="BE51" s="314">
        <f>Data!DR51/BE$4*100000*BE$3</f>
        <v>7705.5171502796002</v>
      </c>
    </row>
    <row r="52" spans="1:57">
      <c r="A52" s="64"/>
      <c r="B52" s="64"/>
      <c r="C52" s="64"/>
      <c r="D52" s="64"/>
      <c r="E52" s="64"/>
      <c r="F52" s="64"/>
      <c r="G52" s="64"/>
      <c r="H52" s="68"/>
      <c r="I52" s="68"/>
      <c r="J52" s="68"/>
      <c r="K52" s="68"/>
      <c r="L52" s="68"/>
      <c r="M52" s="68"/>
      <c r="N52" s="68"/>
      <c r="O52" s="68"/>
      <c r="P52" s="68"/>
      <c r="Q52" s="307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08"/>
      <c r="AH52" s="308"/>
      <c r="AI52" s="308"/>
      <c r="AJ52" s="308"/>
      <c r="AK52" s="308"/>
      <c r="AL52" s="308"/>
      <c r="AM52" s="308"/>
      <c r="AN52" s="308"/>
      <c r="AO52" s="308"/>
      <c r="AP52" s="308"/>
      <c r="AQ52" s="308"/>
      <c r="AR52" s="308"/>
      <c r="AS52" s="308"/>
      <c r="AT52" s="308"/>
      <c r="AU52" s="308"/>
      <c r="AV52" s="308"/>
      <c r="AW52" s="308"/>
      <c r="AX52" s="308"/>
      <c r="AY52" s="308"/>
      <c r="AZ52" s="308"/>
      <c r="BA52" s="308"/>
      <c r="BB52" s="308"/>
      <c r="BC52" s="308"/>
      <c r="BD52" s="308"/>
      <c r="BE52" s="308"/>
    </row>
    <row r="53" spans="1:57">
      <c r="A53" s="64"/>
      <c r="B53" s="64"/>
      <c r="C53" s="64"/>
      <c r="D53" s="64"/>
      <c r="E53" s="64"/>
      <c r="F53" s="64"/>
      <c r="G53" s="64"/>
      <c r="H53" s="68"/>
      <c r="I53" s="68"/>
      <c r="J53" s="68"/>
      <c r="K53" s="68"/>
      <c r="L53" s="68"/>
      <c r="M53" s="68"/>
      <c r="N53" s="68"/>
      <c r="O53" s="68"/>
      <c r="P53" s="68"/>
      <c r="Q53" s="307"/>
      <c r="R53" s="308"/>
      <c r="S53" s="314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08"/>
      <c r="AM53" s="308"/>
      <c r="AN53" s="308"/>
      <c r="AO53" s="308"/>
      <c r="AP53" s="308"/>
      <c r="AQ53" s="308"/>
      <c r="AR53" s="308"/>
      <c r="AS53" s="308"/>
      <c r="AT53" s="308"/>
      <c r="AU53" s="308"/>
      <c r="AV53" s="308"/>
      <c r="AW53" s="308"/>
      <c r="AX53" s="308"/>
      <c r="AY53" s="308"/>
      <c r="AZ53" s="308"/>
      <c r="BA53" s="308"/>
      <c r="BB53" s="308"/>
      <c r="BC53" s="308"/>
      <c r="BD53" s="308"/>
      <c r="BE53" s="308"/>
    </row>
    <row r="54" spans="1:57">
      <c r="Q54" s="307"/>
      <c r="R54" s="308" t="s">
        <v>407</v>
      </c>
      <c r="S54" s="314">
        <f>SUM(T54:AK54)</f>
        <v>100000</v>
      </c>
      <c r="T54" s="315">
        <v>8000</v>
      </c>
      <c r="U54" s="315">
        <v>7000</v>
      </c>
      <c r="V54" s="315">
        <v>7000</v>
      </c>
      <c r="W54" s="315">
        <v>7000</v>
      </c>
      <c r="X54" s="315">
        <v>7000</v>
      </c>
      <c r="Y54" s="315">
        <v>7000</v>
      </c>
      <c r="Z54" s="315">
        <v>7000</v>
      </c>
      <c r="AA54" s="315">
        <v>7000</v>
      </c>
      <c r="AB54" s="315">
        <v>7000</v>
      </c>
      <c r="AC54" s="315">
        <v>7000</v>
      </c>
      <c r="AD54" s="315">
        <v>7000</v>
      </c>
      <c r="AE54" s="315">
        <v>6000</v>
      </c>
      <c r="AF54" s="315">
        <v>5000</v>
      </c>
      <c r="AG54" s="315">
        <v>4000</v>
      </c>
      <c r="AH54" s="315">
        <v>3000</v>
      </c>
      <c r="AI54" s="315">
        <v>2000</v>
      </c>
      <c r="AJ54" s="315">
        <v>1000</v>
      </c>
      <c r="AK54" s="315">
        <v>1000</v>
      </c>
      <c r="AL54" s="308"/>
      <c r="AM54" s="308"/>
      <c r="AN54" s="308"/>
      <c r="AO54" s="308"/>
      <c r="AP54" s="308"/>
      <c r="AQ54" s="308"/>
      <c r="AR54" s="308"/>
      <c r="AS54" s="308"/>
      <c r="AT54" s="308"/>
      <c r="AU54" s="308"/>
      <c r="AV54" s="308"/>
      <c r="AW54" s="308"/>
      <c r="AX54" s="308"/>
      <c r="AY54" s="308"/>
      <c r="AZ54" s="308"/>
      <c r="BA54" s="308"/>
      <c r="BB54" s="308"/>
      <c r="BC54" s="308"/>
      <c r="BD54" s="308"/>
      <c r="BE54" s="308"/>
    </row>
    <row r="55" spans="1:57">
      <c r="Q55" s="307"/>
      <c r="R55" s="308" t="s">
        <v>408</v>
      </c>
      <c r="S55" s="308">
        <v>100000</v>
      </c>
      <c r="T55" s="308">
        <v>12000</v>
      </c>
      <c r="U55" s="308">
        <v>10000</v>
      </c>
      <c r="V55" s="308">
        <v>9000</v>
      </c>
      <c r="W55" s="308">
        <v>9000</v>
      </c>
      <c r="X55" s="308">
        <v>8000</v>
      </c>
      <c r="Y55" s="308">
        <v>8000</v>
      </c>
      <c r="Z55" s="308">
        <v>6000</v>
      </c>
      <c r="AA55" s="308">
        <v>6000</v>
      </c>
      <c r="AB55" s="308">
        <v>6000</v>
      </c>
      <c r="AC55" s="308">
        <v>6000</v>
      </c>
      <c r="AD55" s="308">
        <v>5000</v>
      </c>
      <c r="AE55" s="308">
        <v>4000</v>
      </c>
      <c r="AF55" s="308">
        <v>4000</v>
      </c>
      <c r="AG55" s="308">
        <v>3000</v>
      </c>
      <c r="AH55" s="308">
        <v>2000</v>
      </c>
      <c r="AI55" s="308">
        <v>1000</v>
      </c>
      <c r="AJ55" s="308">
        <v>500</v>
      </c>
      <c r="AK55" s="308">
        <v>500</v>
      </c>
      <c r="AL55" s="308"/>
      <c r="AM55" s="308"/>
      <c r="AN55" s="308"/>
      <c r="AO55" s="308"/>
      <c r="AP55" s="308"/>
      <c r="AQ55" s="308"/>
      <c r="AR55" s="308"/>
      <c r="AS55" s="308"/>
      <c r="AT55" s="308"/>
      <c r="AU55" s="308"/>
      <c r="AV55" s="308"/>
      <c r="AW55" s="308"/>
      <c r="AX55" s="308"/>
      <c r="AY55" s="308"/>
      <c r="AZ55" s="308"/>
      <c r="BA55" s="308"/>
      <c r="BB55" s="308"/>
      <c r="BC55" s="308"/>
      <c r="BD55" s="308"/>
      <c r="BE55" s="308"/>
    </row>
  </sheetData>
  <mergeCells count="9">
    <mergeCell ref="B1:C1"/>
    <mergeCell ref="AN2:AP2"/>
    <mergeCell ref="T2:V2"/>
    <mergeCell ref="B4:B5"/>
    <mergeCell ref="C4:C5"/>
    <mergeCell ref="D4:D5"/>
    <mergeCell ref="E4:E5"/>
    <mergeCell ref="F4:G4"/>
    <mergeCell ref="R1:R2"/>
  </mergeCells>
  <pageMargins left="0.59055118110236215" right="0.62992125984251968" top="1.5748031496062993" bottom="1.9685039370078741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39997558519241921"/>
  </sheetPr>
  <dimension ref="A1:W49"/>
  <sheetViews>
    <sheetView workbookViewId="0">
      <selection activeCell="B2" sqref="B2"/>
    </sheetView>
  </sheetViews>
  <sheetFormatPr defaultRowHeight="12.75"/>
  <cols>
    <col min="1" max="1" width="1.85546875" customWidth="1"/>
    <col min="2" max="2" width="28.7109375" customWidth="1"/>
    <col min="3" max="3" width="23.7109375" customWidth="1"/>
    <col min="4" max="22" width="6" customWidth="1"/>
    <col min="23" max="33" width="0.85546875" customWidth="1"/>
  </cols>
  <sheetData>
    <row r="1" spans="1:23" ht="15">
      <c r="A1" s="29"/>
      <c r="B1" s="552" t="s">
        <v>402</v>
      </c>
      <c r="C1" s="553"/>
      <c r="D1" s="553"/>
      <c r="E1" s="553"/>
      <c r="F1" s="553"/>
      <c r="G1" s="553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>
      <c r="A2" s="29"/>
      <c r="B2" s="554" t="str">
        <f>"Mirčių dėl piktybinių navikų, atvejų skaičius pagal amžiaus grupes  " &amp; GrafikaiSerg!A1 &amp; " metais. Vyrai."</f>
        <v>Mirčių dėl piktybinių navikų, atvejų skaičius pagal amžiaus grupes  2013 metais. Vyrai.</v>
      </c>
      <c r="C2" s="554"/>
      <c r="D2" s="554"/>
      <c r="E2" s="555"/>
      <c r="F2" s="554"/>
      <c r="G2" s="553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30"/>
    </row>
    <row r="3" spans="1:23">
      <c r="A3" s="29"/>
      <c r="B3" s="61" t="s">
        <v>650</v>
      </c>
      <c r="C3" s="55"/>
      <c r="D3" s="55"/>
      <c r="E3" s="55"/>
      <c r="F3" s="55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30"/>
    </row>
    <row r="4" spans="1:23" ht="12.95" customHeight="1">
      <c r="A4" s="29"/>
      <c r="B4" s="424" t="s">
        <v>242</v>
      </c>
      <c r="C4" s="424" t="s">
        <v>243</v>
      </c>
      <c r="D4" s="429" t="s">
        <v>418</v>
      </c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28"/>
      <c r="V4" s="434" t="s">
        <v>428</v>
      </c>
      <c r="W4" s="30"/>
    </row>
    <row r="5" spans="1:23" ht="12.95" customHeight="1" thickBot="1">
      <c r="A5" s="29"/>
      <c r="B5" s="425"/>
      <c r="C5" s="425"/>
      <c r="D5" s="167" t="s">
        <v>13</v>
      </c>
      <c r="E5" s="167" t="s">
        <v>11</v>
      </c>
      <c r="F5" s="167" t="s">
        <v>12</v>
      </c>
      <c r="G5" s="167" t="s">
        <v>14</v>
      </c>
      <c r="H5" s="167" t="s">
        <v>15</v>
      </c>
      <c r="I5" s="167" t="s">
        <v>16</v>
      </c>
      <c r="J5" s="167" t="s">
        <v>158</v>
      </c>
      <c r="K5" s="167" t="s">
        <v>17</v>
      </c>
      <c r="L5" s="167" t="s">
        <v>18</v>
      </c>
      <c r="M5" s="167" t="s">
        <v>19</v>
      </c>
      <c r="N5" s="167" t="s">
        <v>20</v>
      </c>
      <c r="O5" s="167" t="s">
        <v>21</v>
      </c>
      <c r="P5" s="167" t="s">
        <v>159</v>
      </c>
      <c r="Q5" s="167" t="s">
        <v>160</v>
      </c>
      <c r="R5" s="167" t="s">
        <v>161</v>
      </c>
      <c r="S5" s="167" t="s">
        <v>162</v>
      </c>
      <c r="T5" s="167" t="s">
        <v>22</v>
      </c>
      <c r="U5" s="167" t="s">
        <v>23</v>
      </c>
      <c r="V5" s="435"/>
      <c r="W5" s="30"/>
    </row>
    <row r="6" spans="1:23" ht="12" customHeight="1" thickTop="1">
      <c r="A6" s="29"/>
      <c r="B6" s="144" t="str">
        <f>UPPER(LEFT(TRIM(Data!B5),1)) &amp; MID(TRIM(Data!B5),2,50)</f>
        <v>Piktybiniai navikai</v>
      </c>
      <c r="C6" s="144" t="str">
        <f>Data!C5</f>
        <v>C00-C96</v>
      </c>
      <c r="D6" s="163">
        <f>Data!AN5</f>
        <v>2</v>
      </c>
      <c r="E6" s="163">
        <f>Data!AO5</f>
        <v>0</v>
      </c>
      <c r="F6" s="163">
        <f>Data!AP5</f>
        <v>3</v>
      </c>
      <c r="G6" s="163">
        <f>Data!AQ5</f>
        <v>3</v>
      </c>
      <c r="H6" s="163">
        <f>Data!AR5</f>
        <v>6</v>
      </c>
      <c r="I6" s="163">
        <f>Data!AS5</f>
        <v>8</v>
      </c>
      <c r="J6" s="163">
        <f>Data!AT5</f>
        <v>9</v>
      </c>
      <c r="K6" s="163">
        <f>Data!AU5</f>
        <v>34</v>
      </c>
      <c r="L6" s="163">
        <f>Data!AV5</f>
        <v>61</v>
      </c>
      <c r="M6" s="163">
        <f>Data!AW5</f>
        <v>126</v>
      </c>
      <c r="N6" s="163">
        <f>Data!AX5</f>
        <v>251</v>
      </c>
      <c r="O6" s="163">
        <f>Data!AY5</f>
        <v>434</v>
      </c>
      <c r="P6" s="163">
        <f>Data!AZ5</f>
        <v>570</v>
      </c>
      <c r="Q6" s="163">
        <f>Data!BA5</f>
        <v>552</v>
      </c>
      <c r="R6" s="163">
        <f>Data!BB5</f>
        <v>734</v>
      </c>
      <c r="S6" s="163">
        <f>Data!BC5</f>
        <v>678</v>
      </c>
      <c r="T6" s="163">
        <f>Data!BD5</f>
        <v>526</v>
      </c>
      <c r="U6" s="163">
        <f>Data!BE5</f>
        <v>333</v>
      </c>
      <c r="V6" s="163">
        <f>SUM(D6:U6)</f>
        <v>4330</v>
      </c>
      <c r="W6" s="30"/>
    </row>
    <row r="7" spans="1:23" ht="12" customHeight="1">
      <c r="A7" s="29"/>
      <c r="B7" s="139" t="str">
        <f>UPPER(LEFT(TRIM(Data!B6),1)) &amp; MID(TRIM(Data!B6),2,50)</f>
        <v>Lūpos</v>
      </c>
      <c r="C7" s="168" t="str">
        <f>Data!C6</f>
        <v>C00</v>
      </c>
      <c r="D7" s="169">
        <f>Data!AN6</f>
        <v>0</v>
      </c>
      <c r="E7" s="169">
        <f>Data!AO6</f>
        <v>0</v>
      </c>
      <c r="F7" s="169">
        <f>Data!AP6</f>
        <v>0</v>
      </c>
      <c r="G7" s="169">
        <f>Data!AQ6</f>
        <v>0</v>
      </c>
      <c r="H7" s="169">
        <f>Data!AR6</f>
        <v>0</v>
      </c>
      <c r="I7" s="169">
        <f>Data!AS6</f>
        <v>0</v>
      </c>
      <c r="J7" s="169">
        <f>Data!AT6</f>
        <v>0</v>
      </c>
      <c r="K7" s="169">
        <f>Data!AU6</f>
        <v>0</v>
      </c>
      <c r="L7" s="169">
        <f>Data!AV6</f>
        <v>0</v>
      </c>
      <c r="M7" s="169">
        <f>Data!AW6</f>
        <v>0</v>
      </c>
      <c r="N7" s="169">
        <f>Data!AX6</f>
        <v>0</v>
      </c>
      <c r="O7" s="169">
        <f>Data!AY6</f>
        <v>0</v>
      </c>
      <c r="P7" s="169">
        <f>Data!AZ6</f>
        <v>0</v>
      </c>
      <c r="Q7" s="169">
        <f>Data!BA6</f>
        <v>0</v>
      </c>
      <c r="R7" s="169">
        <f>Data!BB6</f>
        <v>2</v>
      </c>
      <c r="S7" s="169">
        <f>Data!BC6</f>
        <v>0</v>
      </c>
      <c r="T7" s="169">
        <f>Data!BD6</f>
        <v>2</v>
      </c>
      <c r="U7" s="169">
        <f>Data!BE6</f>
        <v>1</v>
      </c>
      <c r="V7" s="165">
        <f>SUM(D7:U7)</f>
        <v>5</v>
      </c>
      <c r="W7" s="30"/>
    </row>
    <row r="8" spans="1:23" ht="12" customHeight="1">
      <c r="A8" s="29"/>
      <c r="B8" s="144" t="str">
        <f>UPPER(LEFT(TRIM(Data!B7),1)) &amp; MID(TRIM(Data!B7),2,50)</f>
        <v>Burnos ertmės ir ryklės</v>
      </c>
      <c r="C8" s="144" t="str">
        <f>Data!C7</f>
        <v>C01-C14</v>
      </c>
      <c r="D8" s="163">
        <f>Data!AN7</f>
        <v>0</v>
      </c>
      <c r="E8" s="163">
        <f>Data!AO7</f>
        <v>0</v>
      </c>
      <c r="F8" s="163">
        <f>Data!AP7</f>
        <v>0</v>
      </c>
      <c r="G8" s="163">
        <f>Data!AQ7</f>
        <v>0</v>
      </c>
      <c r="H8" s="163">
        <f>Data!AR7</f>
        <v>0</v>
      </c>
      <c r="I8" s="163">
        <f>Data!AS7</f>
        <v>0</v>
      </c>
      <c r="J8" s="163">
        <f>Data!AT7</f>
        <v>0</v>
      </c>
      <c r="K8" s="163">
        <f>Data!AU7</f>
        <v>5</v>
      </c>
      <c r="L8" s="163">
        <f>Data!AV7</f>
        <v>5</v>
      </c>
      <c r="M8" s="163">
        <f>Data!AW7</f>
        <v>9</v>
      </c>
      <c r="N8" s="163">
        <f>Data!AX7</f>
        <v>25</v>
      </c>
      <c r="O8" s="163">
        <f>Data!AY7</f>
        <v>44</v>
      </c>
      <c r="P8" s="163">
        <f>Data!AZ7</f>
        <v>46</v>
      </c>
      <c r="Q8" s="163">
        <f>Data!BA7</f>
        <v>31</v>
      </c>
      <c r="R8" s="163">
        <f>Data!BB7</f>
        <v>20</v>
      </c>
      <c r="S8" s="163">
        <f>Data!BC7</f>
        <v>15</v>
      </c>
      <c r="T8" s="163">
        <f>Data!BD7</f>
        <v>3</v>
      </c>
      <c r="U8" s="163">
        <f>Data!BE7</f>
        <v>6</v>
      </c>
      <c r="V8" s="163">
        <f t="shared" ref="V8:V47" si="0">SUM(D8:U8)</f>
        <v>209</v>
      </c>
      <c r="W8" s="30"/>
    </row>
    <row r="9" spans="1:23" ht="12" customHeight="1">
      <c r="A9" s="29"/>
      <c r="B9" s="139" t="str">
        <f>UPPER(LEFT(TRIM(Data!B8),1)) &amp; MID(TRIM(Data!B8),2,50)</f>
        <v>Stemplės</v>
      </c>
      <c r="C9" s="168" t="str">
        <f>Data!C8</f>
        <v>C15</v>
      </c>
      <c r="D9" s="169">
        <f>Data!AN8</f>
        <v>0</v>
      </c>
      <c r="E9" s="169">
        <f>Data!AO8</f>
        <v>0</v>
      </c>
      <c r="F9" s="169">
        <f>Data!AP8</f>
        <v>0</v>
      </c>
      <c r="G9" s="169">
        <f>Data!AQ8</f>
        <v>0</v>
      </c>
      <c r="H9" s="169">
        <f>Data!AR8</f>
        <v>0</v>
      </c>
      <c r="I9" s="169">
        <f>Data!AS8</f>
        <v>0</v>
      </c>
      <c r="J9" s="169">
        <f>Data!AT8</f>
        <v>0</v>
      </c>
      <c r="K9" s="169">
        <f>Data!AU8</f>
        <v>2</v>
      </c>
      <c r="L9" s="169">
        <f>Data!AV8</f>
        <v>2</v>
      </c>
      <c r="M9" s="169">
        <f>Data!AW8</f>
        <v>9</v>
      </c>
      <c r="N9" s="169">
        <f>Data!AX8</f>
        <v>15</v>
      </c>
      <c r="O9" s="169">
        <f>Data!AY8</f>
        <v>32</v>
      </c>
      <c r="P9" s="169">
        <f>Data!AZ8</f>
        <v>28</v>
      </c>
      <c r="Q9" s="169">
        <f>Data!BA8</f>
        <v>22</v>
      </c>
      <c r="R9" s="169">
        <f>Data!BB8</f>
        <v>20</v>
      </c>
      <c r="S9" s="169">
        <f>Data!BC8</f>
        <v>12</v>
      </c>
      <c r="T9" s="169">
        <f>Data!BD8</f>
        <v>8</v>
      </c>
      <c r="U9" s="169">
        <f>Data!BE8</f>
        <v>6</v>
      </c>
      <c r="V9" s="165">
        <f t="shared" si="0"/>
        <v>156</v>
      </c>
      <c r="W9" s="30"/>
    </row>
    <row r="10" spans="1:23" ht="12" customHeight="1">
      <c r="A10" s="29"/>
      <c r="B10" s="144" t="str">
        <f>UPPER(LEFT(TRIM(Data!B9),1)) &amp; MID(TRIM(Data!B9),2,50)</f>
        <v>Skrandžio</v>
      </c>
      <c r="C10" s="144" t="str">
        <f>Data!C9</f>
        <v>C16</v>
      </c>
      <c r="D10" s="163">
        <f>Data!AN9</f>
        <v>0</v>
      </c>
      <c r="E10" s="163">
        <f>Data!AO9</f>
        <v>0</v>
      </c>
      <c r="F10" s="163">
        <f>Data!AP9</f>
        <v>0</v>
      </c>
      <c r="G10" s="163">
        <f>Data!AQ9</f>
        <v>0</v>
      </c>
      <c r="H10" s="163">
        <f>Data!AR9</f>
        <v>1</v>
      </c>
      <c r="I10" s="163">
        <f>Data!AS9</f>
        <v>1</v>
      </c>
      <c r="J10" s="163">
        <f>Data!AT9</f>
        <v>1</v>
      </c>
      <c r="K10" s="163">
        <f>Data!AU9</f>
        <v>6</v>
      </c>
      <c r="L10" s="163">
        <f>Data!AV9</f>
        <v>12</v>
      </c>
      <c r="M10" s="163">
        <f>Data!AW9</f>
        <v>16</v>
      </c>
      <c r="N10" s="163">
        <f>Data!AX9</f>
        <v>32</v>
      </c>
      <c r="O10" s="163">
        <f>Data!AY9</f>
        <v>28</v>
      </c>
      <c r="P10" s="163">
        <f>Data!AZ9</f>
        <v>47</v>
      </c>
      <c r="Q10" s="163">
        <f>Data!BA9</f>
        <v>49</v>
      </c>
      <c r="R10" s="163">
        <f>Data!BB9</f>
        <v>70</v>
      </c>
      <c r="S10" s="163">
        <f>Data!BC9</f>
        <v>44</v>
      </c>
      <c r="T10" s="163">
        <f>Data!BD9</f>
        <v>54</v>
      </c>
      <c r="U10" s="163">
        <f>Data!BE9</f>
        <v>35</v>
      </c>
      <c r="V10" s="163">
        <f t="shared" si="0"/>
        <v>396</v>
      </c>
      <c r="W10" s="30"/>
    </row>
    <row r="11" spans="1:23" ht="12" customHeight="1">
      <c r="A11" s="29"/>
      <c r="B11" s="139" t="str">
        <f>UPPER(LEFT(TRIM(Data!B10),1)) &amp; MID(TRIM(Data!B10),2,50)</f>
        <v>Gaubtinės žarnos</v>
      </c>
      <c r="C11" s="168" t="str">
        <f>Data!C10</f>
        <v>C18</v>
      </c>
      <c r="D11" s="169">
        <f>Data!AN10</f>
        <v>0</v>
      </c>
      <c r="E11" s="169">
        <f>Data!AO10</f>
        <v>0</v>
      </c>
      <c r="F11" s="169">
        <f>Data!AP10</f>
        <v>0</v>
      </c>
      <c r="G11" s="169">
        <f>Data!AQ10</f>
        <v>0</v>
      </c>
      <c r="H11" s="169">
        <f>Data!AR10</f>
        <v>0</v>
      </c>
      <c r="I11" s="169">
        <f>Data!AS10</f>
        <v>0</v>
      </c>
      <c r="J11" s="169">
        <f>Data!AT10</f>
        <v>1</v>
      </c>
      <c r="K11" s="169">
        <f>Data!AU10</f>
        <v>0</v>
      </c>
      <c r="L11" s="169">
        <f>Data!AV10</f>
        <v>1</v>
      </c>
      <c r="M11" s="169">
        <f>Data!AW10</f>
        <v>3</v>
      </c>
      <c r="N11" s="169">
        <f>Data!AX10</f>
        <v>7</v>
      </c>
      <c r="O11" s="169">
        <f>Data!AY10</f>
        <v>15</v>
      </c>
      <c r="P11" s="169">
        <f>Data!AZ10</f>
        <v>29</v>
      </c>
      <c r="Q11" s="169">
        <f>Data!BA10</f>
        <v>31</v>
      </c>
      <c r="R11" s="169">
        <f>Data!BB10</f>
        <v>43</v>
      </c>
      <c r="S11" s="169">
        <f>Data!BC10</f>
        <v>46</v>
      </c>
      <c r="T11" s="169">
        <f>Data!BD10</f>
        <v>45</v>
      </c>
      <c r="U11" s="169">
        <f>Data!BE10</f>
        <v>29</v>
      </c>
      <c r="V11" s="165">
        <f t="shared" si="0"/>
        <v>250</v>
      </c>
      <c r="W11" s="30"/>
    </row>
    <row r="12" spans="1:23" ht="12" customHeight="1">
      <c r="A12" s="29"/>
      <c r="B12" s="144" t="str">
        <f>UPPER(LEFT(TRIM(Data!B11),1)) &amp; MID(TRIM(Data!B11),2,50)</f>
        <v>Tiesiosios žarnos, išangės</v>
      </c>
      <c r="C12" s="144" t="str">
        <f>Data!C11</f>
        <v>C19-C21</v>
      </c>
      <c r="D12" s="163">
        <f>Data!AN11</f>
        <v>0</v>
      </c>
      <c r="E12" s="163">
        <f>Data!AO11</f>
        <v>0</v>
      </c>
      <c r="F12" s="163">
        <f>Data!AP11</f>
        <v>0</v>
      </c>
      <c r="G12" s="163">
        <f>Data!AQ11</f>
        <v>0</v>
      </c>
      <c r="H12" s="163">
        <f>Data!AR11</f>
        <v>0</v>
      </c>
      <c r="I12" s="163">
        <f>Data!AS11</f>
        <v>1</v>
      </c>
      <c r="J12" s="163">
        <f>Data!AT11</f>
        <v>0</v>
      </c>
      <c r="K12" s="163">
        <f>Data!AU11</f>
        <v>1</v>
      </c>
      <c r="L12" s="163">
        <f>Data!AV11</f>
        <v>2</v>
      </c>
      <c r="M12" s="163">
        <f>Data!AW11</f>
        <v>4</v>
      </c>
      <c r="N12" s="163">
        <f>Data!AX11</f>
        <v>6</v>
      </c>
      <c r="O12" s="163">
        <f>Data!AY11</f>
        <v>23</v>
      </c>
      <c r="P12" s="163">
        <f>Data!AZ11</f>
        <v>15</v>
      </c>
      <c r="Q12" s="163">
        <f>Data!BA11</f>
        <v>29</v>
      </c>
      <c r="R12" s="163">
        <f>Data!BB11</f>
        <v>39</v>
      </c>
      <c r="S12" s="163">
        <f>Data!BC11</f>
        <v>42</v>
      </c>
      <c r="T12" s="163">
        <f>Data!BD11</f>
        <v>31</v>
      </c>
      <c r="U12" s="163">
        <f>Data!BE11</f>
        <v>33</v>
      </c>
      <c r="V12" s="163">
        <f t="shared" si="0"/>
        <v>226</v>
      </c>
      <c r="W12" s="30"/>
    </row>
    <row r="13" spans="1:23" ht="12" customHeight="1">
      <c r="A13" s="29"/>
      <c r="B13" s="139" t="str">
        <f>UPPER(LEFT(TRIM(Data!B12),1)) &amp; MID(TRIM(Data!B12),2,50)</f>
        <v>Kepenų</v>
      </c>
      <c r="C13" s="168" t="str">
        <f>Data!C12</f>
        <v>C22</v>
      </c>
      <c r="D13" s="169">
        <f>Data!AN12</f>
        <v>1</v>
      </c>
      <c r="E13" s="169">
        <f>Data!AO12</f>
        <v>0</v>
      </c>
      <c r="F13" s="169">
        <f>Data!AP12</f>
        <v>1</v>
      </c>
      <c r="G13" s="169">
        <f>Data!AQ12</f>
        <v>0</v>
      </c>
      <c r="H13" s="169">
        <f>Data!AR12</f>
        <v>0</v>
      </c>
      <c r="I13" s="169">
        <f>Data!AS12</f>
        <v>0</v>
      </c>
      <c r="J13" s="169">
        <f>Data!AT12</f>
        <v>0</v>
      </c>
      <c r="K13" s="169">
        <f>Data!AU12</f>
        <v>0</v>
      </c>
      <c r="L13" s="169">
        <f>Data!AV12</f>
        <v>2</v>
      </c>
      <c r="M13" s="169">
        <f>Data!AW12</f>
        <v>8</v>
      </c>
      <c r="N13" s="169">
        <f>Data!AX12</f>
        <v>4</v>
      </c>
      <c r="O13" s="169">
        <f>Data!AY12</f>
        <v>14</v>
      </c>
      <c r="P13" s="169">
        <f>Data!AZ12</f>
        <v>12</v>
      </c>
      <c r="Q13" s="169">
        <f>Data!BA12</f>
        <v>12</v>
      </c>
      <c r="R13" s="169">
        <f>Data!BB12</f>
        <v>14</v>
      </c>
      <c r="S13" s="169">
        <f>Data!BC12</f>
        <v>13</v>
      </c>
      <c r="T13" s="169">
        <f>Data!BD12</f>
        <v>9</v>
      </c>
      <c r="U13" s="169">
        <f>Data!BE12</f>
        <v>9</v>
      </c>
      <c r="V13" s="165">
        <f t="shared" si="0"/>
        <v>99</v>
      </c>
      <c r="W13" s="30"/>
    </row>
    <row r="14" spans="1:23" ht="12" customHeight="1">
      <c r="A14" s="29"/>
      <c r="B14" s="144" t="str">
        <f>UPPER(LEFT(TRIM(Data!B13),1)) &amp; MID(TRIM(Data!B13),2,50)</f>
        <v>Tulžies pūslės, ekstrahepatinių takų</v>
      </c>
      <c r="C14" s="144" t="str">
        <f>Data!C13</f>
        <v>C23, C24</v>
      </c>
      <c r="D14" s="163">
        <f>Data!AN13</f>
        <v>0</v>
      </c>
      <c r="E14" s="163">
        <f>Data!AO13</f>
        <v>0</v>
      </c>
      <c r="F14" s="163">
        <f>Data!AP13</f>
        <v>0</v>
      </c>
      <c r="G14" s="163">
        <f>Data!AQ13</f>
        <v>0</v>
      </c>
      <c r="H14" s="163">
        <f>Data!AR13</f>
        <v>0</v>
      </c>
      <c r="I14" s="163">
        <f>Data!AS13</f>
        <v>0</v>
      </c>
      <c r="J14" s="163">
        <f>Data!AT13</f>
        <v>0</v>
      </c>
      <c r="K14" s="163">
        <f>Data!AU13</f>
        <v>0</v>
      </c>
      <c r="L14" s="163">
        <f>Data!AV13</f>
        <v>0</v>
      </c>
      <c r="M14" s="163">
        <f>Data!AW13</f>
        <v>1</v>
      </c>
      <c r="N14" s="163">
        <f>Data!AX13</f>
        <v>3</v>
      </c>
      <c r="O14" s="163">
        <f>Data!AY13</f>
        <v>1</v>
      </c>
      <c r="P14" s="163">
        <f>Data!AZ13</f>
        <v>7</v>
      </c>
      <c r="Q14" s="163">
        <f>Data!BA13</f>
        <v>3</v>
      </c>
      <c r="R14" s="163">
        <f>Data!BB13</f>
        <v>5</v>
      </c>
      <c r="S14" s="163">
        <f>Data!BC13</f>
        <v>4</v>
      </c>
      <c r="T14" s="163">
        <f>Data!BD13</f>
        <v>3</v>
      </c>
      <c r="U14" s="163">
        <f>Data!BE13</f>
        <v>4</v>
      </c>
      <c r="V14" s="163">
        <f t="shared" si="0"/>
        <v>31</v>
      </c>
      <c r="W14" s="30"/>
    </row>
    <row r="15" spans="1:23" ht="12" customHeight="1">
      <c r="A15" s="29"/>
      <c r="B15" s="139" t="str">
        <f>UPPER(LEFT(TRIM(Data!B14),1)) &amp; MID(TRIM(Data!B14),2,50)</f>
        <v>Kasos</v>
      </c>
      <c r="C15" s="168" t="str">
        <f>Data!C14</f>
        <v>C25</v>
      </c>
      <c r="D15" s="169">
        <f>Data!AN14</f>
        <v>0</v>
      </c>
      <c r="E15" s="169">
        <f>Data!AO14</f>
        <v>0</v>
      </c>
      <c r="F15" s="169">
        <f>Data!AP14</f>
        <v>0</v>
      </c>
      <c r="G15" s="169">
        <f>Data!AQ14</f>
        <v>0</v>
      </c>
      <c r="H15" s="169">
        <f>Data!AR14</f>
        <v>0</v>
      </c>
      <c r="I15" s="169">
        <f>Data!AS14</f>
        <v>0</v>
      </c>
      <c r="J15" s="169">
        <f>Data!AT14</f>
        <v>2</v>
      </c>
      <c r="K15" s="169">
        <f>Data!AU14</f>
        <v>1</v>
      </c>
      <c r="L15" s="169">
        <f>Data!AV14</f>
        <v>3</v>
      </c>
      <c r="M15" s="169">
        <f>Data!AW14</f>
        <v>8</v>
      </c>
      <c r="N15" s="169">
        <f>Data!AX14</f>
        <v>19</v>
      </c>
      <c r="O15" s="169">
        <f>Data!AY14</f>
        <v>20</v>
      </c>
      <c r="P15" s="169">
        <f>Data!AZ14</f>
        <v>28</v>
      </c>
      <c r="Q15" s="169">
        <f>Data!BA14</f>
        <v>34</v>
      </c>
      <c r="R15" s="169">
        <f>Data!BB14</f>
        <v>43</v>
      </c>
      <c r="S15" s="169">
        <f>Data!BC14</f>
        <v>37</v>
      </c>
      <c r="T15" s="169">
        <f>Data!BD14</f>
        <v>20</v>
      </c>
      <c r="U15" s="169">
        <f>Data!BE14</f>
        <v>12</v>
      </c>
      <c r="V15" s="165">
        <f t="shared" si="0"/>
        <v>227</v>
      </c>
      <c r="W15" s="30"/>
    </row>
    <row r="16" spans="1:23" ht="12" customHeight="1">
      <c r="A16" s="29"/>
      <c r="B16" s="144" t="str">
        <f>UPPER(LEFT(TRIM(Data!B15),1)) &amp; MID(TRIM(Data!B15),2,50)</f>
        <v>Kitų virškinimo sistemos organų</v>
      </c>
      <c r="C16" s="144" t="str">
        <f>Data!C15</f>
        <v>C17, C26, C48</v>
      </c>
      <c r="D16" s="163">
        <f>Data!AN15</f>
        <v>0</v>
      </c>
      <c r="E16" s="163">
        <f>Data!AO15</f>
        <v>0</v>
      </c>
      <c r="F16" s="163">
        <f>Data!AP15</f>
        <v>0</v>
      </c>
      <c r="G16" s="163">
        <f>Data!AQ15</f>
        <v>0</v>
      </c>
      <c r="H16" s="163">
        <f>Data!AR15</f>
        <v>0</v>
      </c>
      <c r="I16" s="163">
        <f>Data!AS15</f>
        <v>0</v>
      </c>
      <c r="J16" s="163">
        <f>Data!AT15</f>
        <v>0</v>
      </c>
      <c r="K16" s="163">
        <f>Data!AU15</f>
        <v>0</v>
      </c>
      <c r="L16" s="163">
        <f>Data!AV15</f>
        <v>1</v>
      </c>
      <c r="M16" s="163">
        <f>Data!AW15</f>
        <v>2</v>
      </c>
      <c r="N16" s="163">
        <f>Data!AX15</f>
        <v>2</v>
      </c>
      <c r="O16" s="163">
        <f>Data!AY15</f>
        <v>2</v>
      </c>
      <c r="P16" s="163">
        <f>Data!AZ15</f>
        <v>2</v>
      </c>
      <c r="Q16" s="163">
        <f>Data!BA15</f>
        <v>3</v>
      </c>
      <c r="R16" s="163">
        <f>Data!BB15</f>
        <v>4</v>
      </c>
      <c r="S16" s="163">
        <f>Data!BC15</f>
        <v>5</v>
      </c>
      <c r="T16" s="163">
        <f>Data!BD15</f>
        <v>5</v>
      </c>
      <c r="U16" s="163">
        <f>Data!BE15</f>
        <v>4</v>
      </c>
      <c r="V16" s="163">
        <f t="shared" si="0"/>
        <v>30</v>
      </c>
      <c r="W16" s="30"/>
    </row>
    <row r="17" spans="1:23" ht="12" customHeight="1">
      <c r="A17" s="29"/>
      <c r="B17" s="139" t="str">
        <f>UPPER(LEFT(TRIM(Data!B16),1)) &amp; MID(TRIM(Data!B16),2,50)</f>
        <v>Nosies ertmės, vid.ausies ir ančių</v>
      </c>
      <c r="C17" s="168" t="str">
        <f>Data!C16</f>
        <v>C30, C31</v>
      </c>
      <c r="D17" s="169">
        <f>Data!AN16</f>
        <v>0</v>
      </c>
      <c r="E17" s="169">
        <f>Data!AO16</f>
        <v>0</v>
      </c>
      <c r="F17" s="169">
        <f>Data!AP16</f>
        <v>0</v>
      </c>
      <c r="G17" s="169">
        <f>Data!AQ16</f>
        <v>0</v>
      </c>
      <c r="H17" s="169">
        <f>Data!AR16</f>
        <v>0</v>
      </c>
      <c r="I17" s="169">
        <f>Data!AS16</f>
        <v>0</v>
      </c>
      <c r="J17" s="169">
        <f>Data!AT16</f>
        <v>0</v>
      </c>
      <c r="K17" s="169">
        <f>Data!AU16</f>
        <v>0</v>
      </c>
      <c r="L17" s="169">
        <f>Data!AV16</f>
        <v>0</v>
      </c>
      <c r="M17" s="169">
        <f>Data!AW16</f>
        <v>3</v>
      </c>
      <c r="N17" s="169">
        <f>Data!AX16</f>
        <v>0</v>
      </c>
      <c r="O17" s="169">
        <f>Data!AY16</f>
        <v>0</v>
      </c>
      <c r="P17" s="169">
        <f>Data!AZ16</f>
        <v>0</v>
      </c>
      <c r="Q17" s="169">
        <f>Data!BA16</f>
        <v>1</v>
      </c>
      <c r="R17" s="169">
        <f>Data!BB16</f>
        <v>2</v>
      </c>
      <c r="S17" s="169">
        <f>Data!BC16</f>
        <v>1</v>
      </c>
      <c r="T17" s="169">
        <f>Data!BD16</f>
        <v>2</v>
      </c>
      <c r="U17" s="169">
        <f>Data!BE16</f>
        <v>0</v>
      </c>
      <c r="V17" s="165">
        <f t="shared" si="0"/>
        <v>9</v>
      </c>
      <c r="W17" s="30"/>
    </row>
    <row r="18" spans="1:23" ht="12" customHeight="1">
      <c r="A18" s="29"/>
      <c r="B18" s="144" t="str">
        <f>UPPER(LEFT(TRIM(Data!B17),1)) &amp; MID(TRIM(Data!B17),2,50)</f>
        <v>Gerklų</v>
      </c>
      <c r="C18" s="144" t="str">
        <f>Data!C17</f>
        <v>C32</v>
      </c>
      <c r="D18" s="163">
        <f>Data!AN17</f>
        <v>0</v>
      </c>
      <c r="E18" s="163">
        <f>Data!AO17</f>
        <v>0</v>
      </c>
      <c r="F18" s="163">
        <f>Data!AP17</f>
        <v>0</v>
      </c>
      <c r="G18" s="163">
        <f>Data!AQ17</f>
        <v>0</v>
      </c>
      <c r="H18" s="163">
        <f>Data!AR17</f>
        <v>0</v>
      </c>
      <c r="I18" s="163">
        <f>Data!AS17</f>
        <v>0</v>
      </c>
      <c r="J18" s="163">
        <f>Data!AT17</f>
        <v>0</v>
      </c>
      <c r="K18" s="163">
        <f>Data!AU17</f>
        <v>0</v>
      </c>
      <c r="L18" s="163">
        <f>Data!AV17</f>
        <v>4</v>
      </c>
      <c r="M18" s="163">
        <f>Data!AW17</f>
        <v>7</v>
      </c>
      <c r="N18" s="163">
        <f>Data!AX17</f>
        <v>13</v>
      </c>
      <c r="O18" s="163">
        <f>Data!AY17</f>
        <v>11</v>
      </c>
      <c r="P18" s="163">
        <f>Data!AZ17</f>
        <v>20</v>
      </c>
      <c r="Q18" s="163">
        <f>Data!BA17</f>
        <v>15</v>
      </c>
      <c r="R18" s="163">
        <f>Data!BB17</f>
        <v>7</v>
      </c>
      <c r="S18" s="163">
        <f>Data!BC17</f>
        <v>11</v>
      </c>
      <c r="T18" s="163">
        <f>Data!BD17</f>
        <v>10</v>
      </c>
      <c r="U18" s="163">
        <f>Data!BE17</f>
        <v>3</v>
      </c>
      <c r="V18" s="163">
        <f t="shared" si="0"/>
        <v>101</v>
      </c>
      <c r="W18" s="30"/>
    </row>
    <row r="19" spans="1:23" ht="12" customHeight="1">
      <c r="A19" s="29"/>
      <c r="B19" s="139" t="str">
        <f>UPPER(LEFT(TRIM(Data!B18),1)) &amp; MID(TRIM(Data!B18),2,50)</f>
        <v>Plaučių, trachėjos, bronchų</v>
      </c>
      <c r="C19" s="168" t="str">
        <f>Data!C18</f>
        <v>C33, C34</v>
      </c>
      <c r="D19" s="169">
        <f>Data!AN18</f>
        <v>0</v>
      </c>
      <c r="E19" s="169">
        <f>Data!AO18</f>
        <v>0</v>
      </c>
      <c r="F19" s="169">
        <f>Data!AP18</f>
        <v>0</v>
      </c>
      <c r="G19" s="169">
        <f>Data!AQ18</f>
        <v>0</v>
      </c>
      <c r="H19" s="169">
        <f>Data!AR18</f>
        <v>0</v>
      </c>
      <c r="I19" s="169">
        <f>Data!AS18</f>
        <v>1</v>
      </c>
      <c r="J19" s="169">
        <f>Data!AT18</f>
        <v>0</v>
      </c>
      <c r="K19" s="169">
        <f>Data!AU18</f>
        <v>1</v>
      </c>
      <c r="L19" s="169">
        <f>Data!AV18</f>
        <v>8</v>
      </c>
      <c r="M19" s="169">
        <f>Data!AW18</f>
        <v>24</v>
      </c>
      <c r="N19" s="169">
        <f>Data!AX18</f>
        <v>56</v>
      </c>
      <c r="O19" s="169">
        <f>Data!AY18</f>
        <v>116</v>
      </c>
      <c r="P19" s="169">
        <f>Data!AZ18</f>
        <v>197</v>
      </c>
      <c r="Q19" s="169">
        <f>Data!BA18</f>
        <v>169</v>
      </c>
      <c r="R19" s="169">
        <f>Data!BB18</f>
        <v>195</v>
      </c>
      <c r="S19" s="169">
        <f>Data!BC18</f>
        <v>171</v>
      </c>
      <c r="T19" s="169">
        <f>Data!BD18</f>
        <v>87</v>
      </c>
      <c r="U19" s="169">
        <f>Data!BE18</f>
        <v>33</v>
      </c>
      <c r="V19" s="165">
        <f t="shared" si="0"/>
        <v>1058</v>
      </c>
      <c r="W19" s="30"/>
    </row>
    <row r="20" spans="1:23" ht="12" customHeight="1">
      <c r="A20" s="29"/>
      <c r="B20" s="144" t="str">
        <f>UPPER(LEFT(TRIM(Data!B19),1)) &amp; MID(TRIM(Data!B19),2,50)</f>
        <v>Kitų kvėpavimo sistemos organų</v>
      </c>
      <c r="C20" s="144" t="str">
        <f>Data!C19</f>
        <v>C37-C39</v>
      </c>
      <c r="D20" s="163">
        <f>Data!AN19</f>
        <v>0</v>
      </c>
      <c r="E20" s="163">
        <f>Data!AO19</f>
        <v>0</v>
      </c>
      <c r="F20" s="163">
        <f>Data!AP19</f>
        <v>0</v>
      </c>
      <c r="G20" s="163">
        <f>Data!AQ19</f>
        <v>0</v>
      </c>
      <c r="H20" s="163">
        <f>Data!AR19</f>
        <v>0</v>
      </c>
      <c r="I20" s="163">
        <f>Data!AS19</f>
        <v>0</v>
      </c>
      <c r="J20" s="163">
        <f>Data!AT19</f>
        <v>0</v>
      </c>
      <c r="K20" s="163">
        <f>Data!AU19</f>
        <v>0</v>
      </c>
      <c r="L20" s="163">
        <f>Data!AV19</f>
        <v>0</v>
      </c>
      <c r="M20" s="163">
        <f>Data!AW19</f>
        <v>0</v>
      </c>
      <c r="N20" s="163">
        <f>Data!AX19</f>
        <v>2</v>
      </c>
      <c r="O20" s="163">
        <f>Data!AY19</f>
        <v>0</v>
      </c>
      <c r="P20" s="163">
        <f>Data!AZ19</f>
        <v>1</v>
      </c>
      <c r="Q20" s="163">
        <f>Data!BA19</f>
        <v>2</v>
      </c>
      <c r="R20" s="163">
        <f>Data!BB19</f>
        <v>2</v>
      </c>
      <c r="S20" s="163">
        <f>Data!BC19</f>
        <v>1</v>
      </c>
      <c r="T20" s="163">
        <f>Data!BD19</f>
        <v>0</v>
      </c>
      <c r="U20" s="163">
        <f>Data!BE19</f>
        <v>0</v>
      </c>
      <c r="V20" s="163">
        <f t="shared" si="0"/>
        <v>8</v>
      </c>
      <c r="W20" s="30"/>
    </row>
    <row r="21" spans="1:23" ht="12" customHeight="1">
      <c r="A21" s="29"/>
      <c r="B21" s="139" t="str">
        <f>UPPER(LEFT(TRIM(Data!B20),1)) &amp; MID(TRIM(Data!B20),2,50)</f>
        <v>Kaulų ir jungiamojo audinio</v>
      </c>
      <c r="C21" s="168" t="str">
        <f>Data!C20</f>
        <v>C40-C41, C45-C47, C49</v>
      </c>
      <c r="D21" s="169">
        <f>Data!AN20</f>
        <v>1</v>
      </c>
      <c r="E21" s="169">
        <f>Data!AO20</f>
        <v>0</v>
      </c>
      <c r="F21" s="169">
        <f>Data!AP20</f>
        <v>0</v>
      </c>
      <c r="G21" s="169">
        <f>Data!AQ20</f>
        <v>0</v>
      </c>
      <c r="H21" s="169">
        <f>Data!AR20</f>
        <v>1</v>
      </c>
      <c r="I21" s="169">
        <f>Data!AS20</f>
        <v>1</v>
      </c>
      <c r="J21" s="169">
        <f>Data!AT20</f>
        <v>2</v>
      </c>
      <c r="K21" s="169">
        <f>Data!AU20</f>
        <v>1</v>
      </c>
      <c r="L21" s="169">
        <f>Data!AV20</f>
        <v>2</v>
      </c>
      <c r="M21" s="169">
        <f>Data!AW20</f>
        <v>2</v>
      </c>
      <c r="N21" s="169">
        <f>Data!AX20</f>
        <v>1</v>
      </c>
      <c r="O21" s="169">
        <f>Data!AY20</f>
        <v>3</v>
      </c>
      <c r="P21" s="169">
        <f>Data!AZ20</f>
        <v>4</v>
      </c>
      <c r="Q21" s="169">
        <f>Data!BA20</f>
        <v>5</v>
      </c>
      <c r="R21" s="169">
        <f>Data!BB20</f>
        <v>3</v>
      </c>
      <c r="S21" s="169">
        <f>Data!BC20</f>
        <v>2</v>
      </c>
      <c r="T21" s="169">
        <f>Data!BD20</f>
        <v>3</v>
      </c>
      <c r="U21" s="169">
        <f>Data!BE20</f>
        <v>1</v>
      </c>
      <c r="V21" s="165">
        <f t="shared" si="0"/>
        <v>32</v>
      </c>
      <c r="W21" s="30"/>
    </row>
    <row r="22" spans="1:23" ht="12" customHeight="1">
      <c r="A22" s="29"/>
      <c r="B22" s="144" t="str">
        <f>UPPER(LEFT(TRIM(Data!B21),1)) &amp; MID(TRIM(Data!B21),2,50)</f>
        <v>Odos melanoma</v>
      </c>
      <c r="C22" s="144" t="str">
        <f>Data!C21</f>
        <v>C43</v>
      </c>
      <c r="D22" s="163">
        <f>Data!AN21</f>
        <v>0</v>
      </c>
      <c r="E22" s="163">
        <f>Data!AO21</f>
        <v>0</v>
      </c>
      <c r="F22" s="163">
        <f>Data!AP21</f>
        <v>0</v>
      </c>
      <c r="G22" s="163">
        <f>Data!AQ21</f>
        <v>0</v>
      </c>
      <c r="H22" s="163">
        <f>Data!AR21</f>
        <v>0</v>
      </c>
      <c r="I22" s="163">
        <f>Data!AS21</f>
        <v>1</v>
      </c>
      <c r="J22" s="163">
        <f>Data!AT21</f>
        <v>0</v>
      </c>
      <c r="K22" s="163">
        <f>Data!AU21</f>
        <v>2</v>
      </c>
      <c r="L22" s="163">
        <f>Data!AV21</f>
        <v>2</v>
      </c>
      <c r="M22" s="163">
        <f>Data!AW21</f>
        <v>3</v>
      </c>
      <c r="N22" s="163">
        <f>Data!AX21</f>
        <v>1</v>
      </c>
      <c r="O22" s="163">
        <f>Data!AY21</f>
        <v>5</v>
      </c>
      <c r="P22" s="163">
        <f>Data!AZ21</f>
        <v>6</v>
      </c>
      <c r="Q22" s="163">
        <f>Data!BA21</f>
        <v>3</v>
      </c>
      <c r="R22" s="163">
        <f>Data!BB21</f>
        <v>4</v>
      </c>
      <c r="S22" s="163">
        <f>Data!BC21</f>
        <v>9</v>
      </c>
      <c r="T22" s="163">
        <f>Data!BD21</f>
        <v>3</v>
      </c>
      <c r="U22" s="163">
        <f>Data!BE21</f>
        <v>2</v>
      </c>
      <c r="V22" s="163">
        <f t="shared" si="0"/>
        <v>41</v>
      </c>
      <c r="W22" s="30"/>
    </row>
    <row r="23" spans="1:23" ht="12" customHeight="1">
      <c r="A23" s="29"/>
      <c r="B23" s="139" t="str">
        <f>UPPER(LEFT(TRIM(Data!B22),1)) &amp; MID(TRIM(Data!B22),2,50)</f>
        <v>Kiti odos piktybiniai navikai</v>
      </c>
      <c r="C23" s="168" t="str">
        <f>Data!C22</f>
        <v>C44</v>
      </c>
      <c r="D23" s="169">
        <f>Data!AN22</f>
        <v>0</v>
      </c>
      <c r="E23" s="169">
        <f>Data!AO22</f>
        <v>0</v>
      </c>
      <c r="F23" s="169">
        <f>Data!AP22</f>
        <v>0</v>
      </c>
      <c r="G23" s="169">
        <f>Data!AQ22</f>
        <v>0</v>
      </c>
      <c r="H23" s="169">
        <f>Data!AR22</f>
        <v>0</v>
      </c>
      <c r="I23" s="169">
        <f>Data!AS22</f>
        <v>0</v>
      </c>
      <c r="J23" s="169">
        <f>Data!AT22</f>
        <v>0</v>
      </c>
      <c r="K23" s="169">
        <f>Data!AU22</f>
        <v>0</v>
      </c>
      <c r="L23" s="169">
        <f>Data!AV22</f>
        <v>0</v>
      </c>
      <c r="M23" s="169">
        <f>Data!AW22</f>
        <v>0</v>
      </c>
      <c r="N23" s="169">
        <f>Data!AX22</f>
        <v>0</v>
      </c>
      <c r="O23" s="169">
        <f>Data!AY22</f>
        <v>3</v>
      </c>
      <c r="P23" s="169">
        <f>Data!AZ22</f>
        <v>1</v>
      </c>
      <c r="Q23" s="169">
        <f>Data!BA22</f>
        <v>3</v>
      </c>
      <c r="R23" s="169">
        <f>Data!BB22</f>
        <v>2</v>
      </c>
      <c r="S23" s="169">
        <f>Data!BC22</f>
        <v>3</v>
      </c>
      <c r="T23" s="169">
        <f>Data!BD22</f>
        <v>3</v>
      </c>
      <c r="U23" s="169">
        <f>Data!BE22</f>
        <v>3</v>
      </c>
      <c r="V23" s="165">
        <f t="shared" si="0"/>
        <v>18</v>
      </c>
      <c r="W23" s="30"/>
    </row>
    <row r="24" spans="1:23" ht="12" customHeight="1">
      <c r="A24" s="29"/>
      <c r="B24" s="144" t="str">
        <f>UPPER(LEFT(TRIM(Data!B23),1)) &amp; MID(TRIM(Data!B23),2,50)</f>
        <v>Krūties</v>
      </c>
      <c r="C24" s="144" t="str">
        <f>Data!C23</f>
        <v>C50</v>
      </c>
      <c r="D24" s="163">
        <f>Data!AN23</f>
        <v>0</v>
      </c>
      <c r="E24" s="163">
        <f>Data!AO23</f>
        <v>0</v>
      </c>
      <c r="F24" s="163">
        <f>Data!AP23</f>
        <v>0</v>
      </c>
      <c r="G24" s="163">
        <f>Data!AQ23</f>
        <v>0</v>
      </c>
      <c r="H24" s="163">
        <f>Data!AR23</f>
        <v>0</v>
      </c>
      <c r="I24" s="163">
        <f>Data!AS23</f>
        <v>0</v>
      </c>
      <c r="J24" s="163">
        <f>Data!AT23</f>
        <v>0</v>
      </c>
      <c r="K24" s="163">
        <f>Data!AU23</f>
        <v>0</v>
      </c>
      <c r="L24" s="163">
        <f>Data!AV23</f>
        <v>0</v>
      </c>
      <c r="M24" s="163">
        <f>Data!AW23</f>
        <v>0</v>
      </c>
      <c r="N24" s="163">
        <f>Data!AX23</f>
        <v>0</v>
      </c>
      <c r="O24" s="163">
        <f>Data!AY23</f>
        <v>0</v>
      </c>
      <c r="P24" s="163">
        <f>Data!AZ23</f>
        <v>0</v>
      </c>
      <c r="Q24" s="163">
        <f>Data!BA23</f>
        <v>0</v>
      </c>
      <c r="R24" s="163">
        <f>Data!BB23</f>
        <v>2</v>
      </c>
      <c r="S24" s="163">
        <f>Data!BC23</f>
        <v>1</v>
      </c>
      <c r="T24" s="163">
        <f>Data!BD23</f>
        <v>0</v>
      </c>
      <c r="U24" s="163">
        <f>Data!BE23</f>
        <v>1</v>
      </c>
      <c r="V24" s="163">
        <f t="shared" si="0"/>
        <v>4</v>
      </c>
      <c r="W24" s="30"/>
    </row>
    <row r="25" spans="1:23" ht="12" customHeight="1">
      <c r="A25" s="29"/>
      <c r="B25" s="139" t="str">
        <f>UPPER(LEFT(TRIM(Data!B28),1)) &amp; MID(TRIM(Data!B28),2,50)</f>
        <v>Priešinės liaukos</v>
      </c>
      <c r="C25" s="168" t="str">
        <f>Data!C28</f>
        <v>C61</v>
      </c>
      <c r="D25" s="169">
        <f>Data!AN28</f>
        <v>0</v>
      </c>
      <c r="E25" s="169">
        <f>Data!AO28</f>
        <v>0</v>
      </c>
      <c r="F25" s="169">
        <f>Data!AP28</f>
        <v>0</v>
      </c>
      <c r="G25" s="169">
        <f>Data!AQ28</f>
        <v>0</v>
      </c>
      <c r="H25" s="169">
        <f>Data!AR28</f>
        <v>0</v>
      </c>
      <c r="I25" s="169">
        <f>Data!AS28</f>
        <v>1</v>
      </c>
      <c r="J25" s="169">
        <f>Data!AT28</f>
        <v>0</v>
      </c>
      <c r="K25" s="169">
        <f>Data!AU28</f>
        <v>0</v>
      </c>
      <c r="L25" s="169">
        <f>Data!AV28</f>
        <v>0</v>
      </c>
      <c r="M25" s="169">
        <f>Data!AW28</f>
        <v>3</v>
      </c>
      <c r="N25" s="169">
        <f>Data!AX28</f>
        <v>4</v>
      </c>
      <c r="O25" s="169">
        <f>Data!AY28</f>
        <v>19</v>
      </c>
      <c r="P25" s="169">
        <f>Data!AZ28</f>
        <v>30</v>
      </c>
      <c r="Q25" s="169">
        <f>Data!BA28</f>
        <v>54</v>
      </c>
      <c r="R25" s="169">
        <f>Data!BB28</f>
        <v>89</v>
      </c>
      <c r="S25" s="169">
        <f>Data!BC28</f>
        <v>108</v>
      </c>
      <c r="T25" s="169">
        <f>Data!BD28</f>
        <v>135</v>
      </c>
      <c r="U25" s="169">
        <f>Data!BE28</f>
        <v>86</v>
      </c>
      <c r="V25" s="165">
        <f t="shared" si="0"/>
        <v>529</v>
      </c>
      <c r="W25" s="30"/>
    </row>
    <row r="26" spans="1:23" ht="12" customHeight="1">
      <c r="A26" s="29"/>
      <c r="B26" s="144" t="str">
        <f>UPPER(LEFT(TRIM(Data!B29),1)) &amp; MID(TRIM(Data!B29),2,50)</f>
        <v>Sėklidžių</v>
      </c>
      <c r="C26" s="144" t="str">
        <f>Data!C29</f>
        <v>C62</v>
      </c>
      <c r="D26" s="163">
        <f>Data!AN29</f>
        <v>0</v>
      </c>
      <c r="E26" s="163">
        <f>Data!AO29</f>
        <v>0</v>
      </c>
      <c r="F26" s="163">
        <f>Data!AP29</f>
        <v>0</v>
      </c>
      <c r="G26" s="163">
        <f>Data!AQ29</f>
        <v>0</v>
      </c>
      <c r="H26" s="163">
        <f>Data!AR29</f>
        <v>0</v>
      </c>
      <c r="I26" s="163">
        <f>Data!AS29</f>
        <v>0</v>
      </c>
      <c r="J26" s="163">
        <f>Data!AT29</f>
        <v>1</v>
      </c>
      <c r="K26" s="163">
        <f>Data!AU29</f>
        <v>1</v>
      </c>
      <c r="L26" s="163">
        <f>Data!AV29</f>
        <v>2</v>
      </c>
      <c r="M26" s="163">
        <f>Data!AW29</f>
        <v>0</v>
      </c>
      <c r="N26" s="163">
        <f>Data!AX29</f>
        <v>0</v>
      </c>
      <c r="O26" s="163">
        <f>Data!AY29</f>
        <v>1</v>
      </c>
      <c r="P26" s="163">
        <f>Data!AZ29</f>
        <v>1</v>
      </c>
      <c r="Q26" s="163">
        <f>Data!BA29</f>
        <v>0</v>
      </c>
      <c r="R26" s="163">
        <f>Data!BB29</f>
        <v>0</v>
      </c>
      <c r="S26" s="163">
        <f>Data!BC29</f>
        <v>0</v>
      </c>
      <c r="T26" s="163">
        <f>Data!BD29</f>
        <v>1</v>
      </c>
      <c r="U26" s="163">
        <f>Data!BE29</f>
        <v>0</v>
      </c>
      <c r="V26" s="163">
        <f t="shared" si="0"/>
        <v>7</v>
      </c>
      <c r="W26" s="30"/>
    </row>
    <row r="27" spans="1:23" ht="12" customHeight="1">
      <c r="A27" s="29"/>
      <c r="B27" s="139" t="str">
        <f>UPPER(LEFT(TRIM(Data!B30),1)) &amp; MID(TRIM(Data!B30),2,50)</f>
        <v>Kitų lyties organų</v>
      </c>
      <c r="C27" s="168" t="s">
        <v>416</v>
      </c>
      <c r="D27" s="169">
        <f>Data!AN30</f>
        <v>0</v>
      </c>
      <c r="E27" s="169">
        <f>Data!AO30</f>
        <v>0</v>
      </c>
      <c r="F27" s="169">
        <f>Data!AP30</f>
        <v>0</v>
      </c>
      <c r="G27" s="169">
        <f>Data!AQ30</f>
        <v>0</v>
      </c>
      <c r="H27" s="169">
        <f>Data!AR30</f>
        <v>0</v>
      </c>
      <c r="I27" s="169">
        <f>Data!AS30</f>
        <v>0</v>
      </c>
      <c r="J27" s="169">
        <f>Data!AT30</f>
        <v>0</v>
      </c>
      <c r="K27" s="169">
        <f>Data!AU30</f>
        <v>0</v>
      </c>
      <c r="L27" s="169">
        <f>Data!AV30</f>
        <v>1</v>
      </c>
      <c r="M27" s="169">
        <f>Data!AW30</f>
        <v>0</v>
      </c>
      <c r="N27" s="169">
        <f>Data!AX30</f>
        <v>0</v>
      </c>
      <c r="O27" s="169">
        <f>Data!AY30</f>
        <v>1</v>
      </c>
      <c r="P27" s="169">
        <f>Data!AZ30</f>
        <v>2</v>
      </c>
      <c r="Q27" s="169">
        <f>Data!BA30</f>
        <v>1</v>
      </c>
      <c r="R27" s="169">
        <f>Data!BB30</f>
        <v>1</v>
      </c>
      <c r="S27" s="169">
        <f>Data!BC30</f>
        <v>0</v>
      </c>
      <c r="T27" s="169">
        <f>Data!BD30</f>
        <v>2</v>
      </c>
      <c r="U27" s="169">
        <f>Data!BE30</f>
        <v>0</v>
      </c>
      <c r="V27" s="165">
        <f t="shared" si="0"/>
        <v>8</v>
      </c>
      <c r="W27" s="30"/>
    </row>
    <row r="28" spans="1:23" ht="12" customHeight="1">
      <c r="A28" s="29"/>
      <c r="B28" s="144" t="str">
        <f>UPPER(LEFT(TRIM(Data!B31),1)) &amp; MID(TRIM(Data!B31),2,50)</f>
        <v>Inkstų</v>
      </c>
      <c r="C28" s="144" t="str">
        <f>Data!C31</f>
        <v>C64</v>
      </c>
      <c r="D28" s="163">
        <f>Data!AN31</f>
        <v>0</v>
      </c>
      <c r="E28" s="163">
        <f>Data!AO31</f>
        <v>0</v>
      </c>
      <c r="F28" s="163">
        <f>Data!AP31</f>
        <v>0</v>
      </c>
      <c r="G28" s="163">
        <f>Data!AQ31</f>
        <v>0</v>
      </c>
      <c r="H28" s="163">
        <f>Data!AR31</f>
        <v>0</v>
      </c>
      <c r="I28" s="163">
        <f>Data!AS31</f>
        <v>0</v>
      </c>
      <c r="J28" s="163">
        <f>Data!AT31</f>
        <v>1</v>
      </c>
      <c r="K28" s="163">
        <f>Data!AU31</f>
        <v>1</v>
      </c>
      <c r="L28" s="163">
        <f>Data!AV31</f>
        <v>2</v>
      </c>
      <c r="M28" s="163">
        <f>Data!AW31</f>
        <v>7</v>
      </c>
      <c r="N28" s="163">
        <f>Data!AX31</f>
        <v>7</v>
      </c>
      <c r="O28" s="163">
        <f>Data!AY31</f>
        <v>20</v>
      </c>
      <c r="P28" s="163">
        <f>Data!AZ31</f>
        <v>17</v>
      </c>
      <c r="Q28" s="163">
        <f>Data!BA31</f>
        <v>18</v>
      </c>
      <c r="R28" s="163">
        <f>Data!BB31</f>
        <v>31</v>
      </c>
      <c r="S28" s="163">
        <f>Data!BC31</f>
        <v>30</v>
      </c>
      <c r="T28" s="163">
        <f>Data!BD31</f>
        <v>18</v>
      </c>
      <c r="U28" s="163">
        <f>Data!BE31</f>
        <v>12</v>
      </c>
      <c r="V28" s="163">
        <f t="shared" si="0"/>
        <v>164</v>
      </c>
      <c r="W28" s="30"/>
    </row>
    <row r="29" spans="1:23" ht="12" customHeight="1">
      <c r="A29" s="29"/>
      <c r="B29" s="139" t="str">
        <f>UPPER(LEFT(TRIM(Data!B32),1)) &amp; MID(TRIM(Data!B32),2,50)</f>
        <v>Šlapimo pūslės</v>
      </c>
      <c r="C29" s="168" t="str">
        <f>Data!C32</f>
        <v>C67</v>
      </c>
      <c r="D29" s="169">
        <f>Data!AN32</f>
        <v>0</v>
      </c>
      <c r="E29" s="169">
        <f>Data!AO32</f>
        <v>0</v>
      </c>
      <c r="F29" s="169">
        <f>Data!AP32</f>
        <v>0</v>
      </c>
      <c r="G29" s="169">
        <f>Data!AQ32</f>
        <v>0</v>
      </c>
      <c r="H29" s="169">
        <f>Data!AR32</f>
        <v>0</v>
      </c>
      <c r="I29" s="169">
        <f>Data!AS32</f>
        <v>0</v>
      </c>
      <c r="J29" s="169">
        <f>Data!AT32</f>
        <v>0</v>
      </c>
      <c r="K29" s="169">
        <f>Data!AU32</f>
        <v>0</v>
      </c>
      <c r="L29" s="169">
        <f>Data!AV32</f>
        <v>0</v>
      </c>
      <c r="M29" s="169">
        <f>Data!AW32</f>
        <v>0</v>
      </c>
      <c r="N29" s="169">
        <f>Data!AX32</f>
        <v>7</v>
      </c>
      <c r="O29" s="169">
        <f>Data!AY32</f>
        <v>7</v>
      </c>
      <c r="P29" s="169">
        <f>Data!AZ32</f>
        <v>14</v>
      </c>
      <c r="Q29" s="169">
        <f>Data!BA32</f>
        <v>12</v>
      </c>
      <c r="R29" s="169">
        <f>Data!BB32</f>
        <v>31</v>
      </c>
      <c r="S29" s="169">
        <f>Data!BC32</f>
        <v>39</v>
      </c>
      <c r="T29" s="169">
        <f>Data!BD32</f>
        <v>17</v>
      </c>
      <c r="U29" s="169">
        <f>Data!BE32</f>
        <v>19</v>
      </c>
      <c r="V29" s="165">
        <f t="shared" si="0"/>
        <v>146</v>
      </c>
      <c r="W29" s="30"/>
    </row>
    <row r="30" spans="1:23" ht="12" customHeight="1">
      <c r="A30" s="29"/>
      <c r="B30" s="144" t="str">
        <f>UPPER(LEFT(TRIM(Data!B33),1)) &amp; MID(TRIM(Data!B33),2,50)</f>
        <v>Kitų šlapimą išskiriančių organų</v>
      </c>
      <c r="C30" s="144" t="str">
        <f>Data!C33</f>
        <v>C65, C66, C68</v>
      </c>
      <c r="D30" s="163">
        <f>Data!AN33</f>
        <v>0</v>
      </c>
      <c r="E30" s="163">
        <f>Data!AO33</f>
        <v>0</v>
      </c>
      <c r="F30" s="163">
        <f>Data!AP33</f>
        <v>0</v>
      </c>
      <c r="G30" s="163">
        <f>Data!AQ33</f>
        <v>0</v>
      </c>
      <c r="H30" s="163">
        <f>Data!AR33</f>
        <v>0</v>
      </c>
      <c r="I30" s="163">
        <f>Data!AS33</f>
        <v>0</v>
      </c>
      <c r="J30" s="163">
        <f>Data!AT33</f>
        <v>0</v>
      </c>
      <c r="K30" s="163">
        <f>Data!AU33</f>
        <v>0</v>
      </c>
      <c r="L30" s="163">
        <f>Data!AV33</f>
        <v>0</v>
      </c>
      <c r="M30" s="163">
        <f>Data!AW33</f>
        <v>2</v>
      </c>
      <c r="N30" s="163">
        <f>Data!AX33</f>
        <v>2</v>
      </c>
      <c r="O30" s="163">
        <f>Data!AY33</f>
        <v>1</v>
      </c>
      <c r="P30" s="163">
        <f>Data!AZ33</f>
        <v>0</v>
      </c>
      <c r="Q30" s="163">
        <f>Data!BA33</f>
        <v>2</v>
      </c>
      <c r="R30" s="163">
        <f>Data!BB33</f>
        <v>3</v>
      </c>
      <c r="S30" s="163">
        <f>Data!BC33</f>
        <v>2</v>
      </c>
      <c r="T30" s="163">
        <f>Data!BD33</f>
        <v>1</v>
      </c>
      <c r="U30" s="163">
        <f>Data!BE33</f>
        <v>0</v>
      </c>
      <c r="V30" s="163">
        <f t="shared" si="0"/>
        <v>13</v>
      </c>
      <c r="W30" s="30"/>
    </row>
    <row r="31" spans="1:23" ht="12" customHeight="1">
      <c r="A31" s="29"/>
      <c r="B31" s="139" t="str">
        <f>UPPER(LEFT(TRIM(Data!B34),1)) &amp; MID(TRIM(Data!B34),2,50)</f>
        <v>Akių</v>
      </c>
      <c r="C31" s="168" t="str">
        <f>Data!C34</f>
        <v>C69</v>
      </c>
      <c r="D31" s="169">
        <f>Data!AN34</f>
        <v>0</v>
      </c>
      <c r="E31" s="169">
        <f>Data!AO34</f>
        <v>0</v>
      </c>
      <c r="F31" s="169">
        <f>Data!AP34</f>
        <v>0</v>
      </c>
      <c r="G31" s="169">
        <f>Data!AQ34</f>
        <v>0</v>
      </c>
      <c r="H31" s="169">
        <f>Data!AR34</f>
        <v>0</v>
      </c>
      <c r="I31" s="169">
        <f>Data!AS34</f>
        <v>0</v>
      </c>
      <c r="J31" s="169">
        <f>Data!AT34</f>
        <v>0</v>
      </c>
      <c r="K31" s="169">
        <f>Data!AU34</f>
        <v>0</v>
      </c>
      <c r="L31" s="169">
        <f>Data!AV34</f>
        <v>0</v>
      </c>
      <c r="M31" s="169">
        <f>Data!AW34</f>
        <v>0</v>
      </c>
      <c r="N31" s="169">
        <f>Data!AX34</f>
        <v>0</v>
      </c>
      <c r="O31" s="169">
        <f>Data!AY34</f>
        <v>2</v>
      </c>
      <c r="P31" s="169">
        <f>Data!AZ34</f>
        <v>0</v>
      </c>
      <c r="Q31" s="169">
        <f>Data!BA34</f>
        <v>1</v>
      </c>
      <c r="R31" s="169">
        <f>Data!BB34</f>
        <v>0</v>
      </c>
      <c r="S31" s="169">
        <f>Data!BC34</f>
        <v>0</v>
      </c>
      <c r="T31" s="169">
        <f>Data!BD34</f>
        <v>0</v>
      </c>
      <c r="U31" s="169">
        <f>Data!BE34</f>
        <v>0</v>
      </c>
      <c r="V31" s="165">
        <f t="shared" si="0"/>
        <v>3</v>
      </c>
      <c r="W31" s="30"/>
    </row>
    <row r="32" spans="1:23" ht="12" customHeight="1">
      <c r="A32" s="29"/>
      <c r="B32" s="144" t="str">
        <f>UPPER(LEFT(TRIM(Data!B35),1)) &amp; MID(TRIM(Data!B35),2,50)</f>
        <v>Smegenų</v>
      </c>
      <c r="C32" s="144" t="str">
        <f>Data!C35</f>
        <v>C70-C72</v>
      </c>
      <c r="D32" s="163">
        <f>Data!AN35</f>
        <v>0</v>
      </c>
      <c r="E32" s="163">
        <f>Data!AO35</f>
        <v>0</v>
      </c>
      <c r="F32" s="163">
        <f>Data!AP35</f>
        <v>2</v>
      </c>
      <c r="G32" s="163">
        <f>Data!AQ35</f>
        <v>1</v>
      </c>
      <c r="H32" s="163">
        <f>Data!AR35</f>
        <v>1</v>
      </c>
      <c r="I32" s="163">
        <f>Data!AS35</f>
        <v>1</v>
      </c>
      <c r="J32" s="163">
        <f>Data!AT35</f>
        <v>1</v>
      </c>
      <c r="K32" s="163">
        <f>Data!AU35</f>
        <v>7</v>
      </c>
      <c r="L32" s="163">
        <f>Data!AV35</f>
        <v>5</v>
      </c>
      <c r="M32" s="163">
        <f>Data!AW35</f>
        <v>7</v>
      </c>
      <c r="N32" s="163">
        <f>Data!AX35</f>
        <v>15</v>
      </c>
      <c r="O32" s="163">
        <f>Data!AY35</f>
        <v>15</v>
      </c>
      <c r="P32" s="163">
        <f>Data!AZ35</f>
        <v>16</v>
      </c>
      <c r="Q32" s="163">
        <f>Data!BA35</f>
        <v>8</v>
      </c>
      <c r="R32" s="163">
        <f>Data!BB35</f>
        <v>18</v>
      </c>
      <c r="S32" s="163">
        <f>Data!BC35</f>
        <v>9</v>
      </c>
      <c r="T32" s="163">
        <f>Data!BD35</f>
        <v>9</v>
      </c>
      <c r="U32" s="163">
        <f>Data!BE35</f>
        <v>3</v>
      </c>
      <c r="V32" s="163">
        <f t="shared" si="0"/>
        <v>118</v>
      </c>
      <c r="W32" s="30"/>
    </row>
    <row r="33" spans="1:23" ht="12" customHeight="1">
      <c r="A33" s="29"/>
      <c r="B33" s="139" t="str">
        <f>UPPER(LEFT(TRIM(Data!B36),1)) &amp; MID(TRIM(Data!B36),2,50)</f>
        <v>Skydliaukės</v>
      </c>
      <c r="C33" s="168" t="str">
        <f>Data!C36</f>
        <v>C73</v>
      </c>
      <c r="D33" s="169">
        <f>Data!AN36</f>
        <v>0</v>
      </c>
      <c r="E33" s="169">
        <f>Data!AO36</f>
        <v>0</v>
      </c>
      <c r="F33" s="169">
        <f>Data!AP36</f>
        <v>0</v>
      </c>
      <c r="G33" s="169">
        <f>Data!AQ36</f>
        <v>0</v>
      </c>
      <c r="H33" s="169">
        <f>Data!AR36</f>
        <v>0</v>
      </c>
      <c r="I33" s="169">
        <f>Data!AS36</f>
        <v>0</v>
      </c>
      <c r="J33" s="169">
        <f>Data!AT36</f>
        <v>0</v>
      </c>
      <c r="K33" s="169">
        <f>Data!AU36</f>
        <v>0</v>
      </c>
      <c r="L33" s="169">
        <f>Data!AV36</f>
        <v>1</v>
      </c>
      <c r="M33" s="169">
        <f>Data!AW36</f>
        <v>0</v>
      </c>
      <c r="N33" s="169">
        <f>Data!AX36</f>
        <v>1</v>
      </c>
      <c r="O33" s="169">
        <f>Data!AY36</f>
        <v>0</v>
      </c>
      <c r="P33" s="169">
        <f>Data!AZ36</f>
        <v>0</v>
      </c>
      <c r="Q33" s="169">
        <f>Data!BA36</f>
        <v>0</v>
      </c>
      <c r="R33" s="169">
        <f>Data!BB36</f>
        <v>1</v>
      </c>
      <c r="S33" s="169">
        <f>Data!BC36</f>
        <v>0</v>
      </c>
      <c r="T33" s="169">
        <f>Data!BD36</f>
        <v>0</v>
      </c>
      <c r="U33" s="169">
        <f>Data!BE36</f>
        <v>0</v>
      </c>
      <c r="V33" s="165">
        <f t="shared" si="0"/>
        <v>3</v>
      </c>
      <c r="W33" s="30"/>
    </row>
    <row r="34" spans="1:23" ht="12" customHeight="1">
      <c r="A34" s="29"/>
      <c r="B34" s="144" t="str">
        <f>UPPER(LEFT(TRIM(Data!B37),1)) &amp; MID(TRIM(Data!B37),2,50)</f>
        <v>Kitų endokrininių liaukų</v>
      </c>
      <c r="C34" s="144" t="str">
        <f>Data!C37</f>
        <v>C74-C75</v>
      </c>
      <c r="D34" s="163">
        <f>Data!AN37</f>
        <v>0</v>
      </c>
      <c r="E34" s="163">
        <f>Data!AO37</f>
        <v>0</v>
      </c>
      <c r="F34" s="163">
        <f>Data!AP37</f>
        <v>0</v>
      </c>
      <c r="G34" s="163">
        <f>Data!AQ37</f>
        <v>0</v>
      </c>
      <c r="H34" s="163">
        <f>Data!AR37</f>
        <v>0</v>
      </c>
      <c r="I34" s="163">
        <f>Data!AS37</f>
        <v>0</v>
      </c>
      <c r="J34" s="163">
        <f>Data!AT37</f>
        <v>0</v>
      </c>
      <c r="K34" s="163">
        <f>Data!AU37</f>
        <v>0</v>
      </c>
      <c r="L34" s="163">
        <f>Data!AV37</f>
        <v>0</v>
      </c>
      <c r="M34" s="163">
        <f>Data!AW37</f>
        <v>1</v>
      </c>
      <c r="N34" s="163">
        <f>Data!AX37</f>
        <v>2</v>
      </c>
      <c r="O34" s="163">
        <f>Data!AY37</f>
        <v>1</v>
      </c>
      <c r="P34" s="163">
        <f>Data!AZ37</f>
        <v>2</v>
      </c>
      <c r="Q34" s="163">
        <f>Data!BA37</f>
        <v>1</v>
      </c>
      <c r="R34" s="163">
        <f>Data!BB37</f>
        <v>4</v>
      </c>
      <c r="S34" s="163">
        <f>Data!BC37</f>
        <v>1</v>
      </c>
      <c r="T34" s="163">
        <f>Data!BD37</f>
        <v>0</v>
      </c>
      <c r="U34" s="163">
        <f>Data!BE37</f>
        <v>0</v>
      </c>
      <c r="V34" s="163">
        <f t="shared" si="0"/>
        <v>12</v>
      </c>
      <c r="W34" s="30"/>
    </row>
    <row r="35" spans="1:23" ht="12" customHeight="1">
      <c r="A35" s="29"/>
      <c r="B35" s="139" t="str">
        <f>UPPER(LEFT(TRIM(Data!B38),1)) &amp; MID(TRIM(Data!B38),2,50)</f>
        <v>Nepatikslintos lokalizacijos</v>
      </c>
      <c r="C35" s="168" t="str">
        <f>Data!C38</f>
        <v>C76-C80</v>
      </c>
      <c r="D35" s="169">
        <f>Data!AN38</f>
        <v>0</v>
      </c>
      <c r="E35" s="169">
        <f>Data!AO38</f>
        <v>0</v>
      </c>
      <c r="F35" s="169">
        <f>Data!AP38</f>
        <v>0</v>
      </c>
      <c r="G35" s="169">
        <f>Data!AQ38</f>
        <v>0</v>
      </c>
      <c r="H35" s="169">
        <f>Data!AR38</f>
        <v>0</v>
      </c>
      <c r="I35" s="169">
        <f>Data!AS38</f>
        <v>1</v>
      </c>
      <c r="J35" s="169">
        <f>Data!AT38</f>
        <v>0</v>
      </c>
      <c r="K35" s="169">
        <f>Data!AU38</f>
        <v>2</v>
      </c>
      <c r="L35" s="169">
        <f>Data!AV38</f>
        <v>2</v>
      </c>
      <c r="M35" s="169">
        <f>Data!AW38</f>
        <v>5</v>
      </c>
      <c r="N35" s="169">
        <f>Data!AX38</f>
        <v>10</v>
      </c>
      <c r="O35" s="169">
        <f>Data!AY38</f>
        <v>26</v>
      </c>
      <c r="P35" s="169">
        <f>Data!AZ38</f>
        <v>22</v>
      </c>
      <c r="Q35" s="169">
        <f>Data!BA38</f>
        <v>24</v>
      </c>
      <c r="R35" s="169">
        <f>Data!BB38</f>
        <v>33</v>
      </c>
      <c r="S35" s="169">
        <f>Data!BC38</f>
        <v>36</v>
      </c>
      <c r="T35" s="169">
        <f>Data!BD38</f>
        <v>20</v>
      </c>
      <c r="U35" s="169">
        <f>Data!BE38</f>
        <v>9</v>
      </c>
      <c r="V35" s="165">
        <f t="shared" si="0"/>
        <v>190</v>
      </c>
      <c r="W35" s="30"/>
    </row>
    <row r="36" spans="1:23" ht="12" customHeight="1">
      <c r="A36" s="29"/>
      <c r="B36" s="144" t="str">
        <f>UPPER(LEFT(TRIM(Data!B39),1)) &amp; MID(TRIM(Data!B39),2,50)</f>
        <v>Hodžkino limfomos</v>
      </c>
      <c r="C36" s="144" t="str">
        <f>Data!C39</f>
        <v>C81</v>
      </c>
      <c r="D36" s="163">
        <f>Data!AN39</f>
        <v>0</v>
      </c>
      <c r="E36" s="163">
        <f>Data!AO39</f>
        <v>0</v>
      </c>
      <c r="F36" s="163">
        <f>Data!AP39</f>
        <v>0</v>
      </c>
      <c r="G36" s="163">
        <f>Data!AQ39</f>
        <v>1</v>
      </c>
      <c r="H36" s="163">
        <f>Data!AR39</f>
        <v>0</v>
      </c>
      <c r="I36" s="163">
        <f>Data!AS39</f>
        <v>0</v>
      </c>
      <c r="J36" s="163">
        <f>Data!AT39</f>
        <v>0</v>
      </c>
      <c r="K36" s="163">
        <f>Data!AU39</f>
        <v>0</v>
      </c>
      <c r="L36" s="163">
        <f>Data!AV39</f>
        <v>1</v>
      </c>
      <c r="M36" s="163">
        <f>Data!AW39</f>
        <v>0</v>
      </c>
      <c r="N36" s="163">
        <f>Data!AX39</f>
        <v>0</v>
      </c>
      <c r="O36" s="163">
        <f>Data!AY39</f>
        <v>0</v>
      </c>
      <c r="P36" s="163">
        <f>Data!AZ39</f>
        <v>0</v>
      </c>
      <c r="Q36" s="163">
        <f>Data!BA39</f>
        <v>1</v>
      </c>
      <c r="R36" s="163">
        <f>Data!BB39</f>
        <v>0</v>
      </c>
      <c r="S36" s="163">
        <f>Data!BC39</f>
        <v>1</v>
      </c>
      <c r="T36" s="163">
        <f>Data!BD39</f>
        <v>0</v>
      </c>
      <c r="U36" s="163">
        <f>Data!BE39</f>
        <v>1</v>
      </c>
      <c r="V36" s="163">
        <f t="shared" si="0"/>
        <v>5</v>
      </c>
      <c r="W36" s="30"/>
    </row>
    <row r="37" spans="1:23" ht="12" customHeight="1">
      <c r="A37" s="29"/>
      <c r="B37" s="139" t="str">
        <f>UPPER(LEFT(TRIM(Data!B40),1)) &amp; MID(TRIM(Data!B40),2,50)</f>
        <v>Ne Hodžkino limfomos</v>
      </c>
      <c r="C37" s="168" t="str">
        <f>Data!C40</f>
        <v>C82-C85</v>
      </c>
      <c r="D37" s="169">
        <f>Data!AN40</f>
        <v>0</v>
      </c>
      <c r="E37" s="169">
        <f>Data!AO40</f>
        <v>0</v>
      </c>
      <c r="F37" s="169">
        <f>Data!AP40</f>
        <v>0</v>
      </c>
      <c r="G37" s="169">
        <f>Data!AQ40</f>
        <v>0</v>
      </c>
      <c r="H37" s="169">
        <f>Data!AR40</f>
        <v>0</v>
      </c>
      <c r="I37" s="169">
        <f>Data!AS40</f>
        <v>0</v>
      </c>
      <c r="J37" s="169">
        <f>Data!AT40</f>
        <v>0</v>
      </c>
      <c r="K37" s="169">
        <f>Data!AU40</f>
        <v>2</v>
      </c>
      <c r="L37" s="169">
        <f>Data!AV40</f>
        <v>2</v>
      </c>
      <c r="M37" s="169">
        <f>Data!AW40</f>
        <v>0</v>
      </c>
      <c r="N37" s="169">
        <f>Data!AX40</f>
        <v>9</v>
      </c>
      <c r="O37" s="169">
        <f>Data!AY40</f>
        <v>7</v>
      </c>
      <c r="P37" s="169">
        <f>Data!AZ40</f>
        <v>6</v>
      </c>
      <c r="Q37" s="169">
        <f>Data!BA40</f>
        <v>5</v>
      </c>
      <c r="R37" s="169">
        <f>Data!BB40</f>
        <v>11</v>
      </c>
      <c r="S37" s="169">
        <f>Data!BC40</f>
        <v>7</v>
      </c>
      <c r="T37" s="169">
        <f>Data!BD40</f>
        <v>4</v>
      </c>
      <c r="U37" s="169">
        <f>Data!BE40</f>
        <v>4</v>
      </c>
      <c r="V37" s="165">
        <f t="shared" si="0"/>
        <v>57</v>
      </c>
      <c r="W37" s="30"/>
    </row>
    <row r="38" spans="1:23" ht="12" customHeight="1">
      <c r="A38" s="29"/>
      <c r="B38" s="144" t="str">
        <f>UPPER(LEFT(TRIM(Data!B41),1)) &amp; MID(TRIM(Data!B41),2,50)</f>
        <v>Mielominės ligos</v>
      </c>
      <c r="C38" s="144" t="str">
        <f>Data!C41</f>
        <v>C90</v>
      </c>
      <c r="D38" s="163">
        <f>Data!AN41</f>
        <v>0</v>
      </c>
      <c r="E38" s="163">
        <f>Data!AO41</f>
        <v>0</v>
      </c>
      <c r="F38" s="163">
        <f>Data!AP41</f>
        <v>0</v>
      </c>
      <c r="G38" s="163">
        <f>Data!AQ41</f>
        <v>0</v>
      </c>
      <c r="H38" s="163">
        <f>Data!AR41</f>
        <v>0</v>
      </c>
      <c r="I38" s="163">
        <f>Data!AS41</f>
        <v>0</v>
      </c>
      <c r="J38" s="163">
        <f>Data!AT41</f>
        <v>0</v>
      </c>
      <c r="K38" s="163">
        <f>Data!AU41</f>
        <v>1</v>
      </c>
      <c r="L38" s="163">
        <f>Data!AV41</f>
        <v>0</v>
      </c>
      <c r="M38" s="163">
        <f>Data!AW41</f>
        <v>0</v>
      </c>
      <c r="N38" s="163">
        <f>Data!AX41</f>
        <v>0</v>
      </c>
      <c r="O38" s="163">
        <f>Data!AY41</f>
        <v>6</v>
      </c>
      <c r="P38" s="163">
        <f>Data!AZ41</f>
        <v>4</v>
      </c>
      <c r="Q38" s="163">
        <f>Data!BA41</f>
        <v>3</v>
      </c>
      <c r="R38" s="163">
        <f>Data!BB41</f>
        <v>9</v>
      </c>
      <c r="S38" s="163">
        <f>Data!BC41</f>
        <v>11</v>
      </c>
      <c r="T38" s="163">
        <f>Data!BD41</f>
        <v>6</v>
      </c>
      <c r="U38" s="163">
        <f>Data!BE41</f>
        <v>5</v>
      </c>
      <c r="V38" s="163">
        <f t="shared" si="0"/>
        <v>45</v>
      </c>
      <c r="W38" s="30"/>
    </row>
    <row r="39" spans="1:23" ht="12" customHeight="1">
      <c r="A39" s="29"/>
      <c r="B39" s="139" t="str">
        <f>UPPER(LEFT(TRIM(Data!B42),1)) &amp; MID(TRIM(Data!B42),2,50)</f>
        <v>Leukemijos</v>
      </c>
      <c r="C39" s="168" t="str">
        <f>Data!C42</f>
        <v>C91-C95</v>
      </c>
      <c r="D39" s="169">
        <f>Data!AN42</f>
        <v>0</v>
      </c>
      <c r="E39" s="169">
        <f>Data!AO42</f>
        <v>0</v>
      </c>
      <c r="F39" s="169">
        <f>Data!AP42</f>
        <v>0</v>
      </c>
      <c r="G39" s="169">
        <f>Data!AQ42</f>
        <v>1</v>
      </c>
      <c r="H39" s="169">
        <f>Data!AR42</f>
        <v>3</v>
      </c>
      <c r="I39" s="169">
        <f>Data!AS42</f>
        <v>0</v>
      </c>
      <c r="J39" s="169">
        <f>Data!AT42</f>
        <v>0</v>
      </c>
      <c r="K39" s="169">
        <f>Data!AU42</f>
        <v>1</v>
      </c>
      <c r="L39" s="169">
        <f>Data!AV42</f>
        <v>1</v>
      </c>
      <c r="M39" s="169">
        <f>Data!AW42</f>
        <v>2</v>
      </c>
      <c r="N39" s="169">
        <f>Data!AX42</f>
        <v>8</v>
      </c>
      <c r="O39" s="169">
        <f>Data!AY42</f>
        <v>11</v>
      </c>
      <c r="P39" s="169">
        <f>Data!AZ42</f>
        <v>13</v>
      </c>
      <c r="Q39" s="169">
        <f>Data!BA42</f>
        <v>10</v>
      </c>
      <c r="R39" s="169">
        <f>Data!BB42</f>
        <v>26</v>
      </c>
      <c r="S39" s="169">
        <f>Data!BC42</f>
        <v>15</v>
      </c>
      <c r="T39" s="169">
        <f>Data!BD42</f>
        <v>24</v>
      </c>
      <c r="U39" s="169">
        <f>Data!BE42</f>
        <v>11</v>
      </c>
      <c r="V39" s="165">
        <f t="shared" si="0"/>
        <v>126</v>
      </c>
      <c r="W39" s="30"/>
    </row>
    <row r="40" spans="1:23" ht="12" customHeight="1">
      <c r="A40" s="29"/>
      <c r="B40" s="144" t="str">
        <f>UPPER(LEFT(TRIM(Data!B43),1)) &amp; MID(TRIM(Data!B43),2,50)</f>
        <v>Kiti limfinio, kraujodaros audinių</v>
      </c>
      <c r="C40" s="144" t="str">
        <f>Data!C43</f>
        <v>C88, C96</v>
      </c>
      <c r="D40" s="163">
        <f>Data!AN43</f>
        <v>0</v>
      </c>
      <c r="E40" s="163">
        <f>Data!AO43</f>
        <v>0</v>
      </c>
      <c r="F40" s="163">
        <f>Data!AP43</f>
        <v>0</v>
      </c>
      <c r="G40" s="163">
        <f>Data!AQ43</f>
        <v>0</v>
      </c>
      <c r="H40" s="163">
        <f>Data!AR43</f>
        <v>0</v>
      </c>
      <c r="I40" s="163">
        <f>Data!AS43</f>
        <v>0</v>
      </c>
      <c r="J40" s="163">
        <f>Data!AT43</f>
        <v>0</v>
      </c>
      <c r="K40" s="163">
        <f>Data!AU43</f>
        <v>0</v>
      </c>
      <c r="L40" s="163">
        <f>Data!AV43</f>
        <v>0</v>
      </c>
      <c r="M40" s="163">
        <f>Data!AW43</f>
        <v>0</v>
      </c>
      <c r="N40" s="163">
        <f>Data!AX43</f>
        <v>0</v>
      </c>
      <c r="O40" s="163">
        <f>Data!AY43</f>
        <v>0</v>
      </c>
      <c r="P40" s="163">
        <f>Data!AZ43</f>
        <v>0</v>
      </c>
      <c r="Q40" s="163">
        <f>Data!BA43</f>
        <v>0</v>
      </c>
      <c r="R40" s="163">
        <f>Data!BB43</f>
        <v>0</v>
      </c>
      <c r="S40" s="163">
        <f>Data!BC43</f>
        <v>2</v>
      </c>
      <c r="T40" s="163">
        <f>Data!BD43</f>
        <v>1</v>
      </c>
      <c r="U40" s="163">
        <f>Data!BE43</f>
        <v>1</v>
      </c>
      <c r="V40" s="163">
        <f t="shared" si="0"/>
        <v>4</v>
      </c>
      <c r="W40" s="30"/>
    </row>
    <row r="41" spans="1:23" ht="22.5" customHeight="1">
      <c r="A41" s="29"/>
      <c r="B41" s="94"/>
      <c r="C41" s="111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30"/>
    </row>
    <row r="42" spans="1:23" ht="11.25" customHeight="1">
      <c r="A42" s="29"/>
      <c r="B42" s="91" t="str">
        <f>UPPER(LEFT(TRIM(Data!B44),1)) &amp; MID(TRIM(Data!B44),2,50)</f>
        <v>Melanoma in situ</v>
      </c>
      <c r="C42" s="91" t="str">
        <f>Data!C44</f>
        <v>D03</v>
      </c>
      <c r="D42" s="108">
        <f>Data!AN44</f>
        <v>0</v>
      </c>
      <c r="E42" s="108">
        <f>Data!AO44</f>
        <v>0</v>
      </c>
      <c r="F42" s="108">
        <f>Data!AP44</f>
        <v>0</v>
      </c>
      <c r="G42" s="108">
        <f>Data!AQ44</f>
        <v>0</v>
      </c>
      <c r="H42" s="108">
        <f>Data!AR44</f>
        <v>0</v>
      </c>
      <c r="I42" s="108">
        <f>Data!AS44</f>
        <v>0</v>
      </c>
      <c r="J42" s="108">
        <f>Data!AT44</f>
        <v>0</v>
      </c>
      <c r="K42" s="108">
        <f>Data!AU44</f>
        <v>0</v>
      </c>
      <c r="L42" s="108">
        <f>Data!AV44</f>
        <v>0</v>
      </c>
      <c r="M42" s="108">
        <f>Data!AW44</f>
        <v>0</v>
      </c>
      <c r="N42" s="108">
        <f>Data!AX44</f>
        <v>0</v>
      </c>
      <c r="O42" s="108">
        <f>Data!AY44</f>
        <v>0</v>
      </c>
      <c r="P42" s="108">
        <f>Data!AZ44</f>
        <v>0</v>
      </c>
      <c r="Q42" s="108">
        <f>Data!BA44</f>
        <v>0</v>
      </c>
      <c r="R42" s="108">
        <f>Data!BB44</f>
        <v>0</v>
      </c>
      <c r="S42" s="108">
        <f>Data!BC44</f>
        <v>0</v>
      </c>
      <c r="T42" s="108">
        <f>Data!BD44</f>
        <v>0</v>
      </c>
      <c r="U42" s="108">
        <f>Data!BE44</f>
        <v>0</v>
      </c>
      <c r="V42" s="108">
        <f t="shared" si="0"/>
        <v>0</v>
      </c>
      <c r="W42" s="30"/>
    </row>
    <row r="43" spans="1:23" ht="11.25" customHeight="1">
      <c r="A43" s="29"/>
      <c r="B43" s="93" t="str">
        <f>UPPER(LEFT(TRIM(Data!B45),1)) &amp; MID(TRIM(Data!B45),2,50)</f>
        <v>Krūties navikai in situ</v>
      </c>
      <c r="C43" s="109" t="str">
        <f>Data!C45</f>
        <v>D05</v>
      </c>
      <c r="D43" s="110">
        <f>Data!AN45</f>
        <v>0</v>
      </c>
      <c r="E43" s="110">
        <f>Data!AO45</f>
        <v>0</v>
      </c>
      <c r="F43" s="110">
        <f>Data!AP45</f>
        <v>0</v>
      </c>
      <c r="G43" s="110">
        <f>Data!AQ45</f>
        <v>0</v>
      </c>
      <c r="H43" s="110">
        <f>Data!AR45</f>
        <v>0</v>
      </c>
      <c r="I43" s="110">
        <f>Data!AS45</f>
        <v>0</v>
      </c>
      <c r="J43" s="110">
        <f>Data!AT45</f>
        <v>0</v>
      </c>
      <c r="K43" s="110">
        <f>Data!AU45</f>
        <v>0</v>
      </c>
      <c r="L43" s="110">
        <f>Data!AV45</f>
        <v>0</v>
      </c>
      <c r="M43" s="110">
        <f>Data!AW45</f>
        <v>0</v>
      </c>
      <c r="N43" s="110">
        <f>Data!AX45</f>
        <v>0</v>
      </c>
      <c r="O43" s="110">
        <f>Data!AY45</f>
        <v>0</v>
      </c>
      <c r="P43" s="110">
        <f>Data!AZ45</f>
        <v>0</v>
      </c>
      <c r="Q43" s="110">
        <f>Data!BA45</f>
        <v>0</v>
      </c>
      <c r="R43" s="110">
        <f>Data!BB45</f>
        <v>0</v>
      </c>
      <c r="S43" s="110">
        <f>Data!BC45</f>
        <v>0</v>
      </c>
      <c r="T43" s="110">
        <f>Data!BD45</f>
        <v>0</v>
      </c>
      <c r="U43" s="110">
        <f>Data!BE45</f>
        <v>0</v>
      </c>
      <c r="V43" s="117">
        <f t="shared" si="0"/>
        <v>0</v>
      </c>
      <c r="W43" s="30"/>
    </row>
    <row r="44" spans="1:23" ht="11.25" customHeight="1">
      <c r="A44" s="29"/>
      <c r="B44" s="97" t="str">
        <f>UPPER(LEFT(TRIM(Data!B47),1)) &amp; MID(TRIM(Data!B47),2,50)</f>
        <v>Šlapimo pūslės in situ</v>
      </c>
      <c r="C44" s="97" t="str">
        <f>Data!C47</f>
        <v>D09.0</v>
      </c>
      <c r="D44" s="116">
        <f>Data!AN47</f>
        <v>0</v>
      </c>
      <c r="E44" s="116">
        <f>Data!AO47</f>
        <v>0</v>
      </c>
      <c r="F44" s="116">
        <f>Data!AP47</f>
        <v>0</v>
      </c>
      <c r="G44" s="116">
        <f>Data!AQ47</f>
        <v>0</v>
      </c>
      <c r="H44" s="116">
        <f>Data!AR47</f>
        <v>0</v>
      </c>
      <c r="I44" s="116">
        <f>Data!AS47</f>
        <v>0</v>
      </c>
      <c r="J44" s="116">
        <f>Data!AT47</f>
        <v>0</v>
      </c>
      <c r="K44" s="116">
        <f>Data!AU47</f>
        <v>0</v>
      </c>
      <c r="L44" s="116">
        <f>Data!AV47</f>
        <v>0</v>
      </c>
      <c r="M44" s="116">
        <f>Data!AW47</f>
        <v>0</v>
      </c>
      <c r="N44" s="116">
        <f>Data!AX47</f>
        <v>0</v>
      </c>
      <c r="O44" s="116">
        <f>Data!AY47</f>
        <v>0</v>
      </c>
      <c r="P44" s="116">
        <f>Data!AZ47</f>
        <v>0</v>
      </c>
      <c r="Q44" s="116">
        <f>Data!BA47</f>
        <v>0</v>
      </c>
      <c r="R44" s="116">
        <f>Data!BB47</f>
        <v>0</v>
      </c>
      <c r="S44" s="116">
        <f>Data!BC47</f>
        <v>0</v>
      </c>
      <c r="T44" s="116">
        <f>Data!BD47</f>
        <v>0</v>
      </c>
      <c r="U44" s="116">
        <f>Data!BE47</f>
        <v>0</v>
      </c>
      <c r="V44" s="116">
        <f t="shared" si="0"/>
        <v>0</v>
      </c>
      <c r="W44" s="30"/>
    </row>
    <row r="45" spans="1:23" ht="11.25" customHeight="1">
      <c r="A45" s="29"/>
      <c r="B45" s="93" t="str">
        <f>UPPER(LEFT(TRIM(Data!B48),1)) &amp; MID(TRIM(Data!B48),2,50)</f>
        <v>Nervų sistemos gerybiniai navikai</v>
      </c>
      <c r="C45" s="109" t="str">
        <f>Data!C48</f>
        <v>D32, D33</v>
      </c>
      <c r="D45" s="110">
        <f>Data!AN48</f>
        <v>0</v>
      </c>
      <c r="E45" s="110">
        <f>Data!AO48</f>
        <v>0</v>
      </c>
      <c r="F45" s="110">
        <f>Data!AP48</f>
        <v>0</v>
      </c>
      <c r="G45" s="110">
        <f>Data!AQ48</f>
        <v>0</v>
      </c>
      <c r="H45" s="110">
        <f>Data!AR48</f>
        <v>0</v>
      </c>
      <c r="I45" s="110">
        <f>Data!AS48</f>
        <v>0</v>
      </c>
      <c r="J45" s="110">
        <f>Data!AT48</f>
        <v>0</v>
      </c>
      <c r="K45" s="110">
        <f>Data!AU48</f>
        <v>0</v>
      </c>
      <c r="L45" s="110">
        <f>Data!AV48</f>
        <v>0</v>
      </c>
      <c r="M45" s="110">
        <f>Data!AW48</f>
        <v>0</v>
      </c>
      <c r="N45" s="110">
        <f>Data!AX48</f>
        <v>0</v>
      </c>
      <c r="O45" s="110">
        <f>Data!AY48</f>
        <v>0</v>
      </c>
      <c r="P45" s="110">
        <f>Data!AZ48</f>
        <v>1</v>
      </c>
      <c r="Q45" s="110">
        <f>Data!BA48</f>
        <v>4</v>
      </c>
      <c r="R45" s="110">
        <f>Data!BB48</f>
        <v>1</v>
      </c>
      <c r="S45" s="110">
        <f>Data!BC48</f>
        <v>4</v>
      </c>
      <c r="T45" s="110">
        <f>Data!BD48</f>
        <v>0</v>
      </c>
      <c r="U45" s="110">
        <f>Data!BE48</f>
        <v>1</v>
      </c>
      <c r="V45" s="117">
        <f t="shared" si="0"/>
        <v>11</v>
      </c>
      <c r="W45" s="30"/>
    </row>
    <row r="46" spans="1:23" ht="11.25" customHeight="1">
      <c r="A46" s="29"/>
      <c r="B46" s="97" t="str">
        <f>UPPER(LEFT(TRIM(Data!B50),1)) &amp; MID(TRIM(Data!B50),2,50)</f>
        <v>Kiti nervų sistemos</v>
      </c>
      <c r="C46" s="97" t="str">
        <f>Data!C50</f>
        <v>D42, D43</v>
      </c>
      <c r="D46" s="116">
        <f>Data!AN50</f>
        <v>0</v>
      </c>
      <c r="E46" s="116">
        <f>Data!AO50</f>
        <v>0</v>
      </c>
      <c r="F46" s="116">
        <f>Data!AP50</f>
        <v>0</v>
      </c>
      <c r="G46" s="116">
        <f>Data!AQ50</f>
        <v>0</v>
      </c>
      <c r="H46" s="116">
        <f>Data!AR50</f>
        <v>0</v>
      </c>
      <c r="I46" s="116">
        <f>Data!AS50</f>
        <v>0</v>
      </c>
      <c r="J46" s="116">
        <f>Data!AT50</f>
        <v>0</v>
      </c>
      <c r="K46" s="116">
        <f>Data!AU50</f>
        <v>0</v>
      </c>
      <c r="L46" s="116">
        <f>Data!AV50</f>
        <v>0</v>
      </c>
      <c r="M46" s="116">
        <f>Data!AW50</f>
        <v>0</v>
      </c>
      <c r="N46" s="116">
        <f>Data!AX50</f>
        <v>0</v>
      </c>
      <c r="O46" s="116">
        <f>Data!AY50</f>
        <v>1</v>
      </c>
      <c r="P46" s="116">
        <f>Data!AZ50</f>
        <v>1</v>
      </c>
      <c r="Q46" s="116">
        <f>Data!BA50</f>
        <v>0</v>
      </c>
      <c r="R46" s="116">
        <f>Data!BB50</f>
        <v>0</v>
      </c>
      <c r="S46" s="116">
        <f>Data!BC50</f>
        <v>0</v>
      </c>
      <c r="T46" s="116">
        <f>Data!BD50</f>
        <v>2</v>
      </c>
      <c r="U46" s="116">
        <f>Data!BE50</f>
        <v>0</v>
      </c>
      <c r="V46" s="116">
        <f t="shared" si="0"/>
        <v>4</v>
      </c>
      <c r="W46" s="30"/>
    </row>
    <row r="47" spans="1:23" ht="11.25" customHeight="1">
      <c r="A47" s="29"/>
      <c r="B47" s="93" t="str">
        <f>UPPER(LEFT(TRIM(Data!B51),1)) &amp; MID(TRIM(Data!B51),2,50)</f>
        <v>Limfinio ir kraujodaros audinių</v>
      </c>
      <c r="C47" s="109" t="str">
        <f>Data!C51</f>
        <v>D45-D47</v>
      </c>
      <c r="D47" s="110">
        <f>Data!AN51</f>
        <v>0</v>
      </c>
      <c r="E47" s="110">
        <f>Data!AO51</f>
        <v>0</v>
      </c>
      <c r="F47" s="110">
        <f>Data!AP51</f>
        <v>0</v>
      </c>
      <c r="G47" s="110">
        <f>Data!AQ51</f>
        <v>0</v>
      </c>
      <c r="H47" s="110">
        <f>Data!AR51</f>
        <v>0</v>
      </c>
      <c r="I47" s="110">
        <f>Data!AS51</f>
        <v>0</v>
      </c>
      <c r="J47" s="110">
        <f>Data!AT51</f>
        <v>0</v>
      </c>
      <c r="K47" s="110">
        <f>Data!AU51</f>
        <v>1</v>
      </c>
      <c r="L47" s="110">
        <f>Data!AV51</f>
        <v>0</v>
      </c>
      <c r="M47" s="110">
        <f>Data!AW51</f>
        <v>0</v>
      </c>
      <c r="N47" s="110">
        <f>Data!AX51</f>
        <v>1</v>
      </c>
      <c r="O47" s="110">
        <f>Data!AY51</f>
        <v>1</v>
      </c>
      <c r="P47" s="110">
        <f>Data!AZ51</f>
        <v>3</v>
      </c>
      <c r="Q47" s="110">
        <f>Data!BA51</f>
        <v>2</v>
      </c>
      <c r="R47" s="110">
        <f>Data!BB51</f>
        <v>10</v>
      </c>
      <c r="S47" s="110">
        <f>Data!BC51</f>
        <v>7</v>
      </c>
      <c r="T47" s="110">
        <f>Data!BD51</f>
        <v>7</v>
      </c>
      <c r="U47" s="110">
        <f>Data!BE51</f>
        <v>3</v>
      </c>
      <c r="V47" s="117">
        <f t="shared" si="0"/>
        <v>35</v>
      </c>
      <c r="W47" s="30"/>
    </row>
    <row r="48" spans="1:23" ht="11.2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1:23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</row>
  </sheetData>
  <mergeCells count="4">
    <mergeCell ref="B4:B5"/>
    <mergeCell ref="C4:C5"/>
    <mergeCell ref="D4:U4"/>
    <mergeCell ref="V4:V5"/>
  </mergeCells>
  <phoneticPr fontId="13" type="noConversion"/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</sheetPr>
  <dimension ref="A1:W54"/>
  <sheetViews>
    <sheetView workbookViewId="0">
      <selection activeCell="B1" sqref="B1"/>
    </sheetView>
  </sheetViews>
  <sheetFormatPr defaultRowHeight="12.75"/>
  <cols>
    <col min="1" max="1" width="1.85546875" customWidth="1"/>
    <col min="2" max="2" width="28.7109375" customWidth="1"/>
    <col min="3" max="3" width="23.7109375" customWidth="1"/>
    <col min="4" max="22" width="6" customWidth="1"/>
    <col min="23" max="34" width="0.85546875" customWidth="1"/>
  </cols>
  <sheetData>
    <row r="1" spans="1:23" ht="15">
      <c r="A1" s="62"/>
      <c r="B1" s="484" t="s">
        <v>402</v>
      </c>
      <c r="C1" s="489"/>
      <c r="D1" s="489"/>
      <c r="E1" s="489"/>
      <c r="F1" s="489"/>
      <c r="G1" s="489"/>
      <c r="H1" s="489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4"/>
    </row>
    <row r="2" spans="1:23">
      <c r="A2" s="62"/>
      <c r="B2" s="485" t="str">
        <f>"Mirčių dėl piktybinių navikų, atvejų skaičius pagal amžiaus grupes  " &amp; GrafikaiSerg!A1 &amp; " metais. Moterys."</f>
        <v>Mirčių dėl piktybinių navikų, atvejų skaičius pagal amžiaus grupes  2013 metais. Moterys.</v>
      </c>
      <c r="C2" s="485"/>
      <c r="D2" s="489"/>
      <c r="E2" s="487"/>
      <c r="F2" s="489"/>
      <c r="G2" s="489"/>
      <c r="H2" s="489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4"/>
    </row>
    <row r="3" spans="1:23">
      <c r="A3" s="62"/>
      <c r="B3" s="66" t="s">
        <v>651</v>
      </c>
      <c r="C3" s="65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4"/>
    </row>
    <row r="4" spans="1:23" ht="12.95" customHeight="1">
      <c r="A4" s="62"/>
      <c r="B4" s="424" t="s">
        <v>242</v>
      </c>
      <c r="C4" s="424" t="s">
        <v>243</v>
      </c>
      <c r="D4" s="429" t="s">
        <v>418</v>
      </c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28"/>
      <c r="V4" s="434" t="s">
        <v>428</v>
      </c>
      <c r="W4" s="64"/>
    </row>
    <row r="5" spans="1:23" s="27" customFormat="1" ht="12.95" customHeight="1" thickBot="1">
      <c r="A5" s="62"/>
      <c r="B5" s="425"/>
      <c r="C5" s="425"/>
      <c r="D5" s="167" t="s">
        <v>13</v>
      </c>
      <c r="E5" s="167" t="s">
        <v>11</v>
      </c>
      <c r="F5" s="167" t="s">
        <v>12</v>
      </c>
      <c r="G5" s="167" t="s">
        <v>14</v>
      </c>
      <c r="H5" s="167" t="s">
        <v>15</v>
      </c>
      <c r="I5" s="167" t="s">
        <v>16</v>
      </c>
      <c r="J5" s="167" t="s">
        <v>158</v>
      </c>
      <c r="K5" s="167" t="s">
        <v>17</v>
      </c>
      <c r="L5" s="167" t="s">
        <v>18</v>
      </c>
      <c r="M5" s="167" t="s">
        <v>19</v>
      </c>
      <c r="N5" s="167" t="s">
        <v>20</v>
      </c>
      <c r="O5" s="167" t="s">
        <v>21</v>
      </c>
      <c r="P5" s="167" t="s">
        <v>159</v>
      </c>
      <c r="Q5" s="167" t="s">
        <v>160</v>
      </c>
      <c r="R5" s="167" t="s">
        <v>161</v>
      </c>
      <c r="S5" s="167" t="s">
        <v>162</v>
      </c>
      <c r="T5" s="167" t="s">
        <v>22</v>
      </c>
      <c r="U5" s="167" t="s">
        <v>23</v>
      </c>
      <c r="V5" s="435"/>
      <c r="W5" s="62"/>
    </row>
    <row r="6" spans="1:23" s="27" customFormat="1" ht="12" customHeight="1" thickTop="1">
      <c r="A6" s="62"/>
      <c r="B6" s="144" t="str">
        <f>UPPER(LEFT(TRIM(Data!B5),1)) &amp; MID(TRIM(Data!B5),2,50)</f>
        <v>Piktybiniai navikai</v>
      </c>
      <c r="C6" s="144" t="str">
        <f>Data!C5</f>
        <v>C00-C96</v>
      </c>
      <c r="D6" s="163">
        <f>Data!DA5</f>
        <v>1</v>
      </c>
      <c r="E6" s="163">
        <f>Data!DB5</f>
        <v>3</v>
      </c>
      <c r="F6" s="163">
        <f>Data!DC5</f>
        <v>3</v>
      </c>
      <c r="G6" s="163">
        <f>Data!DD5</f>
        <v>3</v>
      </c>
      <c r="H6" s="163">
        <f>Data!DE5</f>
        <v>6</v>
      </c>
      <c r="I6" s="163">
        <f>Data!DF5</f>
        <v>9</v>
      </c>
      <c r="J6" s="163">
        <f>Data!DG5</f>
        <v>20</v>
      </c>
      <c r="K6" s="163">
        <f>Data!DH5</f>
        <v>30</v>
      </c>
      <c r="L6" s="163">
        <f>Data!DI5</f>
        <v>63</v>
      </c>
      <c r="M6" s="163">
        <f>Data!DJ5</f>
        <v>120</v>
      </c>
      <c r="N6" s="163">
        <f>Data!DK5</f>
        <v>193</v>
      </c>
      <c r="O6" s="163">
        <f>Data!DL5</f>
        <v>254</v>
      </c>
      <c r="P6" s="163">
        <f>Data!DM5</f>
        <v>332</v>
      </c>
      <c r="Q6" s="163">
        <f>Data!DN5</f>
        <v>334</v>
      </c>
      <c r="R6" s="163">
        <f>Data!DO5</f>
        <v>510</v>
      </c>
      <c r="S6" s="163">
        <f>Data!DP5</f>
        <v>600</v>
      </c>
      <c r="T6" s="163">
        <f>Data!DQ5</f>
        <v>560</v>
      </c>
      <c r="U6" s="163">
        <f>Data!DR5</f>
        <v>500</v>
      </c>
      <c r="V6" s="163">
        <f>SUM(D6:U6)</f>
        <v>3541</v>
      </c>
      <c r="W6" s="62"/>
    </row>
    <row r="7" spans="1:23" s="27" customFormat="1" ht="12" customHeight="1">
      <c r="A7" s="62"/>
      <c r="B7" s="145" t="str">
        <f>UPPER(LEFT(TRIM(Data!B6),1)) &amp; MID(TRIM(Data!B6),2,50)</f>
        <v>Lūpos</v>
      </c>
      <c r="C7" s="171" t="str">
        <f>Data!C6</f>
        <v>C00</v>
      </c>
      <c r="D7" s="165">
        <f>Data!DA6</f>
        <v>0</v>
      </c>
      <c r="E7" s="165">
        <f>Data!DB6</f>
        <v>0</v>
      </c>
      <c r="F7" s="165">
        <f>Data!DC6</f>
        <v>0</v>
      </c>
      <c r="G7" s="165">
        <f>Data!DD6</f>
        <v>0</v>
      </c>
      <c r="H7" s="165">
        <f>Data!DE6</f>
        <v>0</v>
      </c>
      <c r="I7" s="165">
        <f>Data!DF6</f>
        <v>0</v>
      </c>
      <c r="J7" s="165">
        <f>Data!DG6</f>
        <v>0</v>
      </c>
      <c r="K7" s="165">
        <f>Data!DH6</f>
        <v>0</v>
      </c>
      <c r="L7" s="165">
        <f>Data!DI6</f>
        <v>0</v>
      </c>
      <c r="M7" s="165">
        <f>Data!DJ6</f>
        <v>0</v>
      </c>
      <c r="N7" s="165">
        <f>Data!DK6</f>
        <v>0</v>
      </c>
      <c r="O7" s="165">
        <f>Data!DL6</f>
        <v>0</v>
      </c>
      <c r="P7" s="165">
        <f>Data!DM6</f>
        <v>0</v>
      </c>
      <c r="Q7" s="165">
        <f>Data!DN6</f>
        <v>1</v>
      </c>
      <c r="R7" s="165">
        <f>Data!DO6</f>
        <v>0</v>
      </c>
      <c r="S7" s="165">
        <f>Data!DP6</f>
        <v>0</v>
      </c>
      <c r="T7" s="165">
        <f>Data!DQ6</f>
        <v>1</v>
      </c>
      <c r="U7" s="165">
        <f>Data!DR6</f>
        <v>0</v>
      </c>
      <c r="V7" s="165">
        <f>SUM(D7:U7)</f>
        <v>2</v>
      </c>
      <c r="W7" s="62"/>
    </row>
    <row r="8" spans="1:23" s="27" customFormat="1" ht="12" customHeight="1">
      <c r="A8" s="62"/>
      <c r="B8" s="144" t="str">
        <f>UPPER(LEFT(TRIM(Data!B7),1)) &amp; MID(TRIM(Data!B7),2,50)</f>
        <v>Burnos ertmės ir ryklės</v>
      </c>
      <c r="C8" s="144" t="str">
        <f>Data!C7</f>
        <v>C01-C14</v>
      </c>
      <c r="D8" s="163">
        <f>Data!DA7</f>
        <v>0</v>
      </c>
      <c r="E8" s="163">
        <f>Data!DB7</f>
        <v>0</v>
      </c>
      <c r="F8" s="163">
        <f>Data!DC7</f>
        <v>0</v>
      </c>
      <c r="G8" s="163">
        <f>Data!DD7</f>
        <v>0</v>
      </c>
      <c r="H8" s="163">
        <f>Data!DE7</f>
        <v>0</v>
      </c>
      <c r="I8" s="163">
        <f>Data!DF7</f>
        <v>0</v>
      </c>
      <c r="J8" s="163">
        <f>Data!DG7</f>
        <v>0</v>
      </c>
      <c r="K8" s="163">
        <f>Data!DH7</f>
        <v>1</v>
      </c>
      <c r="L8" s="163">
        <f>Data!DI7</f>
        <v>0</v>
      </c>
      <c r="M8" s="163">
        <f>Data!DJ7</f>
        <v>5</v>
      </c>
      <c r="N8" s="163">
        <f>Data!DK7</f>
        <v>2</v>
      </c>
      <c r="O8" s="163">
        <f>Data!DL7</f>
        <v>5</v>
      </c>
      <c r="P8" s="163">
        <f>Data!DM7</f>
        <v>3</v>
      </c>
      <c r="Q8" s="163">
        <f>Data!DN7</f>
        <v>4</v>
      </c>
      <c r="R8" s="163">
        <f>Data!DO7</f>
        <v>4</v>
      </c>
      <c r="S8" s="163">
        <f>Data!DP7</f>
        <v>6</v>
      </c>
      <c r="T8" s="163">
        <f>Data!DQ7</f>
        <v>4</v>
      </c>
      <c r="U8" s="163">
        <f>Data!DR7</f>
        <v>4</v>
      </c>
      <c r="V8" s="163">
        <f>SUM(D8:U8)</f>
        <v>38</v>
      </c>
      <c r="W8" s="62"/>
    </row>
    <row r="9" spans="1:23" s="27" customFormat="1" ht="12" customHeight="1">
      <c r="A9" s="62"/>
      <c r="B9" s="145" t="str">
        <f>UPPER(LEFT(TRIM(Data!B8),1)) &amp; MID(TRIM(Data!B8),2,50)</f>
        <v>Stemplės</v>
      </c>
      <c r="C9" s="171" t="str">
        <f>Data!C8</f>
        <v>C15</v>
      </c>
      <c r="D9" s="165">
        <f>Data!DA8</f>
        <v>0</v>
      </c>
      <c r="E9" s="165">
        <f>Data!DB8</f>
        <v>0</v>
      </c>
      <c r="F9" s="165">
        <f>Data!DC8</f>
        <v>0</v>
      </c>
      <c r="G9" s="165">
        <f>Data!DD8</f>
        <v>0</v>
      </c>
      <c r="H9" s="165">
        <f>Data!DE8</f>
        <v>0</v>
      </c>
      <c r="I9" s="165">
        <f>Data!DF8</f>
        <v>0</v>
      </c>
      <c r="J9" s="165">
        <f>Data!DG8</f>
        <v>0</v>
      </c>
      <c r="K9" s="165">
        <f>Data!DH8</f>
        <v>0</v>
      </c>
      <c r="L9" s="165">
        <f>Data!DI8</f>
        <v>0</v>
      </c>
      <c r="M9" s="165">
        <f>Data!DJ8</f>
        <v>0</v>
      </c>
      <c r="N9" s="165">
        <f>Data!DK8</f>
        <v>3</v>
      </c>
      <c r="O9" s="165">
        <f>Data!DL8</f>
        <v>0</v>
      </c>
      <c r="P9" s="165">
        <f>Data!DM8</f>
        <v>3</v>
      </c>
      <c r="Q9" s="165">
        <f>Data!DN8</f>
        <v>3</v>
      </c>
      <c r="R9" s="165">
        <f>Data!DO8</f>
        <v>1</v>
      </c>
      <c r="S9" s="165">
        <f>Data!DP8</f>
        <v>0</v>
      </c>
      <c r="T9" s="165">
        <f>Data!DQ8</f>
        <v>5</v>
      </c>
      <c r="U9" s="165">
        <f>Data!DR8</f>
        <v>4</v>
      </c>
      <c r="V9" s="165">
        <f t="shared" ref="V9:V51" si="0">SUM(D9:U9)</f>
        <v>19</v>
      </c>
      <c r="W9" s="62"/>
    </row>
    <row r="10" spans="1:23" s="27" customFormat="1" ht="12" customHeight="1">
      <c r="A10" s="62"/>
      <c r="B10" s="144" t="str">
        <f>UPPER(LEFT(TRIM(Data!B9),1)) &amp; MID(TRIM(Data!B9),2,50)</f>
        <v>Skrandžio</v>
      </c>
      <c r="C10" s="144" t="str">
        <f>Data!C9</f>
        <v>C16</v>
      </c>
      <c r="D10" s="163">
        <f>Data!DA9</f>
        <v>0</v>
      </c>
      <c r="E10" s="163">
        <f>Data!DB9</f>
        <v>0</v>
      </c>
      <c r="F10" s="163">
        <f>Data!DC9</f>
        <v>0</v>
      </c>
      <c r="G10" s="163">
        <f>Data!DD9</f>
        <v>0</v>
      </c>
      <c r="H10" s="163">
        <f>Data!DE9</f>
        <v>1</v>
      </c>
      <c r="I10" s="163">
        <f>Data!DF9</f>
        <v>0</v>
      </c>
      <c r="J10" s="163">
        <f>Data!DG9</f>
        <v>1</v>
      </c>
      <c r="K10" s="163">
        <f>Data!DH9</f>
        <v>2</v>
      </c>
      <c r="L10" s="163">
        <f>Data!DI9</f>
        <v>1</v>
      </c>
      <c r="M10" s="163">
        <f>Data!DJ9</f>
        <v>7</v>
      </c>
      <c r="N10" s="163">
        <f>Data!DK9</f>
        <v>12</v>
      </c>
      <c r="O10" s="163">
        <f>Data!DL9</f>
        <v>16</v>
      </c>
      <c r="P10" s="163">
        <f>Data!DM9</f>
        <v>11</v>
      </c>
      <c r="Q10" s="163">
        <f>Data!DN9</f>
        <v>23</v>
      </c>
      <c r="R10" s="163">
        <f>Data!DO9</f>
        <v>30</v>
      </c>
      <c r="S10" s="163">
        <f>Data!DP9</f>
        <v>45</v>
      </c>
      <c r="T10" s="163">
        <f>Data!DQ9</f>
        <v>49</v>
      </c>
      <c r="U10" s="163">
        <f>Data!DR9</f>
        <v>48</v>
      </c>
      <c r="V10" s="163">
        <f t="shared" si="0"/>
        <v>246</v>
      </c>
      <c r="W10" s="62"/>
    </row>
    <row r="11" spans="1:23" s="27" customFormat="1" ht="12" customHeight="1">
      <c r="A11" s="62"/>
      <c r="B11" s="145" t="str">
        <f>UPPER(LEFT(TRIM(Data!B10),1)) &amp; MID(TRIM(Data!B10),2,50)</f>
        <v>Gaubtinės žarnos</v>
      </c>
      <c r="C11" s="171" t="str">
        <f>Data!C10</f>
        <v>C18</v>
      </c>
      <c r="D11" s="165">
        <f>Data!DA10</f>
        <v>0</v>
      </c>
      <c r="E11" s="165">
        <f>Data!DB10</f>
        <v>0</v>
      </c>
      <c r="F11" s="165">
        <f>Data!DC10</f>
        <v>0</v>
      </c>
      <c r="G11" s="165">
        <f>Data!DD10</f>
        <v>0</v>
      </c>
      <c r="H11" s="165">
        <f>Data!DE10</f>
        <v>0</v>
      </c>
      <c r="I11" s="165">
        <f>Data!DF10</f>
        <v>0</v>
      </c>
      <c r="J11" s="165">
        <f>Data!DG10</f>
        <v>1</v>
      </c>
      <c r="K11" s="165">
        <f>Data!DH10</f>
        <v>1</v>
      </c>
      <c r="L11" s="165">
        <f>Data!DI10</f>
        <v>0</v>
      </c>
      <c r="M11" s="165">
        <f>Data!DJ10</f>
        <v>3</v>
      </c>
      <c r="N11" s="165">
        <f>Data!DK10</f>
        <v>8</v>
      </c>
      <c r="O11" s="165">
        <f>Data!DL10</f>
        <v>12</v>
      </c>
      <c r="P11" s="165">
        <f>Data!DM10</f>
        <v>18</v>
      </c>
      <c r="Q11" s="165">
        <f>Data!DN10</f>
        <v>22</v>
      </c>
      <c r="R11" s="165">
        <f>Data!DO10</f>
        <v>30</v>
      </c>
      <c r="S11" s="165">
        <f>Data!DP10</f>
        <v>52</v>
      </c>
      <c r="T11" s="165">
        <f>Data!DQ10</f>
        <v>64</v>
      </c>
      <c r="U11" s="165">
        <f>Data!DR10</f>
        <v>43</v>
      </c>
      <c r="V11" s="165">
        <f t="shared" si="0"/>
        <v>254</v>
      </c>
      <c r="W11" s="62"/>
    </row>
    <row r="12" spans="1:23" s="27" customFormat="1" ht="12" customHeight="1">
      <c r="A12" s="62"/>
      <c r="B12" s="144" t="str">
        <f>UPPER(LEFT(TRIM(Data!B11),1)) &amp; MID(TRIM(Data!B11),2,50)</f>
        <v>Tiesiosios žarnos, išangės</v>
      </c>
      <c r="C12" s="144" t="str">
        <f>Data!C11</f>
        <v>C19-C21</v>
      </c>
      <c r="D12" s="163">
        <f>Data!DA11</f>
        <v>0</v>
      </c>
      <c r="E12" s="163">
        <f>Data!DB11</f>
        <v>0</v>
      </c>
      <c r="F12" s="163">
        <f>Data!DC11</f>
        <v>0</v>
      </c>
      <c r="G12" s="163">
        <f>Data!DD11</f>
        <v>0</v>
      </c>
      <c r="H12" s="163">
        <f>Data!DE11</f>
        <v>0</v>
      </c>
      <c r="I12" s="163">
        <f>Data!DF11</f>
        <v>0</v>
      </c>
      <c r="J12" s="163">
        <f>Data!DG11</f>
        <v>2</v>
      </c>
      <c r="K12" s="163">
        <f>Data!DH11</f>
        <v>1</v>
      </c>
      <c r="L12" s="163">
        <f>Data!DI11</f>
        <v>3</v>
      </c>
      <c r="M12" s="163">
        <f>Data!DJ11</f>
        <v>3</v>
      </c>
      <c r="N12" s="163">
        <f>Data!DK11</f>
        <v>11</v>
      </c>
      <c r="O12" s="163">
        <f>Data!DL11</f>
        <v>16</v>
      </c>
      <c r="P12" s="163">
        <f>Data!DM11</f>
        <v>18</v>
      </c>
      <c r="Q12" s="163">
        <f>Data!DN11</f>
        <v>13</v>
      </c>
      <c r="R12" s="163">
        <f>Data!DO11</f>
        <v>26</v>
      </c>
      <c r="S12" s="163">
        <f>Data!DP11</f>
        <v>38</v>
      </c>
      <c r="T12" s="163">
        <f>Data!DQ11</f>
        <v>39</v>
      </c>
      <c r="U12" s="163">
        <f>Data!DR11</f>
        <v>33</v>
      </c>
      <c r="V12" s="163">
        <f t="shared" si="0"/>
        <v>203</v>
      </c>
      <c r="W12" s="62"/>
    </row>
    <row r="13" spans="1:23" s="27" customFormat="1" ht="12" customHeight="1">
      <c r="A13" s="62"/>
      <c r="B13" s="145" t="str">
        <f>UPPER(LEFT(TRIM(Data!B12),1)) &amp; MID(TRIM(Data!B12),2,50)</f>
        <v>Kepenų</v>
      </c>
      <c r="C13" s="171" t="str">
        <f>Data!C12</f>
        <v>C22</v>
      </c>
      <c r="D13" s="165">
        <f>Data!DA12</f>
        <v>0</v>
      </c>
      <c r="E13" s="165">
        <f>Data!DB12</f>
        <v>0</v>
      </c>
      <c r="F13" s="165">
        <f>Data!DC12</f>
        <v>1</v>
      </c>
      <c r="G13" s="165">
        <f>Data!DD12</f>
        <v>0</v>
      </c>
      <c r="H13" s="165">
        <f>Data!DE12</f>
        <v>0</v>
      </c>
      <c r="I13" s="165">
        <f>Data!DF12</f>
        <v>0</v>
      </c>
      <c r="J13" s="165">
        <f>Data!DG12</f>
        <v>0</v>
      </c>
      <c r="K13" s="165">
        <f>Data!DH12</f>
        <v>0</v>
      </c>
      <c r="L13" s="165">
        <f>Data!DI12</f>
        <v>1</v>
      </c>
      <c r="M13" s="165">
        <f>Data!DJ12</f>
        <v>1</v>
      </c>
      <c r="N13" s="165">
        <f>Data!DK12</f>
        <v>4</v>
      </c>
      <c r="O13" s="165">
        <f>Data!DL12</f>
        <v>2</v>
      </c>
      <c r="P13" s="165">
        <f>Data!DM12</f>
        <v>6</v>
      </c>
      <c r="Q13" s="165">
        <f>Data!DN12</f>
        <v>4</v>
      </c>
      <c r="R13" s="165">
        <f>Data!DO12</f>
        <v>10</v>
      </c>
      <c r="S13" s="165">
        <f>Data!DP12</f>
        <v>12</v>
      </c>
      <c r="T13" s="165">
        <f>Data!DQ12</f>
        <v>9</v>
      </c>
      <c r="U13" s="165">
        <f>Data!DR12</f>
        <v>8</v>
      </c>
      <c r="V13" s="165">
        <f t="shared" si="0"/>
        <v>58</v>
      </c>
      <c r="W13" s="62"/>
    </row>
    <row r="14" spans="1:23" s="27" customFormat="1" ht="12" customHeight="1">
      <c r="A14" s="62"/>
      <c r="B14" s="144" t="str">
        <f>UPPER(LEFT(TRIM(Data!B13),1)) &amp; MID(TRIM(Data!B13),2,50)</f>
        <v>Tulžies pūslės, ekstrahepatinių takų</v>
      </c>
      <c r="C14" s="144" t="str">
        <f>Data!C13</f>
        <v>C23, C24</v>
      </c>
      <c r="D14" s="163">
        <f>Data!DA13</f>
        <v>0</v>
      </c>
      <c r="E14" s="163">
        <f>Data!DB13</f>
        <v>0</v>
      </c>
      <c r="F14" s="163">
        <f>Data!DC13</f>
        <v>0</v>
      </c>
      <c r="G14" s="163">
        <f>Data!DD13</f>
        <v>0</v>
      </c>
      <c r="H14" s="163">
        <f>Data!DE13</f>
        <v>0</v>
      </c>
      <c r="I14" s="163">
        <f>Data!DF13</f>
        <v>0</v>
      </c>
      <c r="J14" s="163">
        <f>Data!DG13</f>
        <v>0</v>
      </c>
      <c r="K14" s="163">
        <f>Data!DH13</f>
        <v>0</v>
      </c>
      <c r="L14" s="163">
        <f>Data!DI13</f>
        <v>0</v>
      </c>
      <c r="M14" s="163">
        <f>Data!DJ13</f>
        <v>0</v>
      </c>
      <c r="N14" s="163">
        <f>Data!DK13</f>
        <v>3</v>
      </c>
      <c r="O14" s="163">
        <f>Data!DL13</f>
        <v>3</v>
      </c>
      <c r="P14" s="163">
        <f>Data!DM13</f>
        <v>3</v>
      </c>
      <c r="Q14" s="163">
        <f>Data!DN13</f>
        <v>11</v>
      </c>
      <c r="R14" s="163">
        <f>Data!DO13</f>
        <v>12</v>
      </c>
      <c r="S14" s="163">
        <f>Data!DP13</f>
        <v>14</v>
      </c>
      <c r="T14" s="163">
        <f>Data!DQ13</f>
        <v>8</v>
      </c>
      <c r="U14" s="163">
        <f>Data!DR13</f>
        <v>11</v>
      </c>
      <c r="V14" s="163">
        <f t="shared" si="0"/>
        <v>65</v>
      </c>
      <c r="W14" s="62"/>
    </row>
    <row r="15" spans="1:23" s="27" customFormat="1" ht="12" customHeight="1">
      <c r="A15" s="62"/>
      <c r="B15" s="145" t="str">
        <f>UPPER(LEFT(TRIM(Data!B14),1)) &amp; MID(TRIM(Data!B14),2,50)</f>
        <v>Kasos</v>
      </c>
      <c r="C15" s="171" t="str">
        <f>Data!C14</f>
        <v>C25</v>
      </c>
      <c r="D15" s="165">
        <f>Data!DA14</f>
        <v>0</v>
      </c>
      <c r="E15" s="165">
        <f>Data!DB14</f>
        <v>0</v>
      </c>
      <c r="F15" s="165">
        <f>Data!DC14</f>
        <v>0</v>
      </c>
      <c r="G15" s="165">
        <f>Data!DD14</f>
        <v>0</v>
      </c>
      <c r="H15" s="165">
        <f>Data!DE14</f>
        <v>0</v>
      </c>
      <c r="I15" s="165">
        <f>Data!DF14</f>
        <v>0</v>
      </c>
      <c r="J15" s="165">
        <f>Data!DG14</f>
        <v>1</v>
      </c>
      <c r="K15" s="165">
        <f>Data!DH14</f>
        <v>0</v>
      </c>
      <c r="L15" s="165">
        <f>Data!DI14</f>
        <v>2</v>
      </c>
      <c r="M15" s="165">
        <f>Data!DJ14</f>
        <v>1</v>
      </c>
      <c r="N15" s="165">
        <f>Data!DK14</f>
        <v>5</v>
      </c>
      <c r="O15" s="165">
        <f>Data!DL14</f>
        <v>15</v>
      </c>
      <c r="P15" s="165">
        <f>Data!DM14</f>
        <v>17</v>
      </c>
      <c r="Q15" s="165">
        <f>Data!DN14</f>
        <v>24</v>
      </c>
      <c r="R15" s="165">
        <f>Data!DO14</f>
        <v>41</v>
      </c>
      <c r="S15" s="165">
        <f>Data!DP14</f>
        <v>27</v>
      </c>
      <c r="T15" s="165">
        <f>Data!DQ14</f>
        <v>46</v>
      </c>
      <c r="U15" s="165">
        <f>Data!DR14</f>
        <v>34</v>
      </c>
      <c r="V15" s="165">
        <f t="shared" si="0"/>
        <v>213</v>
      </c>
      <c r="W15" s="62"/>
    </row>
    <row r="16" spans="1:23" s="27" customFormat="1" ht="12" customHeight="1">
      <c r="A16" s="62"/>
      <c r="B16" s="144" t="str">
        <f>UPPER(LEFT(TRIM(Data!B15),1)) &amp; MID(TRIM(Data!B15),2,50)</f>
        <v>Kitų virškinimo sistemos organų</v>
      </c>
      <c r="C16" s="144" t="str">
        <f>Data!C15</f>
        <v>C17, C26, C48</v>
      </c>
      <c r="D16" s="163">
        <f>Data!DA15</f>
        <v>1</v>
      </c>
      <c r="E16" s="163">
        <f>Data!DB15</f>
        <v>0</v>
      </c>
      <c r="F16" s="163">
        <f>Data!DC15</f>
        <v>0</v>
      </c>
      <c r="G16" s="163">
        <f>Data!DD15</f>
        <v>0</v>
      </c>
      <c r="H16" s="163">
        <f>Data!DE15</f>
        <v>0</v>
      </c>
      <c r="I16" s="163">
        <f>Data!DF15</f>
        <v>0</v>
      </c>
      <c r="J16" s="163">
        <f>Data!DG15</f>
        <v>0</v>
      </c>
      <c r="K16" s="163">
        <f>Data!DH15</f>
        <v>1</v>
      </c>
      <c r="L16" s="163">
        <f>Data!DI15</f>
        <v>0</v>
      </c>
      <c r="M16" s="163">
        <f>Data!DJ15</f>
        <v>2</v>
      </c>
      <c r="N16" s="163">
        <f>Data!DK15</f>
        <v>1</v>
      </c>
      <c r="O16" s="163">
        <f>Data!DL15</f>
        <v>5</v>
      </c>
      <c r="P16" s="163">
        <f>Data!DM15</f>
        <v>4</v>
      </c>
      <c r="Q16" s="163">
        <f>Data!DN15</f>
        <v>5</v>
      </c>
      <c r="R16" s="163">
        <f>Data!DO15</f>
        <v>4</v>
      </c>
      <c r="S16" s="163">
        <f>Data!DP15</f>
        <v>9</v>
      </c>
      <c r="T16" s="163">
        <f>Data!DQ15</f>
        <v>6</v>
      </c>
      <c r="U16" s="163">
        <f>Data!DR15</f>
        <v>8</v>
      </c>
      <c r="V16" s="163">
        <f t="shared" si="0"/>
        <v>46</v>
      </c>
      <c r="W16" s="62"/>
    </row>
    <row r="17" spans="1:23" s="27" customFormat="1" ht="12" customHeight="1">
      <c r="A17" s="62"/>
      <c r="B17" s="145" t="str">
        <f>UPPER(LEFT(TRIM(Data!B16),1)) &amp; MID(TRIM(Data!B16),2,50)</f>
        <v>Nosies ertmės, vid.ausies ir ančių</v>
      </c>
      <c r="C17" s="171" t="str">
        <f>Data!C16</f>
        <v>C30, C31</v>
      </c>
      <c r="D17" s="165">
        <f>Data!DA16</f>
        <v>0</v>
      </c>
      <c r="E17" s="165">
        <f>Data!DB16</f>
        <v>0</v>
      </c>
      <c r="F17" s="165">
        <f>Data!DC16</f>
        <v>0</v>
      </c>
      <c r="G17" s="165">
        <f>Data!DD16</f>
        <v>0</v>
      </c>
      <c r="H17" s="165">
        <f>Data!DE16</f>
        <v>0</v>
      </c>
      <c r="I17" s="165">
        <f>Data!DF16</f>
        <v>0</v>
      </c>
      <c r="J17" s="165">
        <f>Data!DG16</f>
        <v>0</v>
      </c>
      <c r="K17" s="165">
        <f>Data!DH16</f>
        <v>0</v>
      </c>
      <c r="L17" s="165">
        <f>Data!DI16</f>
        <v>0</v>
      </c>
      <c r="M17" s="165">
        <f>Data!DJ16</f>
        <v>0</v>
      </c>
      <c r="N17" s="165">
        <f>Data!DK16</f>
        <v>0</v>
      </c>
      <c r="O17" s="165">
        <f>Data!DL16</f>
        <v>0</v>
      </c>
      <c r="P17" s="165">
        <f>Data!DM16</f>
        <v>2</v>
      </c>
      <c r="Q17" s="165">
        <f>Data!DN16</f>
        <v>2</v>
      </c>
      <c r="R17" s="165">
        <f>Data!DO16</f>
        <v>1</v>
      </c>
      <c r="S17" s="165">
        <f>Data!DP16</f>
        <v>0</v>
      </c>
      <c r="T17" s="165">
        <f>Data!DQ16</f>
        <v>2</v>
      </c>
      <c r="U17" s="165">
        <f>Data!DR16</f>
        <v>1</v>
      </c>
      <c r="V17" s="165">
        <f t="shared" si="0"/>
        <v>8</v>
      </c>
      <c r="W17" s="62"/>
    </row>
    <row r="18" spans="1:23" s="27" customFormat="1" ht="12" customHeight="1">
      <c r="A18" s="62"/>
      <c r="B18" s="144" t="str">
        <f>UPPER(LEFT(TRIM(Data!B17),1)) &amp; MID(TRIM(Data!B17),2,50)</f>
        <v>Gerklų</v>
      </c>
      <c r="C18" s="144" t="str">
        <f>Data!C17</f>
        <v>C32</v>
      </c>
      <c r="D18" s="163">
        <f>Data!DA17</f>
        <v>0</v>
      </c>
      <c r="E18" s="163">
        <f>Data!DB17</f>
        <v>0</v>
      </c>
      <c r="F18" s="163">
        <f>Data!DC17</f>
        <v>0</v>
      </c>
      <c r="G18" s="163">
        <f>Data!DD17</f>
        <v>0</v>
      </c>
      <c r="H18" s="163">
        <f>Data!DE17</f>
        <v>0</v>
      </c>
      <c r="I18" s="163">
        <f>Data!DF17</f>
        <v>0</v>
      </c>
      <c r="J18" s="163">
        <f>Data!DG17</f>
        <v>0</v>
      </c>
      <c r="K18" s="163">
        <f>Data!DH17</f>
        <v>1</v>
      </c>
      <c r="L18" s="163">
        <f>Data!DI17</f>
        <v>0</v>
      </c>
      <c r="M18" s="163">
        <f>Data!DJ17</f>
        <v>0</v>
      </c>
      <c r="N18" s="163">
        <f>Data!DK17</f>
        <v>1</v>
      </c>
      <c r="O18" s="163">
        <f>Data!DL17</f>
        <v>2</v>
      </c>
      <c r="P18" s="163">
        <f>Data!DM17</f>
        <v>4</v>
      </c>
      <c r="Q18" s="163">
        <f>Data!DN17</f>
        <v>1</v>
      </c>
      <c r="R18" s="163">
        <f>Data!DO17</f>
        <v>0</v>
      </c>
      <c r="S18" s="163">
        <f>Data!DP17</f>
        <v>0</v>
      </c>
      <c r="T18" s="163">
        <f>Data!DQ17</f>
        <v>0</v>
      </c>
      <c r="U18" s="163">
        <f>Data!DR17</f>
        <v>0</v>
      </c>
      <c r="V18" s="163">
        <f t="shared" si="0"/>
        <v>9</v>
      </c>
      <c r="W18" s="62"/>
    </row>
    <row r="19" spans="1:23" s="27" customFormat="1" ht="12" customHeight="1">
      <c r="A19" s="62"/>
      <c r="B19" s="145" t="str">
        <f>UPPER(LEFT(TRIM(Data!B18),1)) &amp; MID(TRIM(Data!B18),2,50)</f>
        <v>Plaučių, trachėjos, bronchų</v>
      </c>
      <c r="C19" s="171" t="str">
        <f>Data!C18</f>
        <v>C33, C34</v>
      </c>
      <c r="D19" s="165">
        <f>Data!DA18</f>
        <v>0</v>
      </c>
      <c r="E19" s="165">
        <f>Data!DB18</f>
        <v>0</v>
      </c>
      <c r="F19" s="165">
        <f>Data!DC18</f>
        <v>0</v>
      </c>
      <c r="G19" s="165">
        <f>Data!DD18</f>
        <v>0</v>
      </c>
      <c r="H19" s="165">
        <f>Data!DE18</f>
        <v>0</v>
      </c>
      <c r="I19" s="165">
        <f>Data!DF18</f>
        <v>1</v>
      </c>
      <c r="J19" s="165">
        <f>Data!DG18</f>
        <v>0</v>
      </c>
      <c r="K19" s="165">
        <f>Data!DH18</f>
        <v>2</v>
      </c>
      <c r="L19" s="165">
        <f>Data!DI18</f>
        <v>2</v>
      </c>
      <c r="M19" s="165">
        <f>Data!DJ18</f>
        <v>10</v>
      </c>
      <c r="N19" s="165">
        <f>Data!DK18</f>
        <v>10</v>
      </c>
      <c r="O19" s="165">
        <f>Data!DL18</f>
        <v>21</v>
      </c>
      <c r="P19" s="165">
        <f>Data!DM18</f>
        <v>40</v>
      </c>
      <c r="Q19" s="165">
        <f>Data!DN18</f>
        <v>27</v>
      </c>
      <c r="R19" s="165">
        <f>Data!DO18</f>
        <v>37</v>
      </c>
      <c r="S19" s="165">
        <f>Data!DP18</f>
        <v>40</v>
      </c>
      <c r="T19" s="165">
        <f>Data!DQ18</f>
        <v>32</v>
      </c>
      <c r="U19" s="165">
        <f>Data!DR18</f>
        <v>28</v>
      </c>
      <c r="V19" s="165">
        <f t="shared" si="0"/>
        <v>250</v>
      </c>
      <c r="W19" s="62"/>
    </row>
    <row r="20" spans="1:23" s="27" customFormat="1" ht="12" customHeight="1">
      <c r="A20" s="62"/>
      <c r="B20" s="144" t="str">
        <f>UPPER(LEFT(TRIM(Data!B19),1)) &amp; MID(TRIM(Data!B19),2,50)</f>
        <v>Kitų kvėpavimo sistemos organų</v>
      </c>
      <c r="C20" s="144" t="str">
        <f>Data!C19</f>
        <v>C37-C39</v>
      </c>
      <c r="D20" s="163">
        <f>Data!DA19</f>
        <v>0</v>
      </c>
      <c r="E20" s="163">
        <f>Data!DB19</f>
        <v>0</v>
      </c>
      <c r="F20" s="163">
        <f>Data!DC19</f>
        <v>0</v>
      </c>
      <c r="G20" s="163">
        <f>Data!DD19</f>
        <v>0</v>
      </c>
      <c r="H20" s="163">
        <f>Data!DE19</f>
        <v>0</v>
      </c>
      <c r="I20" s="163">
        <f>Data!DF19</f>
        <v>0</v>
      </c>
      <c r="J20" s="163">
        <f>Data!DG19</f>
        <v>0</v>
      </c>
      <c r="K20" s="163">
        <f>Data!DH19</f>
        <v>1</v>
      </c>
      <c r="L20" s="163">
        <f>Data!DI19</f>
        <v>0</v>
      </c>
      <c r="M20" s="163">
        <f>Data!DJ19</f>
        <v>1</v>
      </c>
      <c r="N20" s="163">
        <f>Data!DK19</f>
        <v>0</v>
      </c>
      <c r="O20" s="163">
        <f>Data!DL19</f>
        <v>1</v>
      </c>
      <c r="P20" s="163">
        <f>Data!DM19</f>
        <v>3</v>
      </c>
      <c r="Q20" s="163">
        <f>Data!DN19</f>
        <v>2</v>
      </c>
      <c r="R20" s="163">
        <f>Data!DO19</f>
        <v>0</v>
      </c>
      <c r="S20" s="163">
        <f>Data!DP19</f>
        <v>1</v>
      </c>
      <c r="T20" s="163">
        <f>Data!DQ19</f>
        <v>0</v>
      </c>
      <c r="U20" s="163">
        <f>Data!DR19</f>
        <v>0</v>
      </c>
      <c r="V20" s="163">
        <f t="shared" si="0"/>
        <v>9</v>
      </c>
      <c r="W20" s="62"/>
    </row>
    <row r="21" spans="1:23" s="27" customFormat="1" ht="12" customHeight="1">
      <c r="A21" s="62"/>
      <c r="B21" s="145" t="str">
        <f>UPPER(LEFT(TRIM(Data!B20),1)) &amp; MID(TRIM(Data!B20),2,50)</f>
        <v>Kaulų ir jungiamojo audinio</v>
      </c>
      <c r="C21" s="171" t="str">
        <f>Data!C20</f>
        <v>C40-C41, C45-C47, C49</v>
      </c>
      <c r="D21" s="165">
        <f>Data!DA20</f>
        <v>0</v>
      </c>
      <c r="E21" s="165">
        <f>Data!DB20</f>
        <v>1</v>
      </c>
      <c r="F21" s="165">
        <f>Data!DC20</f>
        <v>1</v>
      </c>
      <c r="G21" s="165">
        <f>Data!DD20</f>
        <v>1</v>
      </c>
      <c r="H21" s="165">
        <f>Data!DE20</f>
        <v>3</v>
      </c>
      <c r="I21" s="165">
        <f>Data!DF20</f>
        <v>0</v>
      </c>
      <c r="J21" s="165">
        <f>Data!DG20</f>
        <v>0</v>
      </c>
      <c r="K21" s="165">
        <f>Data!DH20</f>
        <v>0</v>
      </c>
      <c r="L21" s="165">
        <f>Data!DI20</f>
        <v>1</v>
      </c>
      <c r="M21" s="165">
        <f>Data!DJ20</f>
        <v>2</v>
      </c>
      <c r="N21" s="165">
        <f>Data!DK20</f>
        <v>6</v>
      </c>
      <c r="O21" s="165">
        <f>Data!DL20</f>
        <v>3</v>
      </c>
      <c r="P21" s="165">
        <f>Data!DM20</f>
        <v>5</v>
      </c>
      <c r="Q21" s="165">
        <f>Data!DN20</f>
        <v>3</v>
      </c>
      <c r="R21" s="165">
        <f>Data!DO20</f>
        <v>5</v>
      </c>
      <c r="S21" s="165">
        <f>Data!DP20</f>
        <v>2</v>
      </c>
      <c r="T21" s="165">
        <f>Data!DQ20</f>
        <v>4</v>
      </c>
      <c r="U21" s="165">
        <f>Data!DR20</f>
        <v>6</v>
      </c>
      <c r="V21" s="165">
        <f t="shared" si="0"/>
        <v>43</v>
      </c>
      <c r="W21" s="62"/>
    </row>
    <row r="22" spans="1:23" s="27" customFormat="1" ht="12" customHeight="1">
      <c r="A22" s="62"/>
      <c r="B22" s="144" t="str">
        <f>UPPER(LEFT(TRIM(Data!B21),1)) &amp; MID(TRIM(Data!B21),2,50)</f>
        <v>Odos melanoma</v>
      </c>
      <c r="C22" s="144" t="str">
        <f>Data!C21</f>
        <v>C43</v>
      </c>
      <c r="D22" s="163">
        <f>Data!DA21</f>
        <v>0</v>
      </c>
      <c r="E22" s="163">
        <f>Data!DB21</f>
        <v>0</v>
      </c>
      <c r="F22" s="163">
        <f>Data!DC21</f>
        <v>0</v>
      </c>
      <c r="G22" s="163">
        <f>Data!DD21</f>
        <v>0</v>
      </c>
      <c r="H22" s="163">
        <f>Data!DE21</f>
        <v>0</v>
      </c>
      <c r="I22" s="163">
        <f>Data!DF21</f>
        <v>1</v>
      </c>
      <c r="J22" s="163">
        <f>Data!DG21</f>
        <v>0</v>
      </c>
      <c r="K22" s="163">
        <f>Data!DH21</f>
        <v>0</v>
      </c>
      <c r="L22" s="163">
        <f>Data!DI21</f>
        <v>2</v>
      </c>
      <c r="M22" s="163">
        <f>Data!DJ21</f>
        <v>4</v>
      </c>
      <c r="N22" s="163">
        <f>Data!DK21</f>
        <v>0</v>
      </c>
      <c r="O22" s="163">
        <f>Data!DL21</f>
        <v>4</v>
      </c>
      <c r="P22" s="163">
        <f>Data!DM21</f>
        <v>7</v>
      </c>
      <c r="Q22" s="163">
        <f>Data!DN21</f>
        <v>3</v>
      </c>
      <c r="R22" s="163">
        <f>Data!DO21</f>
        <v>5</v>
      </c>
      <c r="S22" s="163">
        <f>Data!DP21</f>
        <v>14</v>
      </c>
      <c r="T22" s="163">
        <f>Data!DQ21</f>
        <v>11</v>
      </c>
      <c r="U22" s="163">
        <f>Data!DR21</f>
        <v>7</v>
      </c>
      <c r="V22" s="163">
        <f t="shared" si="0"/>
        <v>58</v>
      </c>
      <c r="W22" s="62"/>
    </row>
    <row r="23" spans="1:23" s="27" customFormat="1" ht="12" customHeight="1">
      <c r="A23" s="62"/>
      <c r="B23" s="145" t="str">
        <f>UPPER(LEFT(TRIM(Data!B22),1)) &amp; MID(TRIM(Data!B22),2,50)</f>
        <v>Kiti odos piktybiniai navikai</v>
      </c>
      <c r="C23" s="171" t="str">
        <f>Data!C22</f>
        <v>C44</v>
      </c>
      <c r="D23" s="165">
        <f>Data!DA22</f>
        <v>0</v>
      </c>
      <c r="E23" s="165">
        <f>Data!DB22</f>
        <v>0</v>
      </c>
      <c r="F23" s="165">
        <f>Data!DC22</f>
        <v>0</v>
      </c>
      <c r="G23" s="165">
        <f>Data!DD22</f>
        <v>0</v>
      </c>
      <c r="H23" s="165">
        <f>Data!DE22</f>
        <v>0</v>
      </c>
      <c r="I23" s="165">
        <f>Data!DF22</f>
        <v>0</v>
      </c>
      <c r="J23" s="165">
        <f>Data!DG22</f>
        <v>0</v>
      </c>
      <c r="K23" s="165">
        <f>Data!DH22</f>
        <v>0</v>
      </c>
      <c r="L23" s="165">
        <f>Data!DI22</f>
        <v>0</v>
      </c>
      <c r="M23" s="165">
        <f>Data!DJ22</f>
        <v>0</v>
      </c>
      <c r="N23" s="165">
        <f>Data!DK22</f>
        <v>0</v>
      </c>
      <c r="O23" s="165">
        <f>Data!DL22</f>
        <v>0</v>
      </c>
      <c r="P23" s="165">
        <f>Data!DM22</f>
        <v>0</v>
      </c>
      <c r="Q23" s="165">
        <f>Data!DN22</f>
        <v>0</v>
      </c>
      <c r="R23" s="165">
        <f>Data!DO22</f>
        <v>4</v>
      </c>
      <c r="S23" s="165">
        <f>Data!DP22</f>
        <v>6</v>
      </c>
      <c r="T23" s="165">
        <f>Data!DQ22</f>
        <v>4</v>
      </c>
      <c r="U23" s="165">
        <f>Data!DR22</f>
        <v>17</v>
      </c>
      <c r="V23" s="165">
        <f t="shared" si="0"/>
        <v>31</v>
      </c>
      <c r="W23" s="62"/>
    </row>
    <row r="24" spans="1:23" s="27" customFormat="1" ht="12" customHeight="1">
      <c r="A24" s="62"/>
      <c r="B24" s="144" t="str">
        <f>UPPER(LEFT(TRIM(Data!B23),1)) &amp; MID(TRIM(Data!B23),2,50)</f>
        <v>Krūties</v>
      </c>
      <c r="C24" s="144" t="str">
        <f>Data!C23</f>
        <v>C50</v>
      </c>
      <c r="D24" s="163">
        <f>Data!DA23</f>
        <v>0</v>
      </c>
      <c r="E24" s="163">
        <f>Data!DB23</f>
        <v>0</v>
      </c>
      <c r="F24" s="163">
        <f>Data!DC23</f>
        <v>0</v>
      </c>
      <c r="G24" s="163">
        <f>Data!DD23</f>
        <v>0</v>
      </c>
      <c r="H24" s="163">
        <f>Data!DE23</f>
        <v>0</v>
      </c>
      <c r="I24" s="163">
        <f>Data!DF23</f>
        <v>1</v>
      </c>
      <c r="J24" s="163">
        <f>Data!DG23</f>
        <v>4</v>
      </c>
      <c r="K24" s="163">
        <f>Data!DH23</f>
        <v>3</v>
      </c>
      <c r="L24" s="163">
        <f>Data!DI23</f>
        <v>12</v>
      </c>
      <c r="M24" s="163">
        <f>Data!DJ23</f>
        <v>24</v>
      </c>
      <c r="N24" s="163">
        <f>Data!DK23</f>
        <v>50</v>
      </c>
      <c r="O24" s="163">
        <f>Data!DL23</f>
        <v>64</v>
      </c>
      <c r="P24" s="163">
        <f>Data!DM23</f>
        <v>59</v>
      </c>
      <c r="Q24" s="163">
        <f>Data!DN23</f>
        <v>49</v>
      </c>
      <c r="R24" s="163">
        <f>Data!DO23</f>
        <v>76</v>
      </c>
      <c r="S24" s="163">
        <f>Data!DP23</f>
        <v>90</v>
      </c>
      <c r="T24" s="163">
        <f>Data!DQ23</f>
        <v>68</v>
      </c>
      <c r="U24" s="163">
        <f>Data!DR23</f>
        <v>65</v>
      </c>
      <c r="V24" s="163">
        <f t="shared" si="0"/>
        <v>565</v>
      </c>
      <c r="W24" s="62"/>
    </row>
    <row r="25" spans="1:23" s="27" customFormat="1" ht="12" customHeight="1">
      <c r="A25" s="62"/>
      <c r="B25" s="145" t="str">
        <f>UPPER(LEFT(TRIM(Data!B24),1)) &amp; MID(TRIM(Data!B24),2,50)</f>
        <v>Vulvos</v>
      </c>
      <c r="C25" s="171" t="str">
        <f>Data!C24</f>
        <v>C51</v>
      </c>
      <c r="D25" s="165">
        <f>Data!DA24</f>
        <v>0</v>
      </c>
      <c r="E25" s="165">
        <f>Data!DB24</f>
        <v>0</v>
      </c>
      <c r="F25" s="165">
        <f>Data!DC24</f>
        <v>0</v>
      </c>
      <c r="G25" s="165">
        <f>Data!DD24</f>
        <v>0</v>
      </c>
      <c r="H25" s="165">
        <f>Data!DE24</f>
        <v>0</v>
      </c>
      <c r="I25" s="165">
        <f>Data!DF24</f>
        <v>0</v>
      </c>
      <c r="J25" s="165">
        <f>Data!DG24</f>
        <v>0</v>
      </c>
      <c r="K25" s="165">
        <f>Data!DH24</f>
        <v>0</v>
      </c>
      <c r="L25" s="165">
        <f>Data!DI24</f>
        <v>0</v>
      </c>
      <c r="M25" s="165">
        <f>Data!DJ24</f>
        <v>0</v>
      </c>
      <c r="N25" s="165">
        <f>Data!DK24</f>
        <v>0</v>
      </c>
      <c r="O25" s="165">
        <f>Data!DL24</f>
        <v>0</v>
      </c>
      <c r="P25" s="165">
        <f>Data!DM24</f>
        <v>2</v>
      </c>
      <c r="Q25" s="165">
        <f>Data!DN24</f>
        <v>1</v>
      </c>
      <c r="R25" s="165">
        <f>Data!DO24</f>
        <v>2</v>
      </c>
      <c r="S25" s="165">
        <f>Data!DP24</f>
        <v>7</v>
      </c>
      <c r="T25" s="165">
        <f>Data!DQ24</f>
        <v>9</v>
      </c>
      <c r="U25" s="165">
        <f>Data!DR24</f>
        <v>4</v>
      </c>
      <c r="V25" s="165">
        <f t="shared" si="0"/>
        <v>25</v>
      </c>
      <c r="W25" s="62"/>
    </row>
    <row r="26" spans="1:23" s="27" customFormat="1" ht="12" customHeight="1">
      <c r="A26" s="62"/>
      <c r="B26" s="144" t="str">
        <f>UPPER(LEFT(TRIM(Data!B25),1)) &amp; MID(TRIM(Data!B25),2,50)</f>
        <v>Gimdos kaklelio</v>
      </c>
      <c r="C26" s="144" t="str">
        <f>Data!C25</f>
        <v>C53</v>
      </c>
      <c r="D26" s="163">
        <f>Data!DA25</f>
        <v>0</v>
      </c>
      <c r="E26" s="163">
        <f>Data!DB25</f>
        <v>0</v>
      </c>
      <c r="F26" s="163">
        <f>Data!DC25</f>
        <v>0</v>
      </c>
      <c r="G26" s="163">
        <f>Data!DD25</f>
        <v>0</v>
      </c>
      <c r="H26" s="163">
        <f>Data!DE25</f>
        <v>0</v>
      </c>
      <c r="I26" s="163">
        <f>Data!DF25</f>
        <v>2</v>
      </c>
      <c r="J26" s="163">
        <f>Data!DG25</f>
        <v>4</v>
      </c>
      <c r="K26" s="163">
        <f>Data!DH25</f>
        <v>7</v>
      </c>
      <c r="L26" s="163">
        <f>Data!DI25</f>
        <v>11</v>
      </c>
      <c r="M26" s="163">
        <f>Data!DJ25</f>
        <v>23</v>
      </c>
      <c r="N26" s="163">
        <f>Data!DK25</f>
        <v>17</v>
      </c>
      <c r="O26" s="163">
        <f>Data!DL25</f>
        <v>18</v>
      </c>
      <c r="P26" s="163">
        <f>Data!DM25</f>
        <v>16</v>
      </c>
      <c r="Q26" s="163">
        <f>Data!DN25</f>
        <v>17</v>
      </c>
      <c r="R26" s="163">
        <f>Data!DO25</f>
        <v>20</v>
      </c>
      <c r="S26" s="163">
        <f>Data!DP25</f>
        <v>17</v>
      </c>
      <c r="T26" s="163">
        <f>Data!DQ25</f>
        <v>18</v>
      </c>
      <c r="U26" s="163">
        <f>Data!DR25</f>
        <v>11</v>
      </c>
      <c r="V26" s="163">
        <f t="shared" si="0"/>
        <v>181</v>
      </c>
      <c r="W26" s="62"/>
    </row>
    <row r="27" spans="1:23" s="27" customFormat="1" ht="12" customHeight="1">
      <c r="A27" s="62"/>
      <c r="B27" s="145" t="str">
        <f>UPPER(LEFT(TRIM(Data!B26),1)) &amp; MID(TRIM(Data!B26),2,50)</f>
        <v>Gimdos kūno</v>
      </c>
      <c r="C27" s="171" t="str">
        <f>Data!C26</f>
        <v>C54, C55</v>
      </c>
      <c r="D27" s="165">
        <f>Data!DA26</f>
        <v>0</v>
      </c>
      <c r="E27" s="165">
        <f>Data!DB26</f>
        <v>0</v>
      </c>
      <c r="F27" s="165">
        <f>Data!DC26</f>
        <v>0</v>
      </c>
      <c r="G27" s="165">
        <f>Data!DD26</f>
        <v>0</v>
      </c>
      <c r="H27" s="165">
        <f>Data!DE26</f>
        <v>0</v>
      </c>
      <c r="I27" s="165">
        <f>Data!DF26</f>
        <v>0</v>
      </c>
      <c r="J27" s="165">
        <f>Data!DG26</f>
        <v>0</v>
      </c>
      <c r="K27" s="165">
        <f>Data!DH26</f>
        <v>0</v>
      </c>
      <c r="L27" s="165">
        <f>Data!DI26</f>
        <v>2</v>
      </c>
      <c r="M27" s="165">
        <f>Data!DJ26</f>
        <v>2</v>
      </c>
      <c r="N27" s="165">
        <f>Data!DK26</f>
        <v>7</v>
      </c>
      <c r="O27" s="165">
        <f>Data!DL26</f>
        <v>9</v>
      </c>
      <c r="P27" s="165">
        <f>Data!DM26</f>
        <v>17</v>
      </c>
      <c r="Q27" s="165">
        <f>Data!DN26</f>
        <v>19</v>
      </c>
      <c r="R27" s="165">
        <f>Data!DO26</f>
        <v>34</v>
      </c>
      <c r="S27" s="165">
        <f>Data!DP26</f>
        <v>29</v>
      </c>
      <c r="T27" s="165">
        <f>Data!DQ26</f>
        <v>23</v>
      </c>
      <c r="U27" s="165">
        <f>Data!DR26</f>
        <v>16</v>
      </c>
      <c r="V27" s="165">
        <f t="shared" si="0"/>
        <v>158</v>
      </c>
      <c r="W27" s="62"/>
    </row>
    <row r="28" spans="1:23" s="27" customFormat="1" ht="12" customHeight="1">
      <c r="A28" s="62"/>
      <c r="B28" s="144" t="str">
        <f>UPPER(LEFT(TRIM(Data!B27),1)) &amp; MID(TRIM(Data!B27),2,50)</f>
        <v>Kiaušidžių</v>
      </c>
      <c r="C28" s="144" t="str">
        <f>Data!C27</f>
        <v>C56</v>
      </c>
      <c r="D28" s="163">
        <f>Data!DA27</f>
        <v>0</v>
      </c>
      <c r="E28" s="163">
        <f>Data!DB27</f>
        <v>0</v>
      </c>
      <c r="F28" s="163">
        <f>Data!DC27</f>
        <v>0</v>
      </c>
      <c r="G28" s="163">
        <f>Data!DD27</f>
        <v>0</v>
      </c>
      <c r="H28" s="163">
        <f>Data!DE27</f>
        <v>0</v>
      </c>
      <c r="I28" s="163">
        <f>Data!DF27</f>
        <v>0</v>
      </c>
      <c r="J28" s="163">
        <f>Data!DG27</f>
        <v>2</v>
      </c>
      <c r="K28" s="163">
        <f>Data!DH27</f>
        <v>3</v>
      </c>
      <c r="L28" s="163">
        <f>Data!DI27</f>
        <v>7</v>
      </c>
      <c r="M28" s="163">
        <f>Data!DJ27</f>
        <v>14</v>
      </c>
      <c r="N28" s="163">
        <f>Data!DK27</f>
        <v>23</v>
      </c>
      <c r="O28" s="163">
        <f>Data!DL27</f>
        <v>24</v>
      </c>
      <c r="P28" s="163">
        <f>Data!DM27</f>
        <v>25</v>
      </c>
      <c r="Q28" s="163">
        <f>Data!DN27</f>
        <v>25</v>
      </c>
      <c r="R28" s="163">
        <f>Data!DO27</f>
        <v>38</v>
      </c>
      <c r="S28" s="163">
        <f>Data!DP27</f>
        <v>37</v>
      </c>
      <c r="T28" s="163">
        <f>Data!DQ27</f>
        <v>37</v>
      </c>
      <c r="U28" s="163">
        <f>Data!DR27</f>
        <v>14</v>
      </c>
      <c r="V28" s="163">
        <f t="shared" si="0"/>
        <v>249</v>
      </c>
      <c r="W28" s="62"/>
    </row>
    <row r="29" spans="1:23" s="27" customFormat="1" ht="12" customHeight="1">
      <c r="A29" s="62"/>
      <c r="B29" s="145" t="str">
        <f>UPPER(LEFT(TRIM(Data!B30),1)) &amp; MID(TRIM(Data!B30),2,50)</f>
        <v>Kitų lyties organų</v>
      </c>
      <c r="C29" s="171" t="s">
        <v>417</v>
      </c>
      <c r="D29" s="165">
        <f>Data!DA30</f>
        <v>0</v>
      </c>
      <c r="E29" s="165">
        <f>Data!DB30</f>
        <v>0</v>
      </c>
      <c r="F29" s="165">
        <f>Data!DC30</f>
        <v>0</v>
      </c>
      <c r="G29" s="165">
        <f>Data!DD30</f>
        <v>0</v>
      </c>
      <c r="H29" s="165">
        <f>Data!DE30</f>
        <v>0</v>
      </c>
      <c r="I29" s="165">
        <f>Data!DF30</f>
        <v>0</v>
      </c>
      <c r="J29" s="165">
        <f>Data!DG30</f>
        <v>0</v>
      </c>
      <c r="K29" s="165">
        <f>Data!DH30</f>
        <v>0</v>
      </c>
      <c r="L29" s="165">
        <f>Data!DI30</f>
        <v>0</v>
      </c>
      <c r="M29" s="165">
        <f>Data!DJ30</f>
        <v>0</v>
      </c>
      <c r="N29" s="165">
        <f>Data!DK30</f>
        <v>3</v>
      </c>
      <c r="O29" s="165">
        <f>Data!DL30</f>
        <v>0</v>
      </c>
      <c r="P29" s="165">
        <f>Data!DM30</f>
        <v>0</v>
      </c>
      <c r="Q29" s="165">
        <f>Data!DN30</f>
        <v>0</v>
      </c>
      <c r="R29" s="165">
        <f>Data!DO30</f>
        <v>4</v>
      </c>
      <c r="S29" s="165">
        <f>Data!DP30</f>
        <v>3</v>
      </c>
      <c r="T29" s="165">
        <f>Data!DQ30</f>
        <v>4</v>
      </c>
      <c r="U29" s="165">
        <f>Data!DR30</f>
        <v>2</v>
      </c>
      <c r="V29" s="165">
        <f t="shared" si="0"/>
        <v>16</v>
      </c>
      <c r="W29" s="62"/>
    </row>
    <row r="30" spans="1:23" s="27" customFormat="1" ht="12" customHeight="1">
      <c r="A30" s="62"/>
      <c r="B30" s="144" t="str">
        <f>UPPER(LEFT(TRIM(Data!B31),1)) &amp; MID(TRIM(Data!B31),2,50)</f>
        <v>Inkstų</v>
      </c>
      <c r="C30" s="144" t="str">
        <f>Data!C31</f>
        <v>C64</v>
      </c>
      <c r="D30" s="163">
        <f>Data!DA31</f>
        <v>0</v>
      </c>
      <c r="E30" s="163">
        <f>Data!DB31</f>
        <v>0</v>
      </c>
      <c r="F30" s="163">
        <f>Data!DC31</f>
        <v>0</v>
      </c>
      <c r="G30" s="163">
        <f>Data!DD31</f>
        <v>0</v>
      </c>
      <c r="H30" s="163">
        <f>Data!DE31</f>
        <v>0</v>
      </c>
      <c r="I30" s="163">
        <f>Data!DF31</f>
        <v>0</v>
      </c>
      <c r="J30" s="163">
        <f>Data!DG31</f>
        <v>0</v>
      </c>
      <c r="K30" s="163">
        <f>Data!DH31</f>
        <v>0</v>
      </c>
      <c r="L30" s="163">
        <f>Data!DI31</f>
        <v>0</v>
      </c>
      <c r="M30" s="163">
        <f>Data!DJ31</f>
        <v>2</v>
      </c>
      <c r="N30" s="163">
        <f>Data!DK31</f>
        <v>2</v>
      </c>
      <c r="O30" s="163">
        <f>Data!DL31</f>
        <v>3</v>
      </c>
      <c r="P30" s="163">
        <f>Data!DM31</f>
        <v>11</v>
      </c>
      <c r="Q30" s="163">
        <f>Data!DN31</f>
        <v>11</v>
      </c>
      <c r="R30" s="163">
        <f>Data!DO31</f>
        <v>11</v>
      </c>
      <c r="S30" s="163">
        <f>Data!DP31</f>
        <v>16</v>
      </c>
      <c r="T30" s="163">
        <f>Data!DQ31</f>
        <v>12</v>
      </c>
      <c r="U30" s="163">
        <f>Data!DR31</f>
        <v>17</v>
      </c>
      <c r="V30" s="163">
        <f t="shared" si="0"/>
        <v>85</v>
      </c>
      <c r="W30" s="62"/>
    </row>
    <row r="31" spans="1:23" s="27" customFormat="1" ht="12" customHeight="1">
      <c r="A31" s="62"/>
      <c r="B31" s="145" t="str">
        <f>UPPER(LEFT(TRIM(Data!B32),1)) &amp; MID(TRIM(Data!B32),2,50)</f>
        <v>Šlapimo pūslės</v>
      </c>
      <c r="C31" s="171" t="str">
        <f>Data!C32</f>
        <v>C67</v>
      </c>
      <c r="D31" s="165">
        <f>Data!DA32</f>
        <v>0</v>
      </c>
      <c r="E31" s="165">
        <f>Data!DB32</f>
        <v>0</v>
      </c>
      <c r="F31" s="165">
        <f>Data!DC32</f>
        <v>0</v>
      </c>
      <c r="G31" s="165">
        <f>Data!DD32</f>
        <v>0</v>
      </c>
      <c r="H31" s="165">
        <f>Data!DE32</f>
        <v>0</v>
      </c>
      <c r="I31" s="165">
        <f>Data!DF32</f>
        <v>0</v>
      </c>
      <c r="J31" s="165">
        <f>Data!DG32</f>
        <v>0</v>
      </c>
      <c r="K31" s="165">
        <f>Data!DH32</f>
        <v>0</v>
      </c>
      <c r="L31" s="165">
        <f>Data!DI32</f>
        <v>0</v>
      </c>
      <c r="M31" s="165">
        <f>Data!DJ32</f>
        <v>0</v>
      </c>
      <c r="N31" s="165">
        <f>Data!DK32</f>
        <v>0</v>
      </c>
      <c r="O31" s="165">
        <f>Data!DL32</f>
        <v>2</v>
      </c>
      <c r="P31" s="165">
        <f>Data!DM32</f>
        <v>5</v>
      </c>
      <c r="Q31" s="165">
        <f>Data!DN32</f>
        <v>1</v>
      </c>
      <c r="R31" s="165">
        <f>Data!DO32</f>
        <v>9</v>
      </c>
      <c r="S31" s="165">
        <f>Data!DP32</f>
        <v>19</v>
      </c>
      <c r="T31" s="165">
        <f>Data!DQ32</f>
        <v>10</v>
      </c>
      <c r="U31" s="165">
        <f>Data!DR32</f>
        <v>22</v>
      </c>
      <c r="V31" s="165">
        <f t="shared" si="0"/>
        <v>68</v>
      </c>
      <c r="W31" s="62"/>
    </row>
    <row r="32" spans="1:23" s="27" customFormat="1" ht="12" customHeight="1">
      <c r="A32" s="62"/>
      <c r="B32" s="144" t="str">
        <f>UPPER(LEFT(TRIM(Data!B33),1)) &amp; MID(TRIM(Data!B33),2,50)</f>
        <v>Kitų šlapimą išskiriančių organų</v>
      </c>
      <c r="C32" s="144" t="str">
        <f>Data!C33</f>
        <v>C65, C66, C68</v>
      </c>
      <c r="D32" s="163">
        <f>Data!DA33</f>
        <v>0</v>
      </c>
      <c r="E32" s="163">
        <f>Data!DB33</f>
        <v>0</v>
      </c>
      <c r="F32" s="163">
        <f>Data!DC33</f>
        <v>0</v>
      </c>
      <c r="G32" s="163">
        <f>Data!DD33</f>
        <v>0</v>
      </c>
      <c r="H32" s="163">
        <f>Data!DE33</f>
        <v>0</v>
      </c>
      <c r="I32" s="163">
        <f>Data!DF33</f>
        <v>0</v>
      </c>
      <c r="J32" s="163">
        <f>Data!DG33</f>
        <v>0</v>
      </c>
      <c r="K32" s="163">
        <f>Data!DH33</f>
        <v>0</v>
      </c>
      <c r="L32" s="163">
        <f>Data!DI33</f>
        <v>0</v>
      </c>
      <c r="M32" s="163">
        <f>Data!DJ33</f>
        <v>0</v>
      </c>
      <c r="N32" s="163">
        <f>Data!DK33</f>
        <v>0</v>
      </c>
      <c r="O32" s="163">
        <f>Data!DL33</f>
        <v>0</v>
      </c>
      <c r="P32" s="163">
        <f>Data!DM33</f>
        <v>1</v>
      </c>
      <c r="Q32" s="163">
        <f>Data!DN33</f>
        <v>0</v>
      </c>
      <c r="R32" s="163">
        <f>Data!DO33</f>
        <v>0</v>
      </c>
      <c r="S32" s="163">
        <f>Data!DP33</f>
        <v>2</v>
      </c>
      <c r="T32" s="163">
        <f>Data!DQ33</f>
        <v>0</v>
      </c>
      <c r="U32" s="163">
        <f>Data!DR33</f>
        <v>4</v>
      </c>
      <c r="V32" s="163">
        <f t="shared" si="0"/>
        <v>7</v>
      </c>
      <c r="W32" s="62"/>
    </row>
    <row r="33" spans="1:23" s="27" customFormat="1" ht="12" customHeight="1">
      <c r="A33" s="62"/>
      <c r="B33" s="145" t="str">
        <f>UPPER(LEFT(TRIM(Data!B34),1)) &amp; MID(TRIM(Data!B34),2,50)</f>
        <v>Akių</v>
      </c>
      <c r="C33" s="171" t="str">
        <f>Data!C34</f>
        <v>C69</v>
      </c>
      <c r="D33" s="165">
        <f>Data!DA34</f>
        <v>0</v>
      </c>
      <c r="E33" s="165">
        <f>Data!DB34</f>
        <v>0</v>
      </c>
      <c r="F33" s="165">
        <f>Data!DC34</f>
        <v>0</v>
      </c>
      <c r="G33" s="165">
        <f>Data!DD34</f>
        <v>0</v>
      </c>
      <c r="H33" s="165">
        <f>Data!DE34</f>
        <v>0</v>
      </c>
      <c r="I33" s="165">
        <f>Data!DF34</f>
        <v>0</v>
      </c>
      <c r="J33" s="165">
        <f>Data!DG34</f>
        <v>0</v>
      </c>
      <c r="K33" s="165">
        <f>Data!DH34</f>
        <v>1</v>
      </c>
      <c r="L33" s="165">
        <f>Data!DI34</f>
        <v>1</v>
      </c>
      <c r="M33" s="165">
        <f>Data!DJ34</f>
        <v>0</v>
      </c>
      <c r="N33" s="165">
        <f>Data!DK34</f>
        <v>0</v>
      </c>
      <c r="O33" s="165">
        <f>Data!DL34</f>
        <v>0</v>
      </c>
      <c r="P33" s="165">
        <f>Data!DM34</f>
        <v>1</v>
      </c>
      <c r="Q33" s="165">
        <f>Data!DN34</f>
        <v>0</v>
      </c>
      <c r="R33" s="165">
        <f>Data!DO34</f>
        <v>2</v>
      </c>
      <c r="S33" s="165">
        <f>Data!DP34</f>
        <v>2</v>
      </c>
      <c r="T33" s="165">
        <f>Data!DQ34</f>
        <v>0</v>
      </c>
      <c r="U33" s="165">
        <f>Data!DR34</f>
        <v>1</v>
      </c>
      <c r="V33" s="165">
        <f t="shared" si="0"/>
        <v>8</v>
      </c>
      <c r="W33" s="62"/>
    </row>
    <row r="34" spans="1:23" s="27" customFormat="1" ht="12" customHeight="1">
      <c r="A34" s="62"/>
      <c r="B34" s="144" t="str">
        <f>UPPER(LEFT(TRIM(Data!B35),1)) &amp; MID(TRIM(Data!B35),2,50)</f>
        <v>Smegenų</v>
      </c>
      <c r="C34" s="144" t="str">
        <f>Data!C35</f>
        <v>C70-C72</v>
      </c>
      <c r="D34" s="163">
        <f>Data!DA35</f>
        <v>0</v>
      </c>
      <c r="E34" s="163">
        <f>Data!DB35</f>
        <v>2</v>
      </c>
      <c r="F34" s="163">
        <f>Data!DC35</f>
        <v>1</v>
      </c>
      <c r="G34" s="163">
        <f>Data!DD35</f>
        <v>0</v>
      </c>
      <c r="H34" s="163">
        <f>Data!DE35</f>
        <v>2</v>
      </c>
      <c r="I34" s="163">
        <f>Data!DF35</f>
        <v>2</v>
      </c>
      <c r="J34" s="163">
        <f>Data!DG35</f>
        <v>4</v>
      </c>
      <c r="K34" s="163">
        <f>Data!DH35</f>
        <v>3</v>
      </c>
      <c r="L34" s="163">
        <f>Data!DI35</f>
        <v>8</v>
      </c>
      <c r="M34" s="163">
        <f>Data!DJ35</f>
        <v>7</v>
      </c>
      <c r="N34" s="163">
        <f>Data!DK35</f>
        <v>10</v>
      </c>
      <c r="O34" s="163">
        <f>Data!DL35</f>
        <v>15</v>
      </c>
      <c r="P34" s="163">
        <f>Data!DM35</f>
        <v>13</v>
      </c>
      <c r="Q34" s="163">
        <f>Data!DN35</f>
        <v>14</v>
      </c>
      <c r="R34" s="163">
        <f>Data!DO35</f>
        <v>22</v>
      </c>
      <c r="S34" s="163">
        <f>Data!DP35</f>
        <v>11</v>
      </c>
      <c r="T34" s="163">
        <f>Data!DQ35</f>
        <v>15</v>
      </c>
      <c r="U34" s="163">
        <f>Data!DR35</f>
        <v>13</v>
      </c>
      <c r="V34" s="163">
        <f t="shared" si="0"/>
        <v>142</v>
      </c>
      <c r="W34" s="62"/>
    </row>
    <row r="35" spans="1:23" s="27" customFormat="1" ht="12" customHeight="1">
      <c r="A35" s="62"/>
      <c r="B35" s="145" t="str">
        <f>UPPER(LEFT(TRIM(Data!B36),1)) &amp; MID(TRIM(Data!B36),2,50)</f>
        <v>Skydliaukės</v>
      </c>
      <c r="C35" s="171" t="str">
        <f>Data!C36</f>
        <v>C73</v>
      </c>
      <c r="D35" s="165">
        <f>Data!DA36</f>
        <v>0</v>
      </c>
      <c r="E35" s="165">
        <f>Data!DB36</f>
        <v>0</v>
      </c>
      <c r="F35" s="165">
        <f>Data!DC36</f>
        <v>0</v>
      </c>
      <c r="G35" s="165">
        <f>Data!DD36</f>
        <v>0</v>
      </c>
      <c r="H35" s="165">
        <f>Data!DE36</f>
        <v>0</v>
      </c>
      <c r="I35" s="165">
        <f>Data!DF36</f>
        <v>0</v>
      </c>
      <c r="J35" s="165">
        <f>Data!DG36</f>
        <v>0</v>
      </c>
      <c r="K35" s="165">
        <f>Data!DH36</f>
        <v>0</v>
      </c>
      <c r="L35" s="165">
        <f>Data!DI36</f>
        <v>0</v>
      </c>
      <c r="M35" s="165">
        <f>Data!DJ36</f>
        <v>0</v>
      </c>
      <c r="N35" s="165">
        <f>Data!DK36</f>
        <v>1</v>
      </c>
      <c r="O35" s="165">
        <f>Data!DL36</f>
        <v>0</v>
      </c>
      <c r="P35" s="165">
        <f>Data!DM36</f>
        <v>1</v>
      </c>
      <c r="Q35" s="165">
        <f>Data!DN36</f>
        <v>0</v>
      </c>
      <c r="R35" s="165">
        <f>Data!DO36</f>
        <v>4</v>
      </c>
      <c r="S35" s="165">
        <f>Data!DP36</f>
        <v>5</v>
      </c>
      <c r="T35" s="165">
        <f>Data!DQ36</f>
        <v>1</v>
      </c>
      <c r="U35" s="165">
        <f>Data!DR36</f>
        <v>3</v>
      </c>
      <c r="V35" s="165">
        <f t="shared" si="0"/>
        <v>15</v>
      </c>
      <c r="W35" s="62"/>
    </row>
    <row r="36" spans="1:23" s="27" customFormat="1" ht="12" customHeight="1">
      <c r="A36" s="62"/>
      <c r="B36" s="144" t="str">
        <f>UPPER(LEFT(TRIM(Data!B37),1)) &amp; MID(TRIM(Data!B37),2,50)</f>
        <v>Kitų endokrininių liaukų</v>
      </c>
      <c r="C36" s="144" t="str">
        <f>Data!C37</f>
        <v>C74-C75</v>
      </c>
      <c r="D36" s="163">
        <f>Data!DA37</f>
        <v>0</v>
      </c>
      <c r="E36" s="163">
        <f>Data!DB37</f>
        <v>0</v>
      </c>
      <c r="F36" s="163">
        <f>Data!DC37</f>
        <v>0</v>
      </c>
      <c r="G36" s="163">
        <f>Data!DD37</f>
        <v>1</v>
      </c>
      <c r="H36" s="163">
        <f>Data!DE37</f>
        <v>0</v>
      </c>
      <c r="I36" s="163">
        <f>Data!DF37</f>
        <v>0</v>
      </c>
      <c r="J36" s="163">
        <f>Data!DG37</f>
        <v>0</v>
      </c>
      <c r="K36" s="163">
        <f>Data!DH37</f>
        <v>0</v>
      </c>
      <c r="L36" s="163">
        <f>Data!DI37</f>
        <v>0</v>
      </c>
      <c r="M36" s="163">
        <f>Data!DJ37</f>
        <v>0</v>
      </c>
      <c r="N36" s="163">
        <f>Data!DK37</f>
        <v>0</v>
      </c>
      <c r="O36" s="163">
        <f>Data!DL37</f>
        <v>0</v>
      </c>
      <c r="P36" s="163">
        <f>Data!DM37</f>
        <v>0</v>
      </c>
      <c r="Q36" s="163">
        <f>Data!DN37</f>
        <v>0</v>
      </c>
      <c r="R36" s="163">
        <f>Data!DO37</f>
        <v>2</v>
      </c>
      <c r="S36" s="163">
        <f>Data!DP37</f>
        <v>1</v>
      </c>
      <c r="T36" s="163">
        <f>Data!DQ37</f>
        <v>0</v>
      </c>
      <c r="U36" s="163">
        <f>Data!DR37</f>
        <v>1</v>
      </c>
      <c r="V36" s="163">
        <f t="shared" si="0"/>
        <v>5</v>
      </c>
      <c r="W36" s="62"/>
    </row>
    <row r="37" spans="1:23" s="27" customFormat="1" ht="12" customHeight="1">
      <c r="A37" s="62"/>
      <c r="B37" s="145" t="str">
        <f>UPPER(LEFT(TRIM(Data!B38),1)) &amp; MID(TRIM(Data!B38),2,50)</f>
        <v>Nepatikslintos lokalizacijos</v>
      </c>
      <c r="C37" s="171" t="str">
        <f>Data!C38</f>
        <v>C76-C80</v>
      </c>
      <c r="D37" s="165">
        <f>Data!DA38</f>
        <v>0</v>
      </c>
      <c r="E37" s="165">
        <f>Data!DB38</f>
        <v>0</v>
      </c>
      <c r="F37" s="165">
        <f>Data!DC38</f>
        <v>0</v>
      </c>
      <c r="G37" s="165">
        <f>Data!DD38</f>
        <v>0</v>
      </c>
      <c r="H37" s="165">
        <f>Data!DE38</f>
        <v>0</v>
      </c>
      <c r="I37" s="165">
        <f>Data!DF38</f>
        <v>1</v>
      </c>
      <c r="J37" s="165">
        <f>Data!DG38</f>
        <v>0</v>
      </c>
      <c r="K37" s="165">
        <f>Data!DH38</f>
        <v>2</v>
      </c>
      <c r="L37" s="165">
        <f>Data!DI38</f>
        <v>3</v>
      </c>
      <c r="M37" s="165">
        <f>Data!DJ38</f>
        <v>3</v>
      </c>
      <c r="N37" s="165">
        <f>Data!DK38</f>
        <v>7</v>
      </c>
      <c r="O37" s="165">
        <f>Data!DL38</f>
        <v>7</v>
      </c>
      <c r="P37" s="165">
        <f>Data!DM38</f>
        <v>17</v>
      </c>
      <c r="Q37" s="165">
        <f>Data!DN38</f>
        <v>22</v>
      </c>
      <c r="R37" s="165">
        <f>Data!DO38</f>
        <v>28</v>
      </c>
      <c r="S37" s="165">
        <f>Data!DP38</f>
        <v>33</v>
      </c>
      <c r="T37" s="165">
        <f>Data!DQ38</f>
        <v>36</v>
      </c>
      <c r="U37" s="165">
        <f>Data!DR38</f>
        <v>35</v>
      </c>
      <c r="V37" s="165">
        <f t="shared" si="0"/>
        <v>194</v>
      </c>
      <c r="W37" s="62"/>
    </row>
    <row r="38" spans="1:23" s="27" customFormat="1" ht="12" customHeight="1">
      <c r="A38" s="62"/>
      <c r="B38" s="144" t="str">
        <f>UPPER(LEFT(TRIM(Data!B39),1)) &amp; MID(TRIM(Data!B39),2,50)</f>
        <v>Hodžkino limfomos</v>
      </c>
      <c r="C38" s="144" t="str">
        <f>Data!C39</f>
        <v>C81</v>
      </c>
      <c r="D38" s="163">
        <f>Data!DA39</f>
        <v>0</v>
      </c>
      <c r="E38" s="163">
        <f>Data!DB39</f>
        <v>0</v>
      </c>
      <c r="F38" s="163">
        <f>Data!DC39</f>
        <v>0</v>
      </c>
      <c r="G38" s="163">
        <f>Data!DD39</f>
        <v>0</v>
      </c>
      <c r="H38" s="163">
        <f>Data!DE39</f>
        <v>0</v>
      </c>
      <c r="I38" s="163">
        <f>Data!DF39</f>
        <v>0</v>
      </c>
      <c r="J38" s="163">
        <f>Data!DG39</f>
        <v>0</v>
      </c>
      <c r="K38" s="163">
        <f>Data!DH39</f>
        <v>0</v>
      </c>
      <c r="L38" s="163">
        <f>Data!DI39</f>
        <v>0</v>
      </c>
      <c r="M38" s="163">
        <f>Data!DJ39</f>
        <v>0</v>
      </c>
      <c r="N38" s="163">
        <f>Data!DK39</f>
        <v>1</v>
      </c>
      <c r="O38" s="163">
        <f>Data!DL39</f>
        <v>0</v>
      </c>
      <c r="P38" s="163">
        <f>Data!DM39</f>
        <v>0</v>
      </c>
      <c r="Q38" s="163">
        <f>Data!DN39</f>
        <v>0</v>
      </c>
      <c r="R38" s="163">
        <f>Data!DO39</f>
        <v>0</v>
      </c>
      <c r="S38" s="163">
        <f>Data!DP39</f>
        <v>0</v>
      </c>
      <c r="T38" s="163">
        <f>Data!DQ39</f>
        <v>0</v>
      </c>
      <c r="U38" s="163">
        <f>Data!DR39</f>
        <v>0</v>
      </c>
      <c r="V38" s="163">
        <f t="shared" si="0"/>
        <v>1</v>
      </c>
      <c r="W38" s="62"/>
    </row>
    <row r="39" spans="1:23" s="27" customFormat="1" ht="12" customHeight="1">
      <c r="A39" s="62"/>
      <c r="B39" s="145" t="str">
        <f>UPPER(LEFT(TRIM(Data!B40),1)) &amp; MID(TRIM(Data!B40),2,50)</f>
        <v>Ne Hodžkino limfomos</v>
      </c>
      <c r="C39" s="171" t="str">
        <f>Data!C40</f>
        <v>C82-C85</v>
      </c>
      <c r="D39" s="165">
        <f>Data!DA40</f>
        <v>0</v>
      </c>
      <c r="E39" s="165">
        <f>Data!DB40</f>
        <v>0</v>
      </c>
      <c r="F39" s="165">
        <f>Data!DC40</f>
        <v>0</v>
      </c>
      <c r="G39" s="165">
        <f>Data!DD40</f>
        <v>0</v>
      </c>
      <c r="H39" s="165">
        <f>Data!DE40</f>
        <v>0</v>
      </c>
      <c r="I39" s="165">
        <f>Data!DF40</f>
        <v>1</v>
      </c>
      <c r="J39" s="165">
        <f>Data!DG40</f>
        <v>0</v>
      </c>
      <c r="K39" s="165">
        <f>Data!DH40</f>
        <v>0</v>
      </c>
      <c r="L39" s="165">
        <f>Data!DI40</f>
        <v>1</v>
      </c>
      <c r="M39" s="165">
        <f>Data!DJ40</f>
        <v>2</v>
      </c>
      <c r="N39" s="165">
        <f>Data!DK40</f>
        <v>1</v>
      </c>
      <c r="O39" s="165">
        <f>Data!DL40</f>
        <v>2</v>
      </c>
      <c r="P39" s="165">
        <f>Data!DM40</f>
        <v>8</v>
      </c>
      <c r="Q39" s="165">
        <f>Data!DN40</f>
        <v>7</v>
      </c>
      <c r="R39" s="165">
        <f>Data!DO40</f>
        <v>13</v>
      </c>
      <c r="S39" s="165">
        <f>Data!DP40</f>
        <v>19</v>
      </c>
      <c r="T39" s="165">
        <f>Data!DQ40</f>
        <v>15</v>
      </c>
      <c r="U39" s="165">
        <f>Data!DR40</f>
        <v>11</v>
      </c>
      <c r="V39" s="165">
        <f t="shared" si="0"/>
        <v>80</v>
      </c>
      <c r="W39" s="62"/>
    </row>
    <row r="40" spans="1:23" s="27" customFormat="1" ht="12" customHeight="1">
      <c r="A40" s="62"/>
      <c r="B40" s="144" t="str">
        <f>UPPER(LEFT(TRIM(Data!B41),1)) &amp; MID(TRIM(Data!B41),2,50)</f>
        <v>Mielominės ligos</v>
      </c>
      <c r="C40" s="144" t="str">
        <f>Data!C41</f>
        <v>C90</v>
      </c>
      <c r="D40" s="163">
        <f>Data!DA41</f>
        <v>0</v>
      </c>
      <c r="E40" s="163">
        <f>Data!DB41</f>
        <v>0</v>
      </c>
      <c r="F40" s="163">
        <f>Data!DC41</f>
        <v>0</v>
      </c>
      <c r="G40" s="163">
        <f>Data!DD41</f>
        <v>0</v>
      </c>
      <c r="H40" s="163">
        <f>Data!DE41</f>
        <v>0</v>
      </c>
      <c r="I40" s="163">
        <f>Data!DF41</f>
        <v>0</v>
      </c>
      <c r="J40" s="163">
        <f>Data!DG41</f>
        <v>0</v>
      </c>
      <c r="K40" s="163">
        <f>Data!DH41</f>
        <v>0</v>
      </c>
      <c r="L40" s="163">
        <f>Data!DI41</f>
        <v>0</v>
      </c>
      <c r="M40" s="163">
        <f>Data!DJ41</f>
        <v>0</v>
      </c>
      <c r="N40" s="163">
        <f>Data!DK41</f>
        <v>0</v>
      </c>
      <c r="O40" s="163">
        <f>Data!DL41</f>
        <v>0</v>
      </c>
      <c r="P40" s="163">
        <f>Data!DM41</f>
        <v>2</v>
      </c>
      <c r="Q40" s="163">
        <f>Data!DN41</f>
        <v>11</v>
      </c>
      <c r="R40" s="163">
        <f>Data!DO41</f>
        <v>12</v>
      </c>
      <c r="S40" s="163">
        <f>Data!DP41</f>
        <v>10</v>
      </c>
      <c r="T40" s="163">
        <f>Data!DQ41</f>
        <v>9</v>
      </c>
      <c r="U40" s="163">
        <f>Data!DR41</f>
        <v>10</v>
      </c>
      <c r="V40" s="163">
        <f t="shared" si="0"/>
        <v>54</v>
      </c>
      <c r="W40" s="62"/>
    </row>
    <row r="41" spans="1:23" s="27" customFormat="1" ht="12" customHeight="1">
      <c r="A41" s="62"/>
      <c r="B41" s="145" t="str">
        <f>UPPER(LEFT(TRIM(Data!B42),1)) &amp; MID(TRIM(Data!B42),2,50)</f>
        <v>Leukemijos</v>
      </c>
      <c r="C41" s="171" t="str">
        <f>Data!C42</f>
        <v>C91-C95</v>
      </c>
      <c r="D41" s="165">
        <f>Data!DA42</f>
        <v>0</v>
      </c>
      <c r="E41" s="165">
        <f>Data!DB42</f>
        <v>0</v>
      </c>
      <c r="F41" s="165">
        <f>Data!DC42</f>
        <v>0</v>
      </c>
      <c r="G41" s="165">
        <f>Data!DD42</f>
        <v>1</v>
      </c>
      <c r="H41" s="165">
        <f>Data!DE42</f>
        <v>0</v>
      </c>
      <c r="I41" s="165">
        <f>Data!DF42</f>
        <v>0</v>
      </c>
      <c r="J41" s="165">
        <f>Data!DG42</f>
        <v>1</v>
      </c>
      <c r="K41" s="165">
        <f>Data!DH42</f>
        <v>1</v>
      </c>
      <c r="L41" s="165">
        <f>Data!DI42</f>
        <v>6</v>
      </c>
      <c r="M41" s="165">
        <f>Data!DJ42</f>
        <v>4</v>
      </c>
      <c r="N41" s="165">
        <f>Data!DK42</f>
        <v>5</v>
      </c>
      <c r="O41" s="165">
        <f>Data!DL42</f>
        <v>5</v>
      </c>
      <c r="P41" s="165">
        <f>Data!DM42</f>
        <v>10</v>
      </c>
      <c r="Q41" s="165">
        <f>Data!DN42</f>
        <v>8</v>
      </c>
      <c r="R41" s="165">
        <f>Data!DO42</f>
        <v>23</v>
      </c>
      <c r="S41" s="165">
        <f>Data!DP42</f>
        <v>32</v>
      </c>
      <c r="T41" s="165">
        <f>Data!DQ42</f>
        <v>19</v>
      </c>
      <c r="U41" s="165">
        <f>Data!DR42</f>
        <v>19</v>
      </c>
      <c r="V41" s="165">
        <f t="shared" si="0"/>
        <v>134</v>
      </c>
      <c r="W41" s="62"/>
    </row>
    <row r="42" spans="1:23" s="27" customFormat="1" ht="12" customHeight="1">
      <c r="A42" s="62"/>
      <c r="B42" s="144" t="str">
        <f>UPPER(LEFT(TRIM(Data!B43),1)) &amp; MID(TRIM(Data!B43),2,50)</f>
        <v>Kiti limfinio, kraujodaros audinių</v>
      </c>
      <c r="C42" s="144" t="str">
        <f>Data!C43</f>
        <v>C88, C96</v>
      </c>
      <c r="D42" s="163">
        <f>Data!DA43</f>
        <v>0</v>
      </c>
      <c r="E42" s="163">
        <f>Data!DB43</f>
        <v>0</v>
      </c>
      <c r="F42" s="163">
        <f>Data!DC43</f>
        <v>0</v>
      </c>
      <c r="G42" s="163">
        <f>Data!DD43</f>
        <v>0</v>
      </c>
      <c r="H42" s="163">
        <f>Data!DE43</f>
        <v>0</v>
      </c>
      <c r="I42" s="163">
        <f>Data!DF43</f>
        <v>0</v>
      </c>
      <c r="J42" s="163">
        <f>Data!DG43</f>
        <v>0</v>
      </c>
      <c r="K42" s="163">
        <f>Data!DH43</f>
        <v>0</v>
      </c>
      <c r="L42" s="163">
        <f>Data!DI43</f>
        <v>0</v>
      </c>
      <c r="M42" s="163">
        <f>Data!DJ43</f>
        <v>0</v>
      </c>
      <c r="N42" s="163">
        <f>Data!DK43</f>
        <v>0</v>
      </c>
      <c r="O42" s="163">
        <f>Data!DL43</f>
        <v>0</v>
      </c>
      <c r="P42" s="163">
        <f>Data!DM43</f>
        <v>0</v>
      </c>
      <c r="Q42" s="163">
        <f>Data!DN43</f>
        <v>1</v>
      </c>
      <c r="R42" s="163">
        <f>Data!DO43</f>
        <v>0</v>
      </c>
      <c r="S42" s="163">
        <f>Data!DP43</f>
        <v>1</v>
      </c>
      <c r="T42" s="163">
        <f>Data!DQ43</f>
        <v>0</v>
      </c>
      <c r="U42" s="163">
        <f>Data!DR43</f>
        <v>0</v>
      </c>
      <c r="V42" s="163">
        <f t="shared" si="0"/>
        <v>2</v>
      </c>
      <c r="W42" s="62"/>
    </row>
    <row r="43" spans="1:23" s="27" customFormat="1" ht="11.25" customHeight="1">
      <c r="A43" s="62"/>
      <c r="B43" s="104"/>
      <c r="C43" s="114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62"/>
    </row>
    <row r="44" spans="1:23" s="27" customFormat="1" ht="11.25" customHeight="1">
      <c r="A44" s="62"/>
      <c r="B44" s="91" t="str">
        <f>UPPER(LEFT(TRIM(Data!B44),1)) &amp; MID(TRIM(Data!B44),2,50)</f>
        <v>Melanoma in situ</v>
      </c>
      <c r="C44" s="91" t="str">
        <f>Data!C44</f>
        <v>D03</v>
      </c>
      <c r="D44" s="108">
        <f>Data!DA44</f>
        <v>0</v>
      </c>
      <c r="E44" s="108">
        <f>Data!DB44</f>
        <v>0</v>
      </c>
      <c r="F44" s="108">
        <f>Data!DC44</f>
        <v>0</v>
      </c>
      <c r="G44" s="108">
        <f>Data!DD44</f>
        <v>0</v>
      </c>
      <c r="H44" s="108">
        <f>Data!DE44</f>
        <v>0</v>
      </c>
      <c r="I44" s="108">
        <f>Data!DF44</f>
        <v>0</v>
      </c>
      <c r="J44" s="108">
        <f>Data!DG44</f>
        <v>0</v>
      </c>
      <c r="K44" s="108">
        <f>Data!DH44</f>
        <v>0</v>
      </c>
      <c r="L44" s="108">
        <f>Data!DI44</f>
        <v>0</v>
      </c>
      <c r="M44" s="108">
        <f>Data!DJ44</f>
        <v>0</v>
      </c>
      <c r="N44" s="108">
        <f>Data!DK44</f>
        <v>0</v>
      </c>
      <c r="O44" s="108">
        <f>Data!DL44</f>
        <v>0</v>
      </c>
      <c r="P44" s="108">
        <f>Data!DM44</f>
        <v>0</v>
      </c>
      <c r="Q44" s="108">
        <f>Data!DN44</f>
        <v>0</v>
      </c>
      <c r="R44" s="108">
        <f>Data!DO44</f>
        <v>0</v>
      </c>
      <c r="S44" s="108">
        <f>Data!DP44</f>
        <v>0</v>
      </c>
      <c r="T44" s="108">
        <f>Data!DQ44</f>
        <v>0</v>
      </c>
      <c r="U44" s="108">
        <f>Data!DR44</f>
        <v>0</v>
      </c>
      <c r="V44" s="108">
        <f t="shared" si="0"/>
        <v>0</v>
      </c>
      <c r="W44" s="62"/>
    </row>
    <row r="45" spans="1:23" s="27" customFormat="1" ht="11.25" customHeight="1">
      <c r="A45" s="62"/>
      <c r="B45" s="98" t="str">
        <f>UPPER(LEFT(TRIM(Data!B45),1)) &amp; MID(TRIM(Data!B45),2,50)</f>
        <v>Krūties navikai in situ</v>
      </c>
      <c r="C45" s="118" t="str">
        <f>Data!C45</f>
        <v>D05</v>
      </c>
      <c r="D45" s="119">
        <f>Data!DA45</f>
        <v>0</v>
      </c>
      <c r="E45" s="119">
        <f>Data!DB45</f>
        <v>0</v>
      </c>
      <c r="F45" s="119">
        <f>Data!DC45</f>
        <v>0</v>
      </c>
      <c r="G45" s="119">
        <f>Data!DD45</f>
        <v>0</v>
      </c>
      <c r="H45" s="119">
        <f>Data!DE45</f>
        <v>0</v>
      </c>
      <c r="I45" s="119">
        <f>Data!DF45</f>
        <v>0</v>
      </c>
      <c r="J45" s="119">
        <f>Data!DG45</f>
        <v>0</v>
      </c>
      <c r="K45" s="119">
        <f>Data!DH45</f>
        <v>0</v>
      </c>
      <c r="L45" s="119">
        <f>Data!DI45</f>
        <v>0</v>
      </c>
      <c r="M45" s="119">
        <f>Data!DJ45</f>
        <v>0</v>
      </c>
      <c r="N45" s="119">
        <f>Data!DK45</f>
        <v>0</v>
      </c>
      <c r="O45" s="119">
        <f>Data!DL45</f>
        <v>0</v>
      </c>
      <c r="P45" s="119">
        <f>Data!DM45</f>
        <v>0</v>
      </c>
      <c r="Q45" s="119">
        <f>Data!DN45</f>
        <v>0</v>
      </c>
      <c r="R45" s="119">
        <f>Data!DO45</f>
        <v>0</v>
      </c>
      <c r="S45" s="119">
        <f>Data!DP45</f>
        <v>0</v>
      </c>
      <c r="T45" s="119">
        <f>Data!DQ45</f>
        <v>0</v>
      </c>
      <c r="U45" s="119">
        <f>Data!DR45</f>
        <v>0</v>
      </c>
      <c r="V45" s="119">
        <f t="shared" si="0"/>
        <v>0</v>
      </c>
      <c r="W45" s="62"/>
    </row>
    <row r="46" spans="1:23" s="27" customFormat="1" ht="11.25" customHeight="1">
      <c r="A46" s="62"/>
      <c r="B46" s="97" t="str">
        <f>UPPER(LEFT(TRIM(Data!B46),1)) &amp; MID(TRIM(Data!B46),2,50)</f>
        <v>Gimdos kaklelio in situ</v>
      </c>
      <c r="C46" s="97" t="str">
        <f>Data!C46</f>
        <v>D06</v>
      </c>
      <c r="D46" s="116">
        <f>Data!DA46</f>
        <v>0</v>
      </c>
      <c r="E46" s="116">
        <f>Data!DB46</f>
        <v>0</v>
      </c>
      <c r="F46" s="116">
        <f>Data!DC46</f>
        <v>0</v>
      </c>
      <c r="G46" s="116">
        <f>Data!DD46</f>
        <v>0</v>
      </c>
      <c r="H46" s="116">
        <f>Data!DE46</f>
        <v>0</v>
      </c>
      <c r="I46" s="116">
        <f>Data!DF46</f>
        <v>0</v>
      </c>
      <c r="J46" s="116">
        <f>Data!DG46</f>
        <v>0</v>
      </c>
      <c r="K46" s="116">
        <f>Data!DH46</f>
        <v>0</v>
      </c>
      <c r="L46" s="116">
        <f>Data!DI46</f>
        <v>0</v>
      </c>
      <c r="M46" s="116">
        <f>Data!DJ46</f>
        <v>0</v>
      </c>
      <c r="N46" s="116">
        <f>Data!DK46</f>
        <v>0</v>
      </c>
      <c r="O46" s="116">
        <f>Data!DL46</f>
        <v>0</v>
      </c>
      <c r="P46" s="116">
        <f>Data!DM46</f>
        <v>0</v>
      </c>
      <c r="Q46" s="116">
        <f>Data!DN46</f>
        <v>0</v>
      </c>
      <c r="R46" s="116">
        <f>Data!DO46</f>
        <v>0</v>
      </c>
      <c r="S46" s="116">
        <f>Data!DP46</f>
        <v>0</v>
      </c>
      <c r="T46" s="116">
        <f>Data!DQ46</f>
        <v>0</v>
      </c>
      <c r="U46" s="116">
        <f>Data!DR46</f>
        <v>0</v>
      </c>
      <c r="V46" s="116">
        <f t="shared" si="0"/>
        <v>0</v>
      </c>
      <c r="W46" s="62"/>
    </row>
    <row r="47" spans="1:23" s="27" customFormat="1" ht="11.25" customHeight="1">
      <c r="A47" s="62"/>
      <c r="B47" s="98" t="str">
        <f>UPPER(LEFT(TRIM(Data!B47),1)) &amp; MID(TRIM(Data!B47),2,50)</f>
        <v>Šlapimo pūslės in situ</v>
      </c>
      <c r="C47" s="118" t="str">
        <f>Data!C47</f>
        <v>D09.0</v>
      </c>
      <c r="D47" s="119">
        <f>Data!DA47</f>
        <v>0</v>
      </c>
      <c r="E47" s="119">
        <f>Data!DB47</f>
        <v>0</v>
      </c>
      <c r="F47" s="119">
        <f>Data!DC47</f>
        <v>0</v>
      </c>
      <c r="G47" s="119">
        <f>Data!DD47</f>
        <v>0</v>
      </c>
      <c r="H47" s="119">
        <f>Data!DE47</f>
        <v>0</v>
      </c>
      <c r="I47" s="119">
        <f>Data!DF47</f>
        <v>0</v>
      </c>
      <c r="J47" s="119">
        <f>Data!DG47</f>
        <v>0</v>
      </c>
      <c r="K47" s="119">
        <f>Data!DH47</f>
        <v>0</v>
      </c>
      <c r="L47" s="119">
        <f>Data!DI47</f>
        <v>0</v>
      </c>
      <c r="M47" s="119">
        <f>Data!DJ47</f>
        <v>0</v>
      </c>
      <c r="N47" s="119">
        <f>Data!DK47</f>
        <v>0</v>
      </c>
      <c r="O47" s="119">
        <f>Data!DL47</f>
        <v>0</v>
      </c>
      <c r="P47" s="119">
        <f>Data!DM47</f>
        <v>0</v>
      </c>
      <c r="Q47" s="119">
        <f>Data!DN47</f>
        <v>0</v>
      </c>
      <c r="R47" s="119">
        <f>Data!DO47</f>
        <v>0</v>
      </c>
      <c r="S47" s="119">
        <f>Data!DP47</f>
        <v>0</v>
      </c>
      <c r="T47" s="119">
        <f>Data!DQ47</f>
        <v>0</v>
      </c>
      <c r="U47" s="119">
        <f>Data!DR47</f>
        <v>0</v>
      </c>
      <c r="V47" s="119">
        <f t="shared" si="0"/>
        <v>0</v>
      </c>
      <c r="W47" s="62"/>
    </row>
    <row r="48" spans="1:23" s="27" customFormat="1" ht="11.25" customHeight="1">
      <c r="A48" s="62"/>
      <c r="B48" s="97" t="str">
        <f>UPPER(LEFT(TRIM(Data!B48),1)) &amp; MID(TRIM(Data!B48),2,50)</f>
        <v>Nervų sistemos gerybiniai navikai</v>
      </c>
      <c r="C48" s="97" t="str">
        <f>Data!C48</f>
        <v>D32, D33</v>
      </c>
      <c r="D48" s="116">
        <f>Data!DA48</f>
        <v>0</v>
      </c>
      <c r="E48" s="116">
        <f>Data!DB48</f>
        <v>0</v>
      </c>
      <c r="F48" s="116">
        <f>Data!DC48</f>
        <v>0</v>
      </c>
      <c r="G48" s="116">
        <f>Data!DD48</f>
        <v>0</v>
      </c>
      <c r="H48" s="116">
        <f>Data!DE48</f>
        <v>0</v>
      </c>
      <c r="I48" s="116">
        <f>Data!DF48</f>
        <v>0</v>
      </c>
      <c r="J48" s="116">
        <f>Data!DG48</f>
        <v>1</v>
      </c>
      <c r="K48" s="116">
        <f>Data!DH48</f>
        <v>0</v>
      </c>
      <c r="L48" s="116">
        <f>Data!DI48</f>
        <v>0</v>
      </c>
      <c r="M48" s="116">
        <f>Data!DJ48</f>
        <v>0</v>
      </c>
      <c r="N48" s="116">
        <f>Data!DK48</f>
        <v>0</v>
      </c>
      <c r="O48" s="116">
        <f>Data!DL48</f>
        <v>0</v>
      </c>
      <c r="P48" s="116">
        <f>Data!DM48</f>
        <v>1</v>
      </c>
      <c r="Q48" s="116">
        <f>Data!DN48</f>
        <v>3</v>
      </c>
      <c r="R48" s="116">
        <f>Data!DO48</f>
        <v>1</v>
      </c>
      <c r="S48" s="116">
        <f>Data!DP48</f>
        <v>5</v>
      </c>
      <c r="T48" s="116">
        <f>Data!DQ48</f>
        <v>4</v>
      </c>
      <c r="U48" s="116">
        <f>Data!DR48</f>
        <v>1</v>
      </c>
      <c r="V48" s="116">
        <f t="shared" si="0"/>
        <v>16</v>
      </c>
      <c r="W48" s="62"/>
    </row>
    <row r="49" spans="1:23" s="27" customFormat="1" ht="11.25" customHeight="1">
      <c r="A49" s="62"/>
      <c r="B49" s="98" t="str">
        <f>UPPER(LEFT(TRIM(Data!B49),1)) &amp; MID(TRIM(Data!B49),2,50)</f>
        <v>Kiaušidžių</v>
      </c>
      <c r="C49" s="118" t="str">
        <f>Data!C49</f>
        <v>D39.1</v>
      </c>
      <c r="D49" s="119">
        <f>Data!DA49</f>
        <v>0</v>
      </c>
      <c r="E49" s="119">
        <f>Data!DB49</f>
        <v>0</v>
      </c>
      <c r="F49" s="119">
        <f>Data!DC49</f>
        <v>0</v>
      </c>
      <c r="G49" s="119">
        <f>Data!DD49</f>
        <v>0</v>
      </c>
      <c r="H49" s="119">
        <f>Data!DE49</f>
        <v>0</v>
      </c>
      <c r="I49" s="119">
        <f>Data!DF49</f>
        <v>0</v>
      </c>
      <c r="J49" s="119">
        <f>Data!DG49</f>
        <v>0</v>
      </c>
      <c r="K49" s="119">
        <f>Data!DH49</f>
        <v>0</v>
      </c>
      <c r="L49" s="119">
        <f>Data!DI49</f>
        <v>0</v>
      </c>
      <c r="M49" s="119">
        <f>Data!DJ49</f>
        <v>0</v>
      </c>
      <c r="N49" s="119">
        <f>Data!DK49</f>
        <v>0</v>
      </c>
      <c r="O49" s="119">
        <f>Data!DL49</f>
        <v>0</v>
      </c>
      <c r="P49" s="119">
        <f>Data!DM49</f>
        <v>0</v>
      </c>
      <c r="Q49" s="119">
        <f>Data!DN49</f>
        <v>0</v>
      </c>
      <c r="R49" s="119">
        <f>Data!DO49</f>
        <v>0</v>
      </c>
      <c r="S49" s="119">
        <f>Data!DP49</f>
        <v>0</v>
      </c>
      <c r="T49" s="119">
        <f>Data!DQ49</f>
        <v>1</v>
      </c>
      <c r="U49" s="119">
        <f>Data!DR49</f>
        <v>0</v>
      </c>
      <c r="V49" s="119">
        <f t="shared" si="0"/>
        <v>1</v>
      </c>
      <c r="W49" s="62"/>
    </row>
    <row r="50" spans="1:23" s="27" customFormat="1" ht="11.25" customHeight="1">
      <c r="A50" s="62"/>
      <c r="B50" s="97" t="str">
        <f>UPPER(LEFT(TRIM(Data!B50),1)) &amp; MID(TRIM(Data!B50),2,50)</f>
        <v>Kiti nervų sistemos</v>
      </c>
      <c r="C50" s="97" t="str">
        <f>Data!C50</f>
        <v>D42, D43</v>
      </c>
      <c r="D50" s="116">
        <f>Data!DA50</f>
        <v>0</v>
      </c>
      <c r="E50" s="116">
        <f>Data!DB50</f>
        <v>0</v>
      </c>
      <c r="F50" s="116">
        <f>Data!DC50</f>
        <v>0</v>
      </c>
      <c r="G50" s="116">
        <f>Data!DD50</f>
        <v>0</v>
      </c>
      <c r="H50" s="116">
        <f>Data!DE50</f>
        <v>0</v>
      </c>
      <c r="I50" s="116">
        <f>Data!DF50</f>
        <v>0</v>
      </c>
      <c r="J50" s="116">
        <f>Data!DG50</f>
        <v>0</v>
      </c>
      <c r="K50" s="116">
        <f>Data!DH50</f>
        <v>0</v>
      </c>
      <c r="L50" s="116">
        <f>Data!DI50</f>
        <v>0</v>
      </c>
      <c r="M50" s="116">
        <f>Data!DJ50</f>
        <v>0</v>
      </c>
      <c r="N50" s="116">
        <f>Data!DK50</f>
        <v>0</v>
      </c>
      <c r="O50" s="116">
        <f>Data!DL50</f>
        <v>0</v>
      </c>
      <c r="P50" s="116">
        <f>Data!DM50</f>
        <v>0</v>
      </c>
      <c r="Q50" s="116">
        <f>Data!DN50</f>
        <v>0</v>
      </c>
      <c r="R50" s="116">
        <f>Data!DO50</f>
        <v>1</v>
      </c>
      <c r="S50" s="116">
        <f>Data!DP50</f>
        <v>1</v>
      </c>
      <c r="T50" s="116">
        <f>Data!DQ50</f>
        <v>1</v>
      </c>
      <c r="U50" s="116">
        <f>Data!DR50</f>
        <v>2</v>
      </c>
      <c r="V50" s="116">
        <f t="shared" si="0"/>
        <v>5</v>
      </c>
      <c r="W50" s="62"/>
    </row>
    <row r="51" spans="1:23" s="27" customFormat="1" ht="11.25" customHeight="1">
      <c r="A51" s="62"/>
      <c r="B51" s="98" t="str">
        <f>UPPER(LEFT(TRIM(Data!B51),1)) &amp; MID(TRIM(Data!B51),2,50)</f>
        <v>Limfinio ir kraujodaros audinių</v>
      </c>
      <c r="C51" s="118" t="str">
        <f>Data!C51</f>
        <v>D45-D47</v>
      </c>
      <c r="D51" s="119">
        <f>Data!DA51</f>
        <v>0</v>
      </c>
      <c r="E51" s="119">
        <f>Data!DB51</f>
        <v>0</v>
      </c>
      <c r="F51" s="119">
        <f>Data!DC51</f>
        <v>0</v>
      </c>
      <c r="G51" s="119">
        <f>Data!DD51</f>
        <v>0</v>
      </c>
      <c r="H51" s="119">
        <f>Data!DE51</f>
        <v>0</v>
      </c>
      <c r="I51" s="119">
        <f>Data!DF51</f>
        <v>0</v>
      </c>
      <c r="J51" s="119">
        <f>Data!DG51</f>
        <v>0</v>
      </c>
      <c r="K51" s="119">
        <f>Data!DH51</f>
        <v>0</v>
      </c>
      <c r="L51" s="119">
        <f>Data!DI51</f>
        <v>0</v>
      </c>
      <c r="M51" s="119">
        <f>Data!DJ51</f>
        <v>0</v>
      </c>
      <c r="N51" s="119">
        <f>Data!DK51</f>
        <v>1</v>
      </c>
      <c r="O51" s="119">
        <f>Data!DL51</f>
        <v>1</v>
      </c>
      <c r="P51" s="119">
        <f>Data!DM51</f>
        <v>3</v>
      </c>
      <c r="Q51" s="119">
        <f>Data!DN51</f>
        <v>3</v>
      </c>
      <c r="R51" s="119">
        <f>Data!DO51</f>
        <v>6</v>
      </c>
      <c r="S51" s="119">
        <f>Data!DP51</f>
        <v>5</v>
      </c>
      <c r="T51" s="119">
        <f>Data!DQ51</f>
        <v>8</v>
      </c>
      <c r="U51" s="119">
        <f>Data!DR51</f>
        <v>7</v>
      </c>
      <c r="V51" s="119">
        <f t="shared" si="0"/>
        <v>34</v>
      </c>
      <c r="W51" s="62"/>
    </row>
    <row r="52" spans="1:23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</row>
    <row r="53" spans="1:23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</row>
    <row r="54" spans="1:23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</sheetData>
  <mergeCells count="4">
    <mergeCell ref="B4:B5"/>
    <mergeCell ref="C4:C5"/>
    <mergeCell ref="D4:U4"/>
    <mergeCell ref="V4:V5"/>
  </mergeCells>
  <phoneticPr fontId="13" type="noConversion"/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4"/>
  </sheetPr>
  <dimension ref="A1:W45"/>
  <sheetViews>
    <sheetView workbookViewId="0">
      <selection activeCell="B2" sqref="B2"/>
    </sheetView>
  </sheetViews>
  <sheetFormatPr defaultRowHeight="11.25"/>
  <cols>
    <col min="1" max="1" width="1.7109375" style="178" customWidth="1"/>
    <col min="2" max="2" width="28.7109375" style="178" customWidth="1"/>
    <col min="3" max="3" width="23.7109375" style="178" customWidth="1"/>
    <col min="4" max="16" width="6" style="178" customWidth="1"/>
    <col min="17" max="21" width="6.28515625" style="178" customWidth="1"/>
    <col min="22" max="22" width="7.28515625" style="178" customWidth="1"/>
    <col min="23" max="32" width="0.85546875" style="178" customWidth="1"/>
    <col min="33" max="16384" width="9.140625" style="178"/>
  </cols>
  <sheetData>
    <row r="1" spans="1:23" ht="15">
      <c r="A1" s="177"/>
      <c r="B1" s="556" t="s">
        <v>403</v>
      </c>
      <c r="C1" s="557"/>
      <c r="D1" s="557"/>
      <c r="E1" s="557"/>
      <c r="F1" s="557"/>
      <c r="G1" s="557"/>
      <c r="H1" s="55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</row>
    <row r="2" spans="1:23" ht="12.75">
      <c r="A2" s="177"/>
      <c r="B2" s="558"/>
      <c r="C2" s="558"/>
      <c r="D2" s="559">
        <f>Lent02v!S4</f>
        <v>77450</v>
      </c>
      <c r="E2" s="559">
        <f>Lent02v!T4</f>
        <v>69004</v>
      </c>
      <c r="F2" s="559">
        <f>Lent02v!U4</f>
        <v>75796</v>
      </c>
      <c r="G2" s="559">
        <f>Lent02v!V4</f>
        <v>93604</v>
      </c>
      <c r="H2" s="559">
        <f>Lent02v!W4</f>
        <v>110043</v>
      </c>
      <c r="I2" s="305">
        <f>Lent02v!X4</f>
        <v>99495</v>
      </c>
      <c r="J2" s="305">
        <f>Lent02v!Y4</f>
        <v>88515</v>
      </c>
      <c r="K2" s="305">
        <f>Lent02v!Z4</f>
        <v>91233</v>
      </c>
      <c r="L2" s="305">
        <f>Lent02v!AA4</f>
        <v>101097</v>
      </c>
      <c r="M2" s="305">
        <f>Lent02v!AB4</f>
        <v>102448</v>
      </c>
      <c r="N2" s="305">
        <f>Lent02v!AC4</f>
        <v>110413</v>
      </c>
      <c r="O2" s="305">
        <f>Lent02v!AD4</f>
        <v>88386</v>
      </c>
      <c r="P2" s="305">
        <f>Lent02v!AE4</f>
        <v>72515</v>
      </c>
      <c r="Q2" s="305">
        <f>Lent02v!AF4</f>
        <v>53668</v>
      </c>
      <c r="R2" s="305">
        <f>Lent02v!AG4</f>
        <v>51266</v>
      </c>
      <c r="S2" s="305">
        <f>Lent02v!AH4</f>
        <v>39045</v>
      </c>
      <c r="T2" s="305">
        <f>Lent02v!AI4</f>
        <v>25056</v>
      </c>
      <c r="U2" s="305">
        <f>Lent02v!AJ4</f>
        <v>13409</v>
      </c>
      <c r="V2" s="305">
        <f>SUM(D2:U2)</f>
        <v>1362443</v>
      </c>
      <c r="W2" s="177"/>
    </row>
    <row r="3" spans="1:23" ht="12.75">
      <c r="A3" s="177"/>
      <c r="B3" s="560" t="str">
        <f>"Mirčių dėl piktybinių navikų atvejų skaičius 100 000 gyventojų, pagal amžiaus grupes  " &amp; GrafikaiSerg!A1 &amp; " metais. Vyrai."</f>
        <v>Mirčių dėl piktybinių navikų atvejų skaičius 100 000 gyventojų, pagal amžiaus grupes  2013 metais. Vyrai.</v>
      </c>
      <c r="C3" s="560"/>
      <c r="D3" s="557"/>
      <c r="E3" s="557"/>
      <c r="F3" s="557"/>
      <c r="G3" s="557"/>
      <c r="H3" s="55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</row>
    <row r="4" spans="1:23" ht="12.75">
      <c r="A4" s="177"/>
      <c r="B4" s="180" t="s">
        <v>652</v>
      </c>
      <c r="C4" s="179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77"/>
    </row>
    <row r="5" spans="1:23" ht="12" customHeight="1">
      <c r="A5" s="177"/>
      <c r="B5" s="436" t="s">
        <v>242</v>
      </c>
      <c r="C5" s="436" t="s">
        <v>243</v>
      </c>
      <c r="D5" s="438" t="s">
        <v>418</v>
      </c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40"/>
      <c r="V5" s="441" t="s">
        <v>428</v>
      </c>
      <c r="W5" s="177"/>
    </row>
    <row r="6" spans="1:23" ht="12" customHeight="1" thickBot="1">
      <c r="A6" s="177"/>
      <c r="B6" s="437"/>
      <c r="C6" s="437"/>
      <c r="D6" s="194" t="s">
        <v>13</v>
      </c>
      <c r="E6" s="194" t="s">
        <v>11</v>
      </c>
      <c r="F6" s="194" t="s">
        <v>12</v>
      </c>
      <c r="G6" s="194" t="s">
        <v>14</v>
      </c>
      <c r="H6" s="194" t="s">
        <v>15</v>
      </c>
      <c r="I6" s="194" t="s">
        <v>16</v>
      </c>
      <c r="J6" s="194" t="s">
        <v>158</v>
      </c>
      <c r="K6" s="194" t="s">
        <v>17</v>
      </c>
      <c r="L6" s="194" t="s">
        <v>18</v>
      </c>
      <c r="M6" s="194" t="s">
        <v>19</v>
      </c>
      <c r="N6" s="194" t="s">
        <v>20</v>
      </c>
      <c r="O6" s="194" t="s">
        <v>21</v>
      </c>
      <c r="P6" s="194" t="s">
        <v>159</v>
      </c>
      <c r="Q6" s="194" t="s">
        <v>160</v>
      </c>
      <c r="R6" s="194" t="s">
        <v>161</v>
      </c>
      <c r="S6" s="194" t="s">
        <v>162</v>
      </c>
      <c r="T6" s="194" t="s">
        <v>22</v>
      </c>
      <c r="U6" s="194" t="s">
        <v>23</v>
      </c>
      <c r="V6" s="442"/>
      <c r="W6" s="177"/>
    </row>
    <row r="7" spans="1:23" ht="12" customHeight="1" thickTop="1">
      <c r="A7" s="177"/>
      <c r="B7" s="182" t="str">
        <f>UPPER(LEFT(TRIM(Data!B5),1)) &amp; MID(TRIM(Data!B5),2,50)</f>
        <v>Piktybiniai navikai</v>
      </c>
      <c r="C7" s="183" t="str">
        <f>Data!C5</f>
        <v>C00-C96</v>
      </c>
      <c r="D7" s="200">
        <f>Data!AN5/D$2*100000</f>
        <v>2.5823111684958038</v>
      </c>
      <c r="E7" s="200">
        <f>Data!AO5/E$2*100000</f>
        <v>0</v>
      </c>
      <c r="F7" s="200">
        <f>Data!AP5/F$2*100000</f>
        <v>3.957992506200855</v>
      </c>
      <c r="G7" s="200">
        <f>Data!AQ5/G$2*100000</f>
        <v>3.2049912396906111</v>
      </c>
      <c r="H7" s="200">
        <f>Data!AR5/H$2*100000</f>
        <v>5.4524140563234376</v>
      </c>
      <c r="I7" s="200">
        <f>Data!AS5/I$2*100000</f>
        <v>8.0406050555304294</v>
      </c>
      <c r="J7" s="200">
        <f>Data!AT5/J$2*100000</f>
        <v>10.167768174885612</v>
      </c>
      <c r="K7" s="200">
        <f>Data!AU5/K$2*100000</f>
        <v>37.267216906163341</v>
      </c>
      <c r="L7" s="200">
        <f>Data!AV5/L$2*100000</f>
        <v>60.338091140192091</v>
      </c>
      <c r="M7" s="200">
        <f>Data!AW5/M$2*100000</f>
        <v>122.98922380134313</v>
      </c>
      <c r="N7" s="200">
        <f>Data!AX5/N$2*100000</f>
        <v>227.32830373235038</v>
      </c>
      <c r="O7" s="200">
        <f>Data!AY5/O$2*100000</f>
        <v>491.0279908582807</v>
      </c>
      <c r="P7" s="200">
        <f>Data!AZ5/P$2*100000</f>
        <v>786.04426670344071</v>
      </c>
      <c r="Q7" s="200">
        <f>Data!BA5/Q$2*100000</f>
        <v>1028.5458746366548</v>
      </c>
      <c r="R7" s="200">
        <f>Data!BB5/R$2*100000</f>
        <v>1431.7481371669332</v>
      </c>
      <c r="S7" s="200">
        <f>Data!BC5/S$2*100000</f>
        <v>1736.4579331540529</v>
      </c>
      <c r="T7" s="200">
        <f>Data!BD5/T$2*100000</f>
        <v>2099.2975734355045</v>
      </c>
      <c r="U7" s="200">
        <f>Data!BE5/U$2*100000</f>
        <v>2483.4066671638452</v>
      </c>
      <c r="V7" s="200">
        <f>Data!E5/V$2*100000</f>
        <v>317.81146073633909</v>
      </c>
      <c r="W7" s="177"/>
    </row>
    <row r="8" spans="1:23" ht="12" customHeight="1">
      <c r="A8" s="177"/>
      <c r="B8" s="196" t="str">
        <f>UPPER(LEFT(TRIM(Data!B6),1)) &amp; MID(TRIM(Data!B6),2,50)</f>
        <v>Lūpos</v>
      </c>
      <c r="C8" s="197" t="str">
        <f>Data!C6</f>
        <v>C00</v>
      </c>
      <c r="D8" s="201">
        <f>Data!AN6/D$2*100000</f>
        <v>0</v>
      </c>
      <c r="E8" s="201">
        <f>Data!AO6/E$2*100000</f>
        <v>0</v>
      </c>
      <c r="F8" s="201">
        <f>Data!AP6/F$2*100000</f>
        <v>0</v>
      </c>
      <c r="G8" s="201">
        <f>Data!AQ6/G$2*100000</f>
        <v>0</v>
      </c>
      <c r="H8" s="201">
        <f>Data!AR6/H$2*100000</f>
        <v>0</v>
      </c>
      <c r="I8" s="201">
        <f>Data!AS6/I$2*100000</f>
        <v>0</v>
      </c>
      <c r="J8" s="201">
        <f>Data!AT6/J$2*100000</f>
        <v>0</v>
      </c>
      <c r="K8" s="201">
        <f>Data!AU6/K$2*100000</f>
        <v>0</v>
      </c>
      <c r="L8" s="201">
        <f>Data!AV6/L$2*100000</f>
        <v>0</v>
      </c>
      <c r="M8" s="201">
        <f>Data!AW6/M$2*100000</f>
        <v>0</v>
      </c>
      <c r="N8" s="201">
        <f>Data!AX6/N$2*100000</f>
        <v>0</v>
      </c>
      <c r="O8" s="201">
        <f>Data!AY6/O$2*100000</f>
        <v>0</v>
      </c>
      <c r="P8" s="201">
        <f>Data!AZ6/P$2*100000</f>
        <v>0</v>
      </c>
      <c r="Q8" s="201">
        <f>Data!BA6/Q$2*100000</f>
        <v>0</v>
      </c>
      <c r="R8" s="201">
        <f>Data!BB6/R$2*100000</f>
        <v>3.9012210821987279</v>
      </c>
      <c r="S8" s="201">
        <f>Data!BC6/S$2*100000</f>
        <v>0</v>
      </c>
      <c r="T8" s="201">
        <f>Data!BD6/T$2*100000</f>
        <v>7.9821200510855688</v>
      </c>
      <c r="U8" s="201">
        <f>Data!BE6/U$2*100000</f>
        <v>7.4576776791707058</v>
      </c>
      <c r="V8" s="201">
        <f>Data!E6/V$2*100000</f>
        <v>0.36698782994958323</v>
      </c>
      <c r="W8" s="177"/>
    </row>
    <row r="9" spans="1:23" ht="12" customHeight="1">
      <c r="A9" s="177"/>
      <c r="B9" s="182" t="str">
        <f>UPPER(LEFT(TRIM(Data!B7),1)) &amp; MID(TRIM(Data!B7),2,50)</f>
        <v>Burnos ertmės ir ryklės</v>
      </c>
      <c r="C9" s="183" t="str">
        <f>Data!C7</f>
        <v>C01-C14</v>
      </c>
      <c r="D9" s="200">
        <f>Data!AN7/D$2*100000</f>
        <v>0</v>
      </c>
      <c r="E9" s="200">
        <f>Data!AO7/E$2*100000</f>
        <v>0</v>
      </c>
      <c r="F9" s="200">
        <f>Data!AP7/F$2*100000</f>
        <v>0</v>
      </c>
      <c r="G9" s="200">
        <f>Data!AQ7/G$2*100000</f>
        <v>0</v>
      </c>
      <c r="H9" s="200">
        <f>Data!AR7/H$2*100000</f>
        <v>0</v>
      </c>
      <c r="I9" s="200">
        <f>Data!AS7/I$2*100000</f>
        <v>0</v>
      </c>
      <c r="J9" s="200">
        <f>Data!AT7/J$2*100000</f>
        <v>0</v>
      </c>
      <c r="K9" s="200">
        <f>Data!AU7/K$2*100000</f>
        <v>5.4804730744357855</v>
      </c>
      <c r="L9" s="200">
        <f>Data!AV7/L$2*100000</f>
        <v>4.9457451754255812</v>
      </c>
      <c r="M9" s="200">
        <f>Data!AW7/M$2*100000</f>
        <v>8.7849445572387932</v>
      </c>
      <c r="N9" s="200">
        <f>Data!AX7/N$2*100000</f>
        <v>22.642261327923343</v>
      </c>
      <c r="O9" s="200">
        <f>Data!AY7/O$2*100000</f>
        <v>49.781639626185147</v>
      </c>
      <c r="P9" s="200">
        <f>Data!AZ7/P$2*100000</f>
        <v>63.435151347996971</v>
      </c>
      <c r="Q9" s="200">
        <f>Data!BA7/Q$2*100000</f>
        <v>57.762540061116489</v>
      </c>
      <c r="R9" s="200">
        <f>Data!BB7/R$2*100000</f>
        <v>39.012210821987281</v>
      </c>
      <c r="S9" s="200">
        <f>Data!BC7/S$2*100000</f>
        <v>38.417210910487903</v>
      </c>
      <c r="T9" s="200">
        <f>Data!BD7/T$2*100000</f>
        <v>11.973180076628353</v>
      </c>
      <c r="U9" s="200">
        <f>Data!BE7/U$2*100000</f>
        <v>44.746066075024238</v>
      </c>
      <c r="V9" s="200">
        <f>Data!E7/V$2*100000</f>
        <v>15.340091291892577</v>
      </c>
      <c r="W9" s="177"/>
    </row>
    <row r="10" spans="1:23" ht="12" customHeight="1">
      <c r="A10" s="177"/>
      <c r="B10" s="196" t="str">
        <f>UPPER(LEFT(TRIM(Data!B8),1)) &amp; MID(TRIM(Data!B8),2,50)</f>
        <v>Stemplės</v>
      </c>
      <c r="C10" s="197" t="str">
        <f>Data!C8</f>
        <v>C15</v>
      </c>
      <c r="D10" s="201">
        <f>Data!AN8/D$2*100000</f>
        <v>0</v>
      </c>
      <c r="E10" s="201">
        <f>Data!AO8/E$2*100000</f>
        <v>0</v>
      </c>
      <c r="F10" s="201">
        <f>Data!AP8/F$2*100000</f>
        <v>0</v>
      </c>
      <c r="G10" s="201">
        <f>Data!AQ8/G$2*100000</f>
        <v>0</v>
      </c>
      <c r="H10" s="201">
        <f>Data!AR8/H$2*100000</f>
        <v>0</v>
      </c>
      <c r="I10" s="201">
        <f>Data!AS8/I$2*100000</f>
        <v>0</v>
      </c>
      <c r="J10" s="201">
        <f>Data!AT8/J$2*100000</f>
        <v>0</v>
      </c>
      <c r="K10" s="201">
        <f>Data!AU8/K$2*100000</f>
        <v>2.1921892297743142</v>
      </c>
      <c r="L10" s="201">
        <f>Data!AV8/L$2*100000</f>
        <v>1.9782980701702326</v>
      </c>
      <c r="M10" s="201">
        <f>Data!AW8/M$2*100000</f>
        <v>8.7849445572387932</v>
      </c>
      <c r="N10" s="201">
        <f>Data!AX8/N$2*100000</f>
        <v>13.585356796754006</v>
      </c>
      <c r="O10" s="201">
        <f>Data!AY8/O$2*100000</f>
        <v>36.20482881904374</v>
      </c>
      <c r="P10" s="201">
        <f>Data!AZ8/P$2*100000</f>
        <v>38.612700820519898</v>
      </c>
      <c r="Q10" s="201">
        <f>Data!BA8/Q$2*100000</f>
        <v>40.992770365953646</v>
      </c>
      <c r="R10" s="201">
        <f>Data!BB8/R$2*100000</f>
        <v>39.012210821987281</v>
      </c>
      <c r="S10" s="201">
        <f>Data!BC8/S$2*100000</f>
        <v>30.73376872839032</v>
      </c>
      <c r="T10" s="201">
        <f>Data!BD8/T$2*100000</f>
        <v>31.928480204342275</v>
      </c>
      <c r="U10" s="201">
        <f>Data!BE8/U$2*100000</f>
        <v>44.746066075024238</v>
      </c>
      <c r="V10" s="201">
        <f>Data!E8/V$2*100000</f>
        <v>11.450020294426997</v>
      </c>
      <c r="W10" s="177"/>
    </row>
    <row r="11" spans="1:23" ht="12" customHeight="1">
      <c r="A11" s="177"/>
      <c r="B11" s="182" t="str">
        <f>UPPER(LEFT(TRIM(Data!B9),1)) &amp; MID(TRIM(Data!B9),2,50)</f>
        <v>Skrandžio</v>
      </c>
      <c r="C11" s="183" t="str">
        <f>Data!C9</f>
        <v>C16</v>
      </c>
      <c r="D11" s="200">
        <f>Data!AN9/D$2*100000</f>
        <v>0</v>
      </c>
      <c r="E11" s="200">
        <f>Data!AO9/E$2*100000</f>
        <v>0</v>
      </c>
      <c r="F11" s="200">
        <f>Data!AP9/F$2*100000</f>
        <v>0</v>
      </c>
      <c r="G11" s="200">
        <f>Data!AQ9/G$2*100000</f>
        <v>0</v>
      </c>
      <c r="H11" s="200">
        <f>Data!AR9/H$2*100000</f>
        <v>0.90873567605390626</v>
      </c>
      <c r="I11" s="200">
        <f>Data!AS9/I$2*100000</f>
        <v>1.0050756319413037</v>
      </c>
      <c r="J11" s="200">
        <f>Data!AT9/J$2*100000</f>
        <v>1.1297520194317348</v>
      </c>
      <c r="K11" s="200">
        <f>Data!AU9/K$2*100000</f>
        <v>6.5765676893229417</v>
      </c>
      <c r="L11" s="200">
        <f>Data!AV9/L$2*100000</f>
        <v>11.869788421021395</v>
      </c>
      <c r="M11" s="200">
        <f>Data!AW9/M$2*100000</f>
        <v>15.617679212868968</v>
      </c>
      <c r="N11" s="200">
        <f>Data!AX9/N$2*100000</f>
        <v>28.98209449974188</v>
      </c>
      <c r="O11" s="200">
        <f>Data!AY9/O$2*100000</f>
        <v>31.679225216663273</v>
      </c>
      <c r="P11" s="200">
        <f>Data!AZ9/P$2*100000</f>
        <v>64.814176377301251</v>
      </c>
      <c r="Q11" s="200">
        <f>Data!BA9/Q$2*100000</f>
        <v>91.302079451442197</v>
      </c>
      <c r="R11" s="200">
        <f>Data!BB9/R$2*100000</f>
        <v>136.54273787695547</v>
      </c>
      <c r="S11" s="200">
        <f>Data!BC9/S$2*100000</f>
        <v>112.69048533743117</v>
      </c>
      <c r="T11" s="200">
        <f>Data!BD9/T$2*100000</f>
        <v>215.51724137931035</v>
      </c>
      <c r="U11" s="200">
        <f>Data!BE9/U$2*100000</f>
        <v>261.01871877097471</v>
      </c>
      <c r="V11" s="200">
        <f>Data!E9/V$2*100000</f>
        <v>29.06543613200699</v>
      </c>
      <c r="W11" s="177"/>
    </row>
    <row r="12" spans="1:23" ht="12" customHeight="1">
      <c r="A12" s="177"/>
      <c r="B12" s="196" t="str">
        <f>UPPER(LEFT(TRIM(Data!B10),1)) &amp; MID(TRIM(Data!B10),2,50)</f>
        <v>Gaubtinės žarnos</v>
      </c>
      <c r="C12" s="197" t="str">
        <f>Data!C10</f>
        <v>C18</v>
      </c>
      <c r="D12" s="201">
        <f>Data!AN10/D$2*100000</f>
        <v>0</v>
      </c>
      <c r="E12" s="201">
        <f>Data!AO10/E$2*100000</f>
        <v>0</v>
      </c>
      <c r="F12" s="201">
        <f>Data!AP10/F$2*100000</f>
        <v>0</v>
      </c>
      <c r="G12" s="201">
        <f>Data!AQ10/G$2*100000</f>
        <v>0</v>
      </c>
      <c r="H12" s="201">
        <f>Data!AR10/H$2*100000</f>
        <v>0</v>
      </c>
      <c r="I12" s="201">
        <f>Data!AS10/I$2*100000</f>
        <v>0</v>
      </c>
      <c r="J12" s="201">
        <f>Data!AT10/J$2*100000</f>
        <v>1.1297520194317348</v>
      </c>
      <c r="K12" s="201">
        <f>Data!AU10/K$2*100000</f>
        <v>0</v>
      </c>
      <c r="L12" s="201">
        <f>Data!AV10/L$2*100000</f>
        <v>0.98914903508511631</v>
      </c>
      <c r="M12" s="201">
        <f>Data!AW10/M$2*100000</f>
        <v>2.9283148524129317</v>
      </c>
      <c r="N12" s="201">
        <f>Data!AX10/N$2*100000</f>
        <v>6.3398331718185359</v>
      </c>
      <c r="O12" s="201">
        <f>Data!AY10/O$2*100000</f>
        <v>16.971013508926756</v>
      </c>
      <c r="P12" s="201">
        <f>Data!AZ10/P$2*100000</f>
        <v>39.991725849824178</v>
      </c>
      <c r="Q12" s="201">
        <f>Data!BA10/Q$2*100000</f>
        <v>57.762540061116489</v>
      </c>
      <c r="R12" s="201">
        <f>Data!BB10/R$2*100000</f>
        <v>83.876253267272645</v>
      </c>
      <c r="S12" s="201">
        <f>Data!BC10/S$2*100000</f>
        <v>117.81278012549623</v>
      </c>
      <c r="T12" s="201">
        <f>Data!BD10/T$2*100000</f>
        <v>179.59770114942529</v>
      </c>
      <c r="U12" s="201">
        <f>Data!BE10/U$2*100000</f>
        <v>216.27265269595048</v>
      </c>
      <c r="V12" s="201">
        <f>Data!E10/V$2*100000</f>
        <v>18.349391497479161</v>
      </c>
      <c r="W12" s="177"/>
    </row>
    <row r="13" spans="1:23" ht="12" customHeight="1">
      <c r="A13" s="177"/>
      <c r="B13" s="182" t="str">
        <f>UPPER(LEFT(TRIM(Data!B11),1)) &amp; MID(TRIM(Data!B11),2,50)</f>
        <v>Tiesiosios žarnos, išangės</v>
      </c>
      <c r="C13" s="183" t="str">
        <f>Data!C11</f>
        <v>C19-C21</v>
      </c>
      <c r="D13" s="200">
        <f>Data!AN11/D$2*100000</f>
        <v>0</v>
      </c>
      <c r="E13" s="200">
        <f>Data!AO11/E$2*100000</f>
        <v>0</v>
      </c>
      <c r="F13" s="200">
        <f>Data!AP11/F$2*100000</f>
        <v>0</v>
      </c>
      <c r="G13" s="200">
        <f>Data!AQ11/G$2*100000</f>
        <v>0</v>
      </c>
      <c r="H13" s="200">
        <f>Data!AR11/H$2*100000</f>
        <v>0</v>
      </c>
      <c r="I13" s="200">
        <f>Data!AS11/I$2*100000</f>
        <v>1.0050756319413037</v>
      </c>
      <c r="J13" s="200">
        <f>Data!AT11/J$2*100000</f>
        <v>0</v>
      </c>
      <c r="K13" s="200">
        <f>Data!AU11/K$2*100000</f>
        <v>1.0960946148871571</v>
      </c>
      <c r="L13" s="200">
        <f>Data!AV11/L$2*100000</f>
        <v>1.9782980701702326</v>
      </c>
      <c r="M13" s="200">
        <f>Data!AW11/M$2*100000</f>
        <v>3.9044198032172419</v>
      </c>
      <c r="N13" s="200">
        <f>Data!AX11/N$2*100000</f>
        <v>5.4341427187016018</v>
      </c>
      <c r="O13" s="200">
        <f>Data!AY11/O$2*100000</f>
        <v>26.022220713687688</v>
      </c>
      <c r="P13" s="200">
        <f>Data!AZ11/P$2*100000</f>
        <v>20.685375439564229</v>
      </c>
      <c r="Q13" s="200">
        <f>Data!BA11/Q$2*100000</f>
        <v>54.03592457330253</v>
      </c>
      <c r="R13" s="200">
        <f>Data!BB11/R$2*100000</f>
        <v>76.073811102875197</v>
      </c>
      <c r="S13" s="200">
        <f>Data!BC11/S$2*100000</f>
        <v>107.56819054936612</v>
      </c>
      <c r="T13" s="200">
        <f>Data!BD11/T$2*100000</f>
        <v>123.72286079182632</v>
      </c>
      <c r="U13" s="200">
        <f>Data!BE11/U$2*100000</f>
        <v>246.10336341263331</v>
      </c>
      <c r="V13" s="200">
        <f>Data!E11/V$2*100000</f>
        <v>16.587849913721161</v>
      </c>
      <c r="W13" s="177"/>
    </row>
    <row r="14" spans="1:23" ht="12" customHeight="1">
      <c r="A14" s="177"/>
      <c r="B14" s="196" t="str">
        <f>UPPER(LEFT(TRIM(Data!B12),1)) &amp; MID(TRIM(Data!B12),2,50)</f>
        <v>Kepenų</v>
      </c>
      <c r="C14" s="197" t="str">
        <f>Data!C12</f>
        <v>C22</v>
      </c>
      <c r="D14" s="201">
        <f>Data!AN12/D$2*100000</f>
        <v>1.2911555842479019</v>
      </c>
      <c r="E14" s="201">
        <f>Data!AO12/E$2*100000</f>
        <v>0</v>
      </c>
      <c r="F14" s="201">
        <f>Data!AP12/F$2*100000</f>
        <v>1.3193308354002848</v>
      </c>
      <c r="G14" s="201">
        <f>Data!AQ12/G$2*100000</f>
        <v>0</v>
      </c>
      <c r="H14" s="201">
        <f>Data!AR12/H$2*100000</f>
        <v>0</v>
      </c>
      <c r="I14" s="201">
        <f>Data!AS12/I$2*100000</f>
        <v>0</v>
      </c>
      <c r="J14" s="201">
        <f>Data!AT12/J$2*100000</f>
        <v>0</v>
      </c>
      <c r="K14" s="201">
        <f>Data!AU12/K$2*100000</f>
        <v>0</v>
      </c>
      <c r="L14" s="201">
        <f>Data!AV12/L$2*100000</f>
        <v>1.9782980701702326</v>
      </c>
      <c r="M14" s="201">
        <f>Data!AW12/M$2*100000</f>
        <v>7.8088396064344838</v>
      </c>
      <c r="N14" s="201">
        <f>Data!AX12/N$2*100000</f>
        <v>3.622761812467735</v>
      </c>
      <c r="O14" s="201">
        <f>Data!AY12/O$2*100000</f>
        <v>15.839612608331636</v>
      </c>
      <c r="P14" s="201">
        <f>Data!AZ12/P$2*100000</f>
        <v>16.548300351651385</v>
      </c>
      <c r="Q14" s="201">
        <f>Data!BA12/Q$2*100000</f>
        <v>22.359692926883806</v>
      </c>
      <c r="R14" s="201">
        <f>Data!BB12/R$2*100000</f>
        <v>27.308547575391099</v>
      </c>
      <c r="S14" s="201">
        <f>Data!BC12/S$2*100000</f>
        <v>33.29491612242284</v>
      </c>
      <c r="T14" s="201">
        <f>Data!BD12/T$2*100000</f>
        <v>35.919540229885058</v>
      </c>
      <c r="U14" s="201">
        <f>Data!BE12/U$2*100000</f>
        <v>67.119099112536347</v>
      </c>
      <c r="V14" s="201">
        <f>Data!E12/V$2*100000</f>
        <v>7.2663590330017476</v>
      </c>
      <c r="W14" s="177"/>
    </row>
    <row r="15" spans="1:23" ht="12" customHeight="1">
      <c r="A15" s="177"/>
      <c r="B15" s="182" t="str">
        <f>UPPER(LEFT(TRIM(Data!B13),1)) &amp; MID(TRIM(Data!B13),2,50)</f>
        <v>Tulžies pūslės, ekstrahepatinių takų</v>
      </c>
      <c r="C15" s="183" t="str">
        <f>Data!C13</f>
        <v>C23, C24</v>
      </c>
      <c r="D15" s="200">
        <f>Data!AN13/D$2*100000</f>
        <v>0</v>
      </c>
      <c r="E15" s="200">
        <f>Data!AO13/E$2*100000</f>
        <v>0</v>
      </c>
      <c r="F15" s="200">
        <f>Data!AP13/F$2*100000</f>
        <v>0</v>
      </c>
      <c r="G15" s="200">
        <f>Data!AQ13/G$2*100000</f>
        <v>0</v>
      </c>
      <c r="H15" s="200">
        <f>Data!AR13/H$2*100000</f>
        <v>0</v>
      </c>
      <c r="I15" s="200">
        <f>Data!AS13/I$2*100000</f>
        <v>0</v>
      </c>
      <c r="J15" s="200">
        <f>Data!AT13/J$2*100000</f>
        <v>0</v>
      </c>
      <c r="K15" s="200">
        <f>Data!AU13/K$2*100000</f>
        <v>0</v>
      </c>
      <c r="L15" s="200">
        <f>Data!AV13/L$2*100000</f>
        <v>0</v>
      </c>
      <c r="M15" s="200">
        <f>Data!AW13/M$2*100000</f>
        <v>0.97610495080431048</v>
      </c>
      <c r="N15" s="200">
        <f>Data!AX13/N$2*100000</f>
        <v>2.7170713593508009</v>
      </c>
      <c r="O15" s="200">
        <f>Data!AY13/O$2*100000</f>
        <v>1.1314009005951169</v>
      </c>
      <c r="P15" s="200">
        <f>Data!AZ13/P$2*100000</f>
        <v>9.6531752051299744</v>
      </c>
      <c r="Q15" s="200">
        <f>Data!BA13/Q$2*100000</f>
        <v>5.5899232317209515</v>
      </c>
      <c r="R15" s="200">
        <f>Data!BB13/R$2*100000</f>
        <v>9.7530527054968204</v>
      </c>
      <c r="S15" s="200">
        <f>Data!BC13/S$2*100000</f>
        <v>10.244589576130105</v>
      </c>
      <c r="T15" s="200">
        <f>Data!BD13/T$2*100000</f>
        <v>11.973180076628353</v>
      </c>
      <c r="U15" s="200">
        <f>Data!BE13/U$2*100000</f>
        <v>29.830710716682823</v>
      </c>
      <c r="V15" s="200">
        <f>Data!E13/V$2*100000</f>
        <v>2.275324545687416</v>
      </c>
      <c r="W15" s="177"/>
    </row>
    <row r="16" spans="1:23" ht="12" customHeight="1">
      <c r="A16" s="177"/>
      <c r="B16" s="196" t="str">
        <f>UPPER(LEFT(TRIM(Data!B14),1)) &amp; MID(TRIM(Data!B14),2,50)</f>
        <v>Kasos</v>
      </c>
      <c r="C16" s="197" t="str">
        <f>Data!C14</f>
        <v>C25</v>
      </c>
      <c r="D16" s="201">
        <f>Data!AN14/D$2*100000</f>
        <v>0</v>
      </c>
      <c r="E16" s="201">
        <f>Data!AO14/E$2*100000</f>
        <v>0</v>
      </c>
      <c r="F16" s="201">
        <f>Data!AP14/F$2*100000</f>
        <v>0</v>
      </c>
      <c r="G16" s="201">
        <f>Data!AQ14/G$2*100000</f>
        <v>0</v>
      </c>
      <c r="H16" s="201">
        <f>Data!AR14/H$2*100000</f>
        <v>0</v>
      </c>
      <c r="I16" s="201">
        <f>Data!AS14/I$2*100000</f>
        <v>0</v>
      </c>
      <c r="J16" s="201">
        <f>Data!AT14/J$2*100000</f>
        <v>2.2595040388634695</v>
      </c>
      <c r="K16" s="201">
        <f>Data!AU14/K$2*100000</f>
        <v>1.0960946148871571</v>
      </c>
      <c r="L16" s="201">
        <f>Data!AV14/L$2*100000</f>
        <v>2.9674471052553488</v>
      </c>
      <c r="M16" s="201">
        <f>Data!AW14/M$2*100000</f>
        <v>7.8088396064344838</v>
      </c>
      <c r="N16" s="201">
        <f>Data!AX14/N$2*100000</f>
        <v>17.208118609221742</v>
      </c>
      <c r="O16" s="201">
        <f>Data!AY14/O$2*100000</f>
        <v>22.628018011902338</v>
      </c>
      <c r="P16" s="201">
        <f>Data!AZ14/P$2*100000</f>
        <v>38.612700820519898</v>
      </c>
      <c r="Q16" s="201">
        <f>Data!BA14/Q$2*100000</f>
        <v>63.352463292837442</v>
      </c>
      <c r="R16" s="201">
        <f>Data!BB14/R$2*100000</f>
        <v>83.876253267272645</v>
      </c>
      <c r="S16" s="201">
        <f>Data!BC14/S$2*100000</f>
        <v>94.762453579203481</v>
      </c>
      <c r="T16" s="201">
        <f>Data!BD14/T$2*100000</f>
        <v>79.821200510855689</v>
      </c>
      <c r="U16" s="201">
        <f>Data!BE14/U$2*100000</f>
        <v>89.492132150048477</v>
      </c>
      <c r="V16" s="201">
        <f>Data!E14/V$2*100000</f>
        <v>16.661247479711079</v>
      </c>
      <c r="W16" s="177"/>
    </row>
    <row r="17" spans="1:23" ht="12" customHeight="1">
      <c r="A17" s="177"/>
      <c r="B17" s="182" t="str">
        <f>UPPER(LEFT(TRIM(Data!B15),1)) &amp; MID(TRIM(Data!B15),2,50)</f>
        <v>Kitų virškinimo sistemos organų</v>
      </c>
      <c r="C17" s="183" t="str">
        <f>Data!C15</f>
        <v>C17, C26, C48</v>
      </c>
      <c r="D17" s="200">
        <f>Data!AN15/D$2*100000</f>
        <v>0</v>
      </c>
      <c r="E17" s="200">
        <f>Data!AO15/E$2*100000</f>
        <v>0</v>
      </c>
      <c r="F17" s="200">
        <f>Data!AP15/F$2*100000</f>
        <v>0</v>
      </c>
      <c r="G17" s="200">
        <f>Data!AQ15/G$2*100000</f>
        <v>0</v>
      </c>
      <c r="H17" s="200">
        <f>Data!AR15/H$2*100000</f>
        <v>0</v>
      </c>
      <c r="I17" s="200">
        <f>Data!AS15/I$2*100000</f>
        <v>0</v>
      </c>
      <c r="J17" s="200">
        <f>Data!AT15/J$2*100000</f>
        <v>0</v>
      </c>
      <c r="K17" s="200">
        <f>Data!AU15/K$2*100000</f>
        <v>0</v>
      </c>
      <c r="L17" s="200">
        <f>Data!AV15/L$2*100000</f>
        <v>0.98914903508511631</v>
      </c>
      <c r="M17" s="200">
        <f>Data!AW15/M$2*100000</f>
        <v>1.952209901608621</v>
      </c>
      <c r="N17" s="200">
        <f>Data!AX15/N$2*100000</f>
        <v>1.8113809062338675</v>
      </c>
      <c r="O17" s="200">
        <f>Data!AY15/O$2*100000</f>
        <v>2.2628018011902338</v>
      </c>
      <c r="P17" s="200">
        <f>Data!AZ15/P$2*100000</f>
        <v>2.7580500586085637</v>
      </c>
      <c r="Q17" s="200">
        <f>Data!BA15/Q$2*100000</f>
        <v>5.5899232317209515</v>
      </c>
      <c r="R17" s="200">
        <f>Data!BB15/R$2*100000</f>
        <v>7.8024421643974557</v>
      </c>
      <c r="S17" s="200">
        <f>Data!BC15/S$2*100000</f>
        <v>12.805736970162632</v>
      </c>
      <c r="T17" s="200">
        <f>Data!BD15/T$2*100000</f>
        <v>19.955300127713922</v>
      </c>
      <c r="U17" s="200">
        <f>Data!BE15/U$2*100000</f>
        <v>29.830710716682823</v>
      </c>
      <c r="V17" s="200">
        <f>Data!E15/V$2*100000</f>
        <v>2.2019269796974994</v>
      </c>
      <c r="W17" s="177"/>
    </row>
    <row r="18" spans="1:23" ht="12" customHeight="1">
      <c r="A18" s="177"/>
      <c r="B18" s="196" t="str">
        <f>UPPER(LEFT(TRIM(Data!B16),1)) &amp; MID(TRIM(Data!B16),2,50)</f>
        <v>Nosies ertmės, vid.ausies ir ančių</v>
      </c>
      <c r="C18" s="197" t="str">
        <f>Data!C16</f>
        <v>C30, C31</v>
      </c>
      <c r="D18" s="201">
        <f>Data!AN16/D$2*100000</f>
        <v>0</v>
      </c>
      <c r="E18" s="201">
        <f>Data!AO16/E$2*100000</f>
        <v>0</v>
      </c>
      <c r="F18" s="201">
        <f>Data!AP16/F$2*100000</f>
        <v>0</v>
      </c>
      <c r="G18" s="201">
        <f>Data!AQ16/G$2*100000</f>
        <v>0</v>
      </c>
      <c r="H18" s="201">
        <f>Data!AR16/H$2*100000</f>
        <v>0</v>
      </c>
      <c r="I18" s="201">
        <f>Data!AS16/I$2*100000</f>
        <v>0</v>
      </c>
      <c r="J18" s="201">
        <f>Data!AT16/J$2*100000</f>
        <v>0</v>
      </c>
      <c r="K18" s="201">
        <f>Data!AU16/K$2*100000</f>
        <v>0</v>
      </c>
      <c r="L18" s="201">
        <f>Data!AV16/L$2*100000</f>
        <v>0</v>
      </c>
      <c r="M18" s="201">
        <f>Data!AW16/M$2*100000</f>
        <v>2.9283148524129317</v>
      </c>
      <c r="N18" s="201">
        <f>Data!AX16/N$2*100000</f>
        <v>0</v>
      </c>
      <c r="O18" s="201">
        <f>Data!AY16/O$2*100000</f>
        <v>0</v>
      </c>
      <c r="P18" s="201">
        <f>Data!AZ16/P$2*100000</f>
        <v>0</v>
      </c>
      <c r="Q18" s="201">
        <f>Data!BA16/Q$2*100000</f>
        <v>1.8633077439069838</v>
      </c>
      <c r="R18" s="201">
        <f>Data!BB16/R$2*100000</f>
        <v>3.9012210821987279</v>
      </c>
      <c r="S18" s="201">
        <f>Data!BC16/S$2*100000</f>
        <v>2.5611473940325262</v>
      </c>
      <c r="T18" s="201">
        <f>Data!BD16/T$2*100000</f>
        <v>7.9821200510855688</v>
      </c>
      <c r="U18" s="201">
        <f>Data!BE16/U$2*100000</f>
        <v>0</v>
      </c>
      <c r="V18" s="201">
        <f>Data!E16/V$2*100000</f>
        <v>0.66057809390924971</v>
      </c>
      <c r="W18" s="177"/>
    </row>
    <row r="19" spans="1:23" ht="12" customHeight="1">
      <c r="A19" s="177"/>
      <c r="B19" s="182" t="str">
        <f>UPPER(LEFT(TRIM(Data!B17),1)) &amp; MID(TRIM(Data!B17),2,50)</f>
        <v>Gerklų</v>
      </c>
      <c r="C19" s="183" t="str">
        <f>Data!C17</f>
        <v>C32</v>
      </c>
      <c r="D19" s="200">
        <f>Data!AN17/D$2*100000</f>
        <v>0</v>
      </c>
      <c r="E19" s="200">
        <f>Data!AO17/E$2*100000</f>
        <v>0</v>
      </c>
      <c r="F19" s="200">
        <f>Data!AP17/F$2*100000</f>
        <v>0</v>
      </c>
      <c r="G19" s="200">
        <f>Data!AQ17/G$2*100000</f>
        <v>0</v>
      </c>
      <c r="H19" s="200">
        <f>Data!AR17/H$2*100000</f>
        <v>0</v>
      </c>
      <c r="I19" s="200">
        <f>Data!AS17/I$2*100000</f>
        <v>0</v>
      </c>
      <c r="J19" s="200">
        <f>Data!AT17/J$2*100000</f>
        <v>0</v>
      </c>
      <c r="K19" s="200">
        <f>Data!AU17/K$2*100000</f>
        <v>0</v>
      </c>
      <c r="L19" s="200">
        <f>Data!AV17/L$2*100000</f>
        <v>3.9565961403404653</v>
      </c>
      <c r="M19" s="200">
        <f>Data!AW17/M$2*100000</f>
        <v>6.8327346556301736</v>
      </c>
      <c r="N19" s="200">
        <f>Data!AX17/N$2*100000</f>
        <v>11.773975890520138</v>
      </c>
      <c r="O19" s="200">
        <f>Data!AY17/O$2*100000</f>
        <v>12.445409906546287</v>
      </c>
      <c r="P19" s="200">
        <f>Data!AZ17/P$2*100000</f>
        <v>27.580500586085634</v>
      </c>
      <c r="Q19" s="200">
        <f>Data!BA17/Q$2*100000</f>
        <v>27.949616158604755</v>
      </c>
      <c r="R19" s="200">
        <f>Data!BB17/R$2*100000</f>
        <v>13.65427378769555</v>
      </c>
      <c r="S19" s="200">
        <f>Data!BC17/S$2*100000</f>
        <v>28.172621334357792</v>
      </c>
      <c r="T19" s="200">
        <f>Data!BD17/T$2*100000</f>
        <v>39.910600255427845</v>
      </c>
      <c r="U19" s="200">
        <f>Data!BE17/U$2*100000</f>
        <v>22.373033037512119</v>
      </c>
      <c r="V19" s="200">
        <f>Data!E17/V$2*100000</f>
        <v>7.4131541649815809</v>
      </c>
      <c r="W19" s="177"/>
    </row>
    <row r="20" spans="1:23" ht="12" customHeight="1">
      <c r="A20" s="177"/>
      <c r="B20" s="196" t="str">
        <f>UPPER(LEFT(TRIM(Data!B18),1)) &amp; MID(TRIM(Data!B18),2,50)</f>
        <v>Plaučių, trachėjos, bronchų</v>
      </c>
      <c r="C20" s="197" t="str">
        <f>Data!C18</f>
        <v>C33, C34</v>
      </c>
      <c r="D20" s="201">
        <f>Data!AN18/D$2*100000</f>
        <v>0</v>
      </c>
      <c r="E20" s="201">
        <f>Data!AO18/E$2*100000</f>
        <v>0</v>
      </c>
      <c r="F20" s="201">
        <f>Data!AP18/F$2*100000</f>
        <v>0</v>
      </c>
      <c r="G20" s="201">
        <f>Data!AQ18/G$2*100000</f>
        <v>0</v>
      </c>
      <c r="H20" s="201">
        <f>Data!AR18/H$2*100000</f>
        <v>0</v>
      </c>
      <c r="I20" s="201">
        <f>Data!AS18/I$2*100000</f>
        <v>1.0050756319413037</v>
      </c>
      <c r="J20" s="201">
        <f>Data!AT18/J$2*100000</f>
        <v>0</v>
      </c>
      <c r="K20" s="201">
        <f>Data!AU18/K$2*100000</f>
        <v>1.0960946148871571</v>
      </c>
      <c r="L20" s="201">
        <f>Data!AV18/L$2*100000</f>
        <v>7.9131922806809305</v>
      </c>
      <c r="M20" s="201">
        <f>Data!AW18/M$2*100000</f>
        <v>23.426518819303453</v>
      </c>
      <c r="N20" s="201">
        <f>Data!AX18/N$2*100000</f>
        <v>50.718665374548287</v>
      </c>
      <c r="O20" s="201">
        <f>Data!AY18/O$2*100000</f>
        <v>131.24250446903355</v>
      </c>
      <c r="P20" s="201">
        <f>Data!AZ18/P$2*100000</f>
        <v>271.66793077294352</v>
      </c>
      <c r="Q20" s="201">
        <f>Data!BA18/Q$2*100000</f>
        <v>314.89900872028022</v>
      </c>
      <c r="R20" s="201">
        <f>Data!BB18/R$2*100000</f>
        <v>380.36905551437604</v>
      </c>
      <c r="S20" s="201">
        <f>Data!BC18/S$2*100000</f>
        <v>437.95620437956211</v>
      </c>
      <c r="T20" s="201">
        <f>Data!BD18/T$2*100000</f>
        <v>347.22222222222223</v>
      </c>
      <c r="U20" s="201">
        <f>Data!BE18/U$2*100000</f>
        <v>246.10336341263331</v>
      </c>
      <c r="V20" s="201">
        <f>Data!E18/V$2*100000</f>
        <v>77.654624817331808</v>
      </c>
      <c r="W20" s="177"/>
    </row>
    <row r="21" spans="1:23" ht="12" customHeight="1">
      <c r="A21" s="177"/>
      <c r="B21" s="182" t="str">
        <f>UPPER(LEFT(TRIM(Data!B19),1)) &amp; MID(TRIM(Data!B19),2,50)</f>
        <v>Kitų kvėpavimo sistemos organų</v>
      </c>
      <c r="C21" s="183" t="str">
        <f>Data!C19</f>
        <v>C37-C39</v>
      </c>
      <c r="D21" s="200">
        <f>Data!AN19/D$2*100000</f>
        <v>0</v>
      </c>
      <c r="E21" s="200">
        <f>Data!AO19/E$2*100000</f>
        <v>0</v>
      </c>
      <c r="F21" s="200">
        <f>Data!AP19/F$2*100000</f>
        <v>0</v>
      </c>
      <c r="G21" s="200">
        <f>Data!AQ19/G$2*100000</f>
        <v>0</v>
      </c>
      <c r="H21" s="200">
        <f>Data!AR19/H$2*100000</f>
        <v>0</v>
      </c>
      <c r="I21" s="200">
        <f>Data!AS19/I$2*100000</f>
        <v>0</v>
      </c>
      <c r="J21" s="200">
        <f>Data!AT19/J$2*100000</f>
        <v>0</v>
      </c>
      <c r="K21" s="200">
        <f>Data!AU19/K$2*100000</f>
        <v>0</v>
      </c>
      <c r="L21" s="200">
        <f>Data!AV19/L$2*100000</f>
        <v>0</v>
      </c>
      <c r="M21" s="200">
        <f>Data!AW19/M$2*100000</f>
        <v>0</v>
      </c>
      <c r="N21" s="200">
        <f>Data!AX19/N$2*100000</f>
        <v>1.8113809062338675</v>
      </c>
      <c r="O21" s="200">
        <f>Data!AY19/O$2*100000</f>
        <v>0</v>
      </c>
      <c r="P21" s="200">
        <f>Data!AZ19/P$2*100000</f>
        <v>1.3790250293042818</v>
      </c>
      <c r="Q21" s="200">
        <f>Data!BA19/Q$2*100000</f>
        <v>3.7266154878139677</v>
      </c>
      <c r="R21" s="200">
        <f>Data!BB19/R$2*100000</f>
        <v>3.9012210821987279</v>
      </c>
      <c r="S21" s="200">
        <f>Data!BC19/S$2*100000</f>
        <v>2.5611473940325262</v>
      </c>
      <c r="T21" s="200">
        <f>Data!BD19/T$2*100000</f>
        <v>0</v>
      </c>
      <c r="U21" s="200">
        <f>Data!BE19/U$2*100000</f>
        <v>0</v>
      </c>
      <c r="V21" s="200">
        <f>Data!E19/V$2*100000</f>
        <v>0.58718052791933317</v>
      </c>
      <c r="W21" s="177"/>
    </row>
    <row r="22" spans="1:23" ht="12" customHeight="1">
      <c r="A22" s="177"/>
      <c r="B22" s="196" t="str">
        <f>UPPER(LEFT(TRIM(Data!B20),1)) &amp; MID(TRIM(Data!B20),2,50)</f>
        <v>Kaulų ir jungiamojo audinio</v>
      </c>
      <c r="C22" s="197" t="str">
        <f>Data!C20</f>
        <v>C40-C41, C45-C47, C49</v>
      </c>
      <c r="D22" s="201">
        <f>Data!AN20/D$2*100000</f>
        <v>1.2911555842479019</v>
      </c>
      <c r="E22" s="201">
        <f>Data!AO20/E$2*100000</f>
        <v>0</v>
      </c>
      <c r="F22" s="201">
        <f>Data!AP20/F$2*100000</f>
        <v>0</v>
      </c>
      <c r="G22" s="201">
        <f>Data!AQ20/G$2*100000</f>
        <v>0</v>
      </c>
      <c r="H22" s="201">
        <f>Data!AR20/H$2*100000</f>
        <v>0.90873567605390626</v>
      </c>
      <c r="I22" s="201">
        <f>Data!AS20/I$2*100000</f>
        <v>1.0050756319413037</v>
      </c>
      <c r="J22" s="201">
        <f>Data!AT20/J$2*100000</f>
        <v>2.2595040388634695</v>
      </c>
      <c r="K22" s="201">
        <f>Data!AU20/K$2*100000</f>
        <v>1.0960946148871571</v>
      </c>
      <c r="L22" s="201">
        <f>Data!AV20/L$2*100000</f>
        <v>1.9782980701702326</v>
      </c>
      <c r="M22" s="201">
        <f>Data!AW20/M$2*100000</f>
        <v>1.952209901608621</v>
      </c>
      <c r="N22" s="201">
        <f>Data!AX20/N$2*100000</f>
        <v>0.90569045311693375</v>
      </c>
      <c r="O22" s="201">
        <f>Data!AY20/O$2*100000</f>
        <v>3.3942027017853507</v>
      </c>
      <c r="P22" s="201">
        <f>Data!AZ20/P$2*100000</f>
        <v>5.5161001172171273</v>
      </c>
      <c r="Q22" s="201">
        <f>Data!BA20/Q$2*100000</f>
        <v>9.3165387195349183</v>
      </c>
      <c r="R22" s="201">
        <f>Data!BB20/R$2*100000</f>
        <v>5.851831623298092</v>
      </c>
      <c r="S22" s="201">
        <f>Data!BC20/S$2*100000</f>
        <v>5.1222947880650525</v>
      </c>
      <c r="T22" s="201">
        <f>Data!BD20/T$2*100000</f>
        <v>11.973180076628353</v>
      </c>
      <c r="U22" s="201">
        <f>Data!BE20/U$2*100000</f>
        <v>7.4576776791707058</v>
      </c>
      <c r="V22" s="201">
        <f>Data!E20/V$2*100000</f>
        <v>2.3487221116773327</v>
      </c>
      <c r="W22" s="177"/>
    </row>
    <row r="23" spans="1:23" ht="12" customHeight="1">
      <c r="A23" s="177"/>
      <c r="B23" s="182" t="str">
        <f>UPPER(LEFT(TRIM(Data!B21),1)) &amp; MID(TRIM(Data!B21),2,50)</f>
        <v>Odos melanoma</v>
      </c>
      <c r="C23" s="183" t="str">
        <f>Data!C21</f>
        <v>C43</v>
      </c>
      <c r="D23" s="200">
        <f>Data!AN21/D$2*100000</f>
        <v>0</v>
      </c>
      <c r="E23" s="200">
        <f>Data!AO21/E$2*100000</f>
        <v>0</v>
      </c>
      <c r="F23" s="200">
        <f>Data!AP21/F$2*100000</f>
        <v>0</v>
      </c>
      <c r="G23" s="200">
        <f>Data!AQ21/G$2*100000</f>
        <v>0</v>
      </c>
      <c r="H23" s="200">
        <f>Data!AR21/H$2*100000</f>
        <v>0</v>
      </c>
      <c r="I23" s="200">
        <f>Data!AS21/I$2*100000</f>
        <v>1.0050756319413037</v>
      </c>
      <c r="J23" s="200">
        <f>Data!AT21/J$2*100000</f>
        <v>0</v>
      </c>
      <c r="K23" s="200">
        <f>Data!AU21/K$2*100000</f>
        <v>2.1921892297743142</v>
      </c>
      <c r="L23" s="200">
        <f>Data!AV21/L$2*100000</f>
        <v>1.9782980701702326</v>
      </c>
      <c r="M23" s="200">
        <f>Data!AW21/M$2*100000</f>
        <v>2.9283148524129317</v>
      </c>
      <c r="N23" s="200">
        <f>Data!AX21/N$2*100000</f>
        <v>0.90569045311693375</v>
      </c>
      <c r="O23" s="200">
        <f>Data!AY21/O$2*100000</f>
        <v>5.6570045029755844</v>
      </c>
      <c r="P23" s="200">
        <f>Data!AZ21/P$2*100000</f>
        <v>8.2741501758256923</v>
      </c>
      <c r="Q23" s="200">
        <f>Data!BA21/Q$2*100000</f>
        <v>5.5899232317209515</v>
      </c>
      <c r="R23" s="200">
        <f>Data!BB21/R$2*100000</f>
        <v>7.8024421643974557</v>
      </c>
      <c r="S23" s="200">
        <f>Data!BC21/S$2*100000</f>
        <v>23.050326546292741</v>
      </c>
      <c r="T23" s="200">
        <f>Data!BD21/T$2*100000</f>
        <v>11.973180076628353</v>
      </c>
      <c r="U23" s="200">
        <f>Data!BE21/U$2*100000</f>
        <v>14.915355358341412</v>
      </c>
      <c r="V23" s="200">
        <f>Data!E21/V$2*100000</f>
        <v>3.0093002055865825</v>
      </c>
      <c r="W23" s="177"/>
    </row>
    <row r="24" spans="1:23" ht="12" customHeight="1">
      <c r="A24" s="177"/>
      <c r="B24" s="196" t="str">
        <f>UPPER(LEFT(TRIM(Data!B22),1)) &amp; MID(TRIM(Data!B22),2,50)</f>
        <v>Kiti odos piktybiniai navikai</v>
      </c>
      <c r="C24" s="197" t="str">
        <f>Data!C22</f>
        <v>C44</v>
      </c>
      <c r="D24" s="201">
        <f>Data!AN22/D$2*100000</f>
        <v>0</v>
      </c>
      <c r="E24" s="201">
        <f>Data!AO22/E$2*100000</f>
        <v>0</v>
      </c>
      <c r="F24" s="201">
        <f>Data!AP22/F$2*100000</f>
        <v>0</v>
      </c>
      <c r="G24" s="201">
        <f>Data!AQ22/G$2*100000</f>
        <v>0</v>
      </c>
      <c r="H24" s="201">
        <f>Data!AR22/H$2*100000</f>
        <v>0</v>
      </c>
      <c r="I24" s="201">
        <f>Data!AS22/I$2*100000</f>
        <v>0</v>
      </c>
      <c r="J24" s="201">
        <f>Data!AT22/J$2*100000</f>
        <v>0</v>
      </c>
      <c r="K24" s="201">
        <f>Data!AU22/K$2*100000</f>
        <v>0</v>
      </c>
      <c r="L24" s="201">
        <f>Data!AV22/L$2*100000</f>
        <v>0</v>
      </c>
      <c r="M24" s="201">
        <f>Data!AW22/M$2*100000</f>
        <v>0</v>
      </c>
      <c r="N24" s="201">
        <f>Data!AX22/N$2*100000</f>
        <v>0</v>
      </c>
      <c r="O24" s="201">
        <f>Data!AY22/O$2*100000</f>
        <v>3.3942027017853507</v>
      </c>
      <c r="P24" s="201">
        <f>Data!AZ22/P$2*100000</f>
        <v>1.3790250293042818</v>
      </c>
      <c r="Q24" s="201">
        <f>Data!BA22/Q$2*100000</f>
        <v>5.5899232317209515</v>
      </c>
      <c r="R24" s="201">
        <f>Data!BB22/R$2*100000</f>
        <v>3.9012210821987279</v>
      </c>
      <c r="S24" s="201">
        <f>Data!BC22/S$2*100000</f>
        <v>7.68344218209758</v>
      </c>
      <c r="T24" s="201">
        <f>Data!BD22/T$2*100000</f>
        <v>11.973180076628353</v>
      </c>
      <c r="U24" s="201">
        <f>Data!BE22/U$2*100000</f>
        <v>22.373033037512119</v>
      </c>
      <c r="V24" s="201">
        <f>Data!E22/V$2*100000</f>
        <v>1.3211561878184994</v>
      </c>
      <c r="W24" s="177"/>
    </row>
    <row r="25" spans="1:23" ht="12" customHeight="1">
      <c r="A25" s="177"/>
      <c r="B25" s="182" t="str">
        <f>UPPER(LEFT(TRIM(Data!B23),1)) &amp; MID(TRIM(Data!B23),2,50)</f>
        <v>Krūties</v>
      </c>
      <c r="C25" s="183" t="str">
        <f>Data!C23</f>
        <v>C50</v>
      </c>
      <c r="D25" s="200">
        <f>Data!AN23/D$2*100000</f>
        <v>0</v>
      </c>
      <c r="E25" s="200">
        <f>Data!AO23/E$2*100000</f>
        <v>0</v>
      </c>
      <c r="F25" s="200">
        <f>Data!AP23/F$2*100000</f>
        <v>0</v>
      </c>
      <c r="G25" s="200">
        <f>Data!AQ23/G$2*100000</f>
        <v>0</v>
      </c>
      <c r="H25" s="200">
        <f>Data!AR23/H$2*100000</f>
        <v>0</v>
      </c>
      <c r="I25" s="200">
        <f>Data!AS23/I$2*100000</f>
        <v>0</v>
      </c>
      <c r="J25" s="200">
        <f>Data!AT23/J$2*100000</f>
        <v>0</v>
      </c>
      <c r="K25" s="200">
        <f>Data!AU23/K$2*100000</f>
        <v>0</v>
      </c>
      <c r="L25" s="200">
        <f>Data!AV23/L$2*100000</f>
        <v>0</v>
      </c>
      <c r="M25" s="200">
        <f>Data!AW23/M$2*100000</f>
        <v>0</v>
      </c>
      <c r="N25" s="200">
        <f>Data!AX23/N$2*100000</f>
        <v>0</v>
      </c>
      <c r="O25" s="200">
        <f>Data!AY23/O$2*100000</f>
        <v>0</v>
      </c>
      <c r="P25" s="200">
        <f>Data!AZ23/P$2*100000</f>
        <v>0</v>
      </c>
      <c r="Q25" s="200">
        <f>Data!BA23/Q$2*100000</f>
        <v>0</v>
      </c>
      <c r="R25" s="200">
        <f>Data!BB23/R$2*100000</f>
        <v>3.9012210821987279</v>
      </c>
      <c r="S25" s="200">
        <f>Data!BC23/S$2*100000</f>
        <v>2.5611473940325262</v>
      </c>
      <c r="T25" s="200">
        <f>Data!BD23/T$2*100000</f>
        <v>0</v>
      </c>
      <c r="U25" s="200">
        <f>Data!BE23/U$2*100000</f>
        <v>7.4576776791707058</v>
      </c>
      <c r="V25" s="200">
        <f>Data!E23/V$2*100000</f>
        <v>0.29359026395966659</v>
      </c>
      <c r="W25" s="177"/>
    </row>
    <row r="26" spans="1:23" ht="12" customHeight="1">
      <c r="A26" s="177"/>
      <c r="B26" s="196" t="str">
        <f>UPPER(LEFT(TRIM(Data!B28),1)) &amp; MID(TRIM(Data!B28),2,50)</f>
        <v>Priešinės liaukos</v>
      </c>
      <c r="C26" s="197" t="str">
        <f>Data!C28</f>
        <v>C61</v>
      </c>
      <c r="D26" s="201">
        <f>Data!AN28/D$2*100000</f>
        <v>0</v>
      </c>
      <c r="E26" s="201">
        <f>Data!AO28/E$2*100000</f>
        <v>0</v>
      </c>
      <c r="F26" s="201">
        <f>Data!AP28/F$2*100000</f>
        <v>0</v>
      </c>
      <c r="G26" s="201">
        <f>Data!AQ28/G$2*100000</f>
        <v>0</v>
      </c>
      <c r="H26" s="201">
        <f>Data!AR28/H$2*100000</f>
        <v>0</v>
      </c>
      <c r="I26" s="201">
        <f>Data!AS28/I$2*100000</f>
        <v>1.0050756319413037</v>
      </c>
      <c r="J26" s="201">
        <f>Data!AT28/J$2*100000</f>
        <v>0</v>
      </c>
      <c r="K26" s="201">
        <f>Data!AU28/K$2*100000</f>
        <v>0</v>
      </c>
      <c r="L26" s="201">
        <f>Data!AV28/L$2*100000</f>
        <v>0</v>
      </c>
      <c r="M26" s="201">
        <f>Data!AW28/M$2*100000</f>
        <v>2.9283148524129317</v>
      </c>
      <c r="N26" s="201">
        <f>Data!AX28/N$2*100000</f>
        <v>3.622761812467735</v>
      </c>
      <c r="O26" s="201">
        <f>Data!AY28/O$2*100000</f>
        <v>21.49661711130722</v>
      </c>
      <c r="P26" s="201">
        <f>Data!AZ28/P$2*100000</f>
        <v>41.370750879128458</v>
      </c>
      <c r="Q26" s="201">
        <f>Data!BA28/Q$2*100000</f>
        <v>100.61861817097711</v>
      </c>
      <c r="R26" s="201">
        <f>Data!BB28/R$2*100000</f>
        <v>173.60433815784342</v>
      </c>
      <c r="S26" s="201">
        <f>Data!BC28/S$2*100000</f>
        <v>276.60391855551285</v>
      </c>
      <c r="T26" s="201">
        <f>Data!BD28/T$2*100000</f>
        <v>538.79310344827593</v>
      </c>
      <c r="U26" s="201">
        <f>Data!BE28/U$2*100000</f>
        <v>641.36028040868075</v>
      </c>
      <c r="V26" s="201">
        <f>Data!E28/V$2*100000</f>
        <v>38.827312408665904</v>
      </c>
      <c r="W26" s="177"/>
    </row>
    <row r="27" spans="1:23" ht="12" customHeight="1">
      <c r="A27" s="177"/>
      <c r="B27" s="182" t="str">
        <f>UPPER(LEFT(TRIM(Data!B29),1)) &amp; MID(TRIM(Data!B29),2,50)</f>
        <v>Sėklidžių</v>
      </c>
      <c r="C27" s="183" t="str">
        <f>Data!C29</f>
        <v>C62</v>
      </c>
      <c r="D27" s="200">
        <f>Data!AN29/D$2*100000</f>
        <v>0</v>
      </c>
      <c r="E27" s="200">
        <f>Data!AO29/E$2*100000</f>
        <v>0</v>
      </c>
      <c r="F27" s="200">
        <f>Data!AP29/F$2*100000</f>
        <v>0</v>
      </c>
      <c r="G27" s="200">
        <f>Data!AQ29/G$2*100000</f>
        <v>0</v>
      </c>
      <c r="H27" s="200">
        <f>Data!AR29/H$2*100000</f>
        <v>0</v>
      </c>
      <c r="I27" s="200">
        <f>Data!AS29/I$2*100000</f>
        <v>0</v>
      </c>
      <c r="J27" s="200">
        <f>Data!AT29/J$2*100000</f>
        <v>1.1297520194317348</v>
      </c>
      <c r="K27" s="200">
        <f>Data!AU29/K$2*100000</f>
        <v>1.0960946148871571</v>
      </c>
      <c r="L27" s="200">
        <f>Data!AV29/L$2*100000</f>
        <v>1.9782980701702326</v>
      </c>
      <c r="M27" s="200">
        <f>Data!AW29/M$2*100000</f>
        <v>0</v>
      </c>
      <c r="N27" s="200">
        <f>Data!AX29/N$2*100000</f>
        <v>0</v>
      </c>
      <c r="O27" s="200">
        <f>Data!AY29/O$2*100000</f>
        <v>1.1314009005951169</v>
      </c>
      <c r="P27" s="200">
        <f>Data!AZ29/P$2*100000</f>
        <v>1.3790250293042818</v>
      </c>
      <c r="Q27" s="200">
        <f>Data!BA29/Q$2*100000</f>
        <v>0</v>
      </c>
      <c r="R27" s="200">
        <f>Data!BB29/R$2*100000</f>
        <v>0</v>
      </c>
      <c r="S27" s="200">
        <f>Data!BC29/S$2*100000</f>
        <v>0</v>
      </c>
      <c r="T27" s="200">
        <f>Data!BD29/T$2*100000</f>
        <v>3.9910600255427844</v>
      </c>
      <c r="U27" s="200">
        <f>Data!BE29/U$2*100000</f>
        <v>0</v>
      </c>
      <c r="V27" s="200">
        <f>Data!E29/V$2*100000</f>
        <v>0.51378296192941653</v>
      </c>
      <c r="W27" s="177"/>
    </row>
    <row r="28" spans="1:23" ht="12" customHeight="1">
      <c r="A28" s="177"/>
      <c r="B28" s="196" t="str">
        <f>UPPER(LEFT(TRIM(Data!B30),1)) &amp; MID(TRIM(Data!B30),2,50)</f>
        <v>Kitų lyties organų</v>
      </c>
      <c r="C28" s="197" t="s">
        <v>416</v>
      </c>
      <c r="D28" s="201">
        <f>Data!AN30/D$2*100000</f>
        <v>0</v>
      </c>
      <c r="E28" s="201">
        <f>Data!AO30/E$2*100000</f>
        <v>0</v>
      </c>
      <c r="F28" s="201">
        <f>Data!AP30/F$2*100000</f>
        <v>0</v>
      </c>
      <c r="G28" s="201">
        <f>Data!AQ30/G$2*100000</f>
        <v>0</v>
      </c>
      <c r="H28" s="201">
        <f>Data!AR30/H$2*100000</f>
        <v>0</v>
      </c>
      <c r="I28" s="201">
        <f>Data!AS30/I$2*100000</f>
        <v>0</v>
      </c>
      <c r="J28" s="201">
        <f>Data!AT30/J$2*100000</f>
        <v>0</v>
      </c>
      <c r="K28" s="201">
        <f>Data!AU30/K$2*100000</f>
        <v>0</v>
      </c>
      <c r="L28" s="201">
        <f>Data!AV30/L$2*100000</f>
        <v>0.98914903508511631</v>
      </c>
      <c r="M28" s="201">
        <f>Data!AW30/M$2*100000</f>
        <v>0</v>
      </c>
      <c r="N28" s="201">
        <f>Data!AX30/N$2*100000</f>
        <v>0</v>
      </c>
      <c r="O28" s="201">
        <f>Data!AY30/O$2*100000</f>
        <v>1.1314009005951169</v>
      </c>
      <c r="P28" s="201">
        <f>Data!AZ30/P$2*100000</f>
        <v>2.7580500586085637</v>
      </c>
      <c r="Q28" s="201">
        <f>Data!BA30/Q$2*100000</f>
        <v>1.8633077439069838</v>
      </c>
      <c r="R28" s="201">
        <f>Data!BB30/R$2*100000</f>
        <v>1.9506105410993639</v>
      </c>
      <c r="S28" s="201">
        <f>Data!BC30/S$2*100000</f>
        <v>0</v>
      </c>
      <c r="T28" s="201">
        <f>Data!BD30/T$2*100000</f>
        <v>7.9821200510855688</v>
      </c>
      <c r="U28" s="201">
        <f>Data!BE30/U$2*100000</f>
        <v>0</v>
      </c>
      <c r="V28" s="201">
        <f>Data!E30/V$2*100000</f>
        <v>0.58718052791933317</v>
      </c>
      <c r="W28" s="177"/>
    </row>
    <row r="29" spans="1:23" ht="12" customHeight="1">
      <c r="A29" s="177"/>
      <c r="B29" s="182" t="str">
        <f>UPPER(LEFT(TRIM(Data!B31),1)) &amp; MID(TRIM(Data!B31),2,50)</f>
        <v>Inkstų</v>
      </c>
      <c r="C29" s="183" t="str">
        <f>Data!C31</f>
        <v>C64</v>
      </c>
      <c r="D29" s="200">
        <f>Data!AN31/D$2*100000</f>
        <v>0</v>
      </c>
      <c r="E29" s="200">
        <f>Data!AO31/E$2*100000</f>
        <v>0</v>
      </c>
      <c r="F29" s="200">
        <f>Data!AP31/F$2*100000</f>
        <v>0</v>
      </c>
      <c r="G29" s="200">
        <f>Data!AQ31/G$2*100000</f>
        <v>0</v>
      </c>
      <c r="H29" s="200">
        <f>Data!AR31/H$2*100000</f>
        <v>0</v>
      </c>
      <c r="I29" s="200">
        <f>Data!AS31/I$2*100000</f>
        <v>0</v>
      </c>
      <c r="J29" s="200">
        <f>Data!AT31/J$2*100000</f>
        <v>1.1297520194317348</v>
      </c>
      <c r="K29" s="200">
        <f>Data!AU31/K$2*100000</f>
        <v>1.0960946148871571</v>
      </c>
      <c r="L29" s="200">
        <f>Data!AV31/L$2*100000</f>
        <v>1.9782980701702326</v>
      </c>
      <c r="M29" s="200">
        <f>Data!AW31/M$2*100000</f>
        <v>6.8327346556301736</v>
      </c>
      <c r="N29" s="200">
        <f>Data!AX31/N$2*100000</f>
        <v>6.3398331718185359</v>
      </c>
      <c r="O29" s="200">
        <f>Data!AY31/O$2*100000</f>
        <v>22.628018011902338</v>
      </c>
      <c r="P29" s="200">
        <f>Data!AZ31/P$2*100000</f>
        <v>23.443425498172793</v>
      </c>
      <c r="Q29" s="200">
        <f>Data!BA31/Q$2*100000</f>
        <v>33.539539390325707</v>
      </c>
      <c r="R29" s="200">
        <f>Data!BB31/R$2*100000</f>
        <v>60.468926774080288</v>
      </c>
      <c r="S29" s="200">
        <f>Data!BC31/S$2*100000</f>
        <v>76.834421820975805</v>
      </c>
      <c r="T29" s="200">
        <f>Data!BD31/T$2*100000</f>
        <v>71.839080459770116</v>
      </c>
      <c r="U29" s="200">
        <f>Data!BE31/U$2*100000</f>
        <v>89.492132150048477</v>
      </c>
      <c r="V29" s="200">
        <f>Data!E31/V$2*100000</f>
        <v>12.03720082234633</v>
      </c>
      <c r="W29" s="177"/>
    </row>
    <row r="30" spans="1:23" ht="12" customHeight="1">
      <c r="A30" s="177"/>
      <c r="B30" s="196" t="str">
        <f>UPPER(LEFT(TRIM(Data!B32),1)) &amp; MID(TRIM(Data!B32),2,50)</f>
        <v>Šlapimo pūslės</v>
      </c>
      <c r="C30" s="197" t="str">
        <f>Data!C32</f>
        <v>C67</v>
      </c>
      <c r="D30" s="201">
        <f>Data!AN32/D$2*100000</f>
        <v>0</v>
      </c>
      <c r="E30" s="201">
        <f>Data!AO32/E$2*100000</f>
        <v>0</v>
      </c>
      <c r="F30" s="201">
        <f>Data!AP32/F$2*100000</f>
        <v>0</v>
      </c>
      <c r="G30" s="201">
        <f>Data!AQ32/G$2*100000</f>
        <v>0</v>
      </c>
      <c r="H30" s="201">
        <f>Data!AR32/H$2*100000</f>
        <v>0</v>
      </c>
      <c r="I30" s="201">
        <f>Data!AS32/I$2*100000</f>
        <v>0</v>
      </c>
      <c r="J30" s="201">
        <f>Data!AT32/J$2*100000</f>
        <v>0</v>
      </c>
      <c r="K30" s="201">
        <f>Data!AU32/K$2*100000</f>
        <v>0</v>
      </c>
      <c r="L30" s="201">
        <f>Data!AV32/L$2*100000</f>
        <v>0</v>
      </c>
      <c r="M30" s="201">
        <f>Data!AW32/M$2*100000</f>
        <v>0</v>
      </c>
      <c r="N30" s="201">
        <f>Data!AX32/N$2*100000</f>
        <v>6.3398331718185359</v>
      </c>
      <c r="O30" s="201">
        <f>Data!AY32/O$2*100000</f>
        <v>7.9198063041658182</v>
      </c>
      <c r="P30" s="201">
        <f>Data!AZ32/P$2*100000</f>
        <v>19.306350410259949</v>
      </c>
      <c r="Q30" s="201">
        <f>Data!BA32/Q$2*100000</f>
        <v>22.359692926883806</v>
      </c>
      <c r="R30" s="201">
        <f>Data!BB32/R$2*100000</f>
        <v>60.468926774080288</v>
      </c>
      <c r="S30" s="201">
        <f>Data!BC32/S$2*100000</f>
        <v>99.884748367268543</v>
      </c>
      <c r="T30" s="201">
        <f>Data!BD32/T$2*100000</f>
        <v>67.848020434227337</v>
      </c>
      <c r="U30" s="201">
        <f>Data!BE32/U$2*100000</f>
        <v>141.69587590424342</v>
      </c>
      <c r="V30" s="201">
        <f>Data!E32/V$2*100000</f>
        <v>10.71604463452783</v>
      </c>
      <c r="W30" s="177"/>
    </row>
    <row r="31" spans="1:23" ht="12" customHeight="1">
      <c r="A31" s="177"/>
      <c r="B31" s="182" t="str">
        <f>UPPER(LEFT(TRIM(Data!B33),1)) &amp; MID(TRIM(Data!B33),2,50)</f>
        <v>Kitų šlapimą išskiriančių organų</v>
      </c>
      <c r="C31" s="183" t="str">
        <f>Data!C33</f>
        <v>C65, C66, C68</v>
      </c>
      <c r="D31" s="200">
        <f>Data!AN33/D$2*100000</f>
        <v>0</v>
      </c>
      <c r="E31" s="200">
        <f>Data!AO33/E$2*100000</f>
        <v>0</v>
      </c>
      <c r="F31" s="200">
        <f>Data!AP33/F$2*100000</f>
        <v>0</v>
      </c>
      <c r="G31" s="200">
        <f>Data!AQ33/G$2*100000</f>
        <v>0</v>
      </c>
      <c r="H31" s="200">
        <f>Data!AR33/H$2*100000</f>
        <v>0</v>
      </c>
      <c r="I31" s="200">
        <f>Data!AS33/I$2*100000</f>
        <v>0</v>
      </c>
      <c r="J31" s="200">
        <f>Data!AT33/J$2*100000</f>
        <v>0</v>
      </c>
      <c r="K31" s="200">
        <f>Data!AU33/K$2*100000</f>
        <v>0</v>
      </c>
      <c r="L31" s="200">
        <f>Data!AV33/L$2*100000</f>
        <v>0</v>
      </c>
      <c r="M31" s="200">
        <f>Data!AW33/M$2*100000</f>
        <v>1.952209901608621</v>
      </c>
      <c r="N31" s="200">
        <f>Data!AX33/N$2*100000</f>
        <v>1.8113809062338675</v>
      </c>
      <c r="O31" s="200">
        <f>Data!AY33/O$2*100000</f>
        <v>1.1314009005951169</v>
      </c>
      <c r="P31" s="200">
        <f>Data!AZ33/P$2*100000</f>
        <v>0</v>
      </c>
      <c r="Q31" s="200">
        <f>Data!BA33/Q$2*100000</f>
        <v>3.7266154878139677</v>
      </c>
      <c r="R31" s="200">
        <f>Data!BB33/R$2*100000</f>
        <v>5.851831623298092</v>
      </c>
      <c r="S31" s="200">
        <f>Data!BC33/S$2*100000</f>
        <v>5.1222947880650525</v>
      </c>
      <c r="T31" s="200">
        <f>Data!BD33/T$2*100000</f>
        <v>3.9910600255427844</v>
      </c>
      <c r="U31" s="200">
        <f>Data!BE33/U$2*100000</f>
        <v>0</v>
      </c>
      <c r="V31" s="200">
        <f>Data!E33/V$2*100000</f>
        <v>0.95416835786891629</v>
      </c>
      <c r="W31" s="177"/>
    </row>
    <row r="32" spans="1:23" ht="12" customHeight="1">
      <c r="A32" s="177"/>
      <c r="B32" s="196" t="str">
        <f>UPPER(LEFT(TRIM(Data!B34),1)) &amp; MID(TRIM(Data!B34),2,50)</f>
        <v>Akių</v>
      </c>
      <c r="C32" s="197" t="str">
        <f>Data!C34</f>
        <v>C69</v>
      </c>
      <c r="D32" s="201">
        <f>Data!AN34/D$2*100000</f>
        <v>0</v>
      </c>
      <c r="E32" s="201">
        <f>Data!AO34/E$2*100000</f>
        <v>0</v>
      </c>
      <c r="F32" s="201">
        <f>Data!AP34/F$2*100000</f>
        <v>0</v>
      </c>
      <c r="G32" s="201">
        <f>Data!AQ34/G$2*100000</f>
        <v>0</v>
      </c>
      <c r="H32" s="201">
        <f>Data!AR34/H$2*100000</f>
        <v>0</v>
      </c>
      <c r="I32" s="201">
        <f>Data!AS34/I$2*100000</f>
        <v>0</v>
      </c>
      <c r="J32" s="201">
        <f>Data!AT34/J$2*100000</f>
        <v>0</v>
      </c>
      <c r="K32" s="201">
        <f>Data!AU34/K$2*100000</f>
        <v>0</v>
      </c>
      <c r="L32" s="201">
        <f>Data!AV34/L$2*100000</f>
        <v>0</v>
      </c>
      <c r="M32" s="201">
        <f>Data!AW34/M$2*100000</f>
        <v>0</v>
      </c>
      <c r="N32" s="201">
        <f>Data!AX34/N$2*100000</f>
        <v>0</v>
      </c>
      <c r="O32" s="201">
        <f>Data!AY34/O$2*100000</f>
        <v>2.2628018011902338</v>
      </c>
      <c r="P32" s="201">
        <f>Data!AZ34/P$2*100000</f>
        <v>0</v>
      </c>
      <c r="Q32" s="201">
        <f>Data!BA34/Q$2*100000</f>
        <v>1.8633077439069838</v>
      </c>
      <c r="R32" s="201">
        <f>Data!BB34/R$2*100000</f>
        <v>0</v>
      </c>
      <c r="S32" s="201">
        <f>Data!BC34/S$2*100000</f>
        <v>0</v>
      </c>
      <c r="T32" s="201">
        <f>Data!BD34/T$2*100000</f>
        <v>0</v>
      </c>
      <c r="U32" s="201">
        <f>Data!BE34/U$2*100000</f>
        <v>0</v>
      </c>
      <c r="V32" s="201">
        <f>Data!E34/V$2*100000</f>
        <v>0.22019269796974991</v>
      </c>
      <c r="W32" s="177"/>
    </row>
    <row r="33" spans="1:23" ht="12" customHeight="1">
      <c r="A33" s="177"/>
      <c r="B33" s="182" t="str">
        <f>UPPER(LEFT(TRIM(Data!B35),1)) &amp; MID(TRIM(Data!B35),2,50)</f>
        <v>Smegenų</v>
      </c>
      <c r="C33" s="183" t="str">
        <f>Data!C35</f>
        <v>C70-C72</v>
      </c>
      <c r="D33" s="200">
        <f>Data!AN35/D$2*100000</f>
        <v>0</v>
      </c>
      <c r="E33" s="200">
        <f>Data!AO35/E$2*100000</f>
        <v>0</v>
      </c>
      <c r="F33" s="200">
        <f>Data!AP35/F$2*100000</f>
        <v>2.6386616708005697</v>
      </c>
      <c r="G33" s="200">
        <f>Data!AQ35/G$2*100000</f>
        <v>1.0683304132302038</v>
      </c>
      <c r="H33" s="200">
        <f>Data!AR35/H$2*100000</f>
        <v>0.90873567605390626</v>
      </c>
      <c r="I33" s="200">
        <f>Data!AS35/I$2*100000</f>
        <v>1.0050756319413037</v>
      </c>
      <c r="J33" s="200">
        <f>Data!AT35/J$2*100000</f>
        <v>1.1297520194317348</v>
      </c>
      <c r="K33" s="200">
        <f>Data!AU35/K$2*100000</f>
        <v>7.6726623042100996</v>
      </c>
      <c r="L33" s="200">
        <f>Data!AV35/L$2*100000</f>
        <v>4.9457451754255812</v>
      </c>
      <c r="M33" s="200">
        <f>Data!AW35/M$2*100000</f>
        <v>6.8327346556301736</v>
      </c>
      <c r="N33" s="200">
        <f>Data!AX35/N$2*100000</f>
        <v>13.585356796754006</v>
      </c>
      <c r="O33" s="200">
        <f>Data!AY35/O$2*100000</f>
        <v>16.971013508926756</v>
      </c>
      <c r="P33" s="200">
        <f>Data!AZ35/P$2*100000</f>
        <v>22.064400468868509</v>
      </c>
      <c r="Q33" s="200">
        <f>Data!BA35/Q$2*100000</f>
        <v>14.906461951255871</v>
      </c>
      <c r="R33" s="200">
        <f>Data!BB35/R$2*100000</f>
        <v>35.110989739788558</v>
      </c>
      <c r="S33" s="200">
        <f>Data!BC35/S$2*100000</f>
        <v>23.050326546292741</v>
      </c>
      <c r="T33" s="200">
        <f>Data!BD35/T$2*100000</f>
        <v>35.919540229885058</v>
      </c>
      <c r="U33" s="200">
        <f>Data!BE35/U$2*100000</f>
        <v>22.373033037512119</v>
      </c>
      <c r="V33" s="200">
        <f>Data!E35/V$2*100000</f>
        <v>8.6609127868101634</v>
      </c>
      <c r="W33" s="177"/>
    </row>
    <row r="34" spans="1:23" ht="12" customHeight="1">
      <c r="A34" s="177"/>
      <c r="B34" s="196" t="str">
        <f>UPPER(LEFT(TRIM(Data!B36),1)) &amp; MID(TRIM(Data!B36),2,50)</f>
        <v>Skydliaukės</v>
      </c>
      <c r="C34" s="197" t="str">
        <f>Data!C36</f>
        <v>C73</v>
      </c>
      <c r="D34" s="201">
        <f>Data!AN36/D$2*100000</f>
        <v>0</v>
      </c>
      <c r="E34" s="201">
        <f>Data!AO36/E$2*100000</f>
        <v>0</v>
      </c>
      <c r="F34" s="201">
        <f>Data!AP36/F$2*100000</f>
        <v>0</v>
      </c>
      <c r="G34" s="201">
        <f>Data!AQ36/G$2*100000</f>
        <v>0</v>
      </c>
      <c r="H34" s="201">
        <f>Data!AR36/H$2*100000</f>
        <v>0</v>
      </c>
      <c r="I34" s="201">
        <f>Data!AS36/I$2*100000</f>
        <v>0</v>
      </c>
      <c r="J34" s="201">
        <f>Data!AT36/J$2*100000</f>
        <v>0</v>
      </c>
      <c r="K34" s="201">
        <f>Data!AU36/K$2*100000</f>
        <v>0</v>
      </c>
      <c r="L34" s="201">
        <f>Data!AV36/L$2*100000</f>
        <v>0.98914903508511631</v>
      </c>
      <c r="M34" s="201">
        <f>Data!AW36/M$2*100000</f>
        <v>0</v>
      </c>
      <c r="N34" s="201">
        <f>Data!AX36/N$2*100000</f>
        <v>0.90569045311693375</v>
      </c>
      <c r="O34" s="201">
        <f>Data!AY36/O$2*100000</f>
        <v>0</v>
      </c>
      <c r="P34" s="201">
        <f>Data!AZ36/P$2*100000</f>
        <v>0</v>
      </c>
      <c r="Q34" s="201">
        <f>Data!BA36/Q$2*100000</f>
        <v>0</v>
      </c>
      <c r="R34" s="201">
        <f>Data!BB36/R$2*100000</f>
        <v>1.9506105410993639</v>
      </c>
      <c r="S34" s="201">
        <f>Data!BC36/S$2*100000</f>
        <v>0</v>
      </c>
      <c r="T34" s="201">
        <f>Data!BD36/T$2*100000</f>
        <v>0</v>
      </c>
      <c r="U34" s="201">
        <f>Data!BE36/U$2*100000</f>
        <v>0</v>
      </c>
      <c r="V34" s="201">
        <f>Data!E36/V$2*100000</f>
        <v>0.22019269796974991</v>
      </c>
      <c r="W34" s="177"/>
    </row>
    <row r="35" spans="1:23" ht="12" customHeight="1">
      <c r="A35" s="177"/>
      <c r="B35" s="182" t="str">
        <f>UPPER(LEFT(TRIM(Data!B37),1)) &amp; MID(TRIM(Data!B37),2,50)</f>
        <v>Kitų endokrininių liaukų</v>
      </c>
      <c r="C35" s="183" t="str">
        <f>Data!C37</f>
        <v>C74-C75</v>
      </c>
      <c r="D35" s="200">
        <f>Data!AN37/D$2*100000</f>
        <v>0</v>
      </c>
      <c r="E35" s="200">
        <f>Data!AO37/E$2*100000</f>
        <v>0</v>
      </c>
      <c r="F35" s="200">
        <f>Data!AP37/F$2*100000</f>
        <v>0</v>
      </c>
      <c r="G35" s="200">
        <f>Data!AQ37/G$2*100000</f>
        <v>0</v>
      </c>
      <c r="H35" s="200">
        <f>Data!AR37/H$2*100000</f>
        <v>0</v>
      </c>
      <c r="I35" s="200">
        <f>Data!AS37/I$2*100000</f>
        <v>0</v>
      </c>
      <c r="J35" s="200">
        <f>Data!AT37/J$2*100000</f>
        <v>0</v>
      </c>
      <c r="K35" s="200">
        <f>Data!AU37/K$2*100000</f>
        <v>0</v>
      </c>
      <c r="L35" s="200">
        <f>Data!AV37/L$2*100000</f>
        <v>0</v>
      </c>
      <c r="M35" s="200">
        <f>Data!AW37/M$2*100000</f>
        <v>0.97610495080431048</v>
      </c>
      <c r="N35" s="200">
        <f>Data!AX37/N$2*100000</f>
        <v>1.8113809062338675</v>
      </c>
      <c r="O35" s="200">
        <f>Data!AY37/O$2*100000</f>
        <v>1.1314009005951169</v>
      </c>
      <c r="P35" s="200">
        <f>Data!AZ37/P$2*100000</f>
        <v>2.7580500586085637</v>
      </c>
      <c r="Q35" s="200">
        <f>Data!BA37/Q$2*100000</f>
        <v>1.8633077439069838</v>
      </c>
      <c r="R35" s="200">
        <f>Data!BB37/R$2*100000</f>
        <v>7.8024421643974557</v>
      </c>
      <c r="S35" s="200">
        <f>Data!BC37/S$2*100000</f>
        <v>2.5611473940325262</v>
      </c>
      <c r="T35" s="200">
        <f>Data!BD37/T$2*100000</f>
        <v>0</v>
      </c>
      <c r="U35" s="200">
        <f>Data!BE37/U$2*100000</f>
        <v>0</v>
      </c>
      <c r="V35" s="200">
        <f>Data!E37/V$2*100000</f>
        <v>0.88077079187899965</v>
      </c>
      <c r="W35" s="177"/>
    </row>
    <row r="36" spans="1:23" ht="12" customHeight="1">
      <c r="A36" s="177"/>
      <c r="B36" s="196" t="str">
        <f>UPPER(LEFT(TRIM(Data!B38),1)) &amp; MID(TRIM(Data!B38),2,50)</f>
        <v>Nepatikslintos lokalizacijos</v>
      </c>
      <c r="C36" s="197" t="str">
        <f>Data!C38</f>
        <v>C76-C80</v>
      </c>
      <c r="D36" s="201">
        <f>Data!AN38/D$2*100000</f>
        <v>0</v>
      </c>
      <c r="E36" s="201">
        <f>Data!AO38/E$2*100000</f>
        <v>0</v>
      </c>
      <c r="F36" s="201">
        <f>Data!AP38/F$2*100000</f>
        <v>0</v>
      </c>
      <c r="G36" s="201">
        <f>Data!AQ38/G$2*100000</f>
        <v>0</v>
      </c>
      <c r="H36" s="201">
        <f>Data!AR38/H$2*100000</f>
        <v>0</v>
      </c>
      <c r="I36" s="201">
        <f>Data!AS38/I$2*100000</f>
        <v>1.0050756319413037</v>
      </c>
      <c r="J36" s="201">
        <f>Data!AT38/J$2*100000</f>
        <v>0</v>
      </c>
      <c r="K36" s="201">
        <f>Data!AU38/K$2*100000</f>
        <v>2.1921892297743142</v>
      </c>
      <c r="L36" s="201">
        <f>Data!AV38/L$2*100000</f>
        <v>1.9782980701702326</v>
      </c>
      <c r="M36" s="201">
        <f>Data!AW38/M$2*100000</f>
        <v>4.8805247540215522</v>
      </c>
      <c r="N36" s="201">
        <f>Data!AX38/N$2*100000</f>
        <v>9.0569045311693372</v>
      </c>
      <c r="O36" s="201">
        <f>Data!AY38/O$2*100000</f>
        <v>29.416423415473041</v>
      </c>
      <c r="P36" s="201">
        <f>Data!AZ38/P$2*100000</f>
        <v>30.338550644694205</v>
      </c>
      <c r="Q36" s="201">
        <f>Data!BA38/Q$2*100000</f>
        <v>44.719385853767612</v>
      </c>
      <c r="R36" s="201">
        <f>Data!BB38/R$2*100000</f>
        <v>64.370147856279019</v>
      </c>
      <c r="S36" s="201">
        <f>Data!BC38/S$2*100000</f>
        <v>92.201306185170964</v>
      </c>
      <c r="T36" s="201">
        <f>Data!BD38/T$2*100000</f>
        <v>79.821200510855689</v>
      </c>
      <c r="U36" s="201">
        <f>Data!BE38/U$2*100000</f>
        <v>67.119099112536347</v>
      </c>
      <c r="V36" s="201">
        <f>Data!E38/V$2*100000</f>
        <v>13.945537538084162</v>
      </c>
      <c r="W36" s="177"/>
    </row>
    <row r="37" spans="1:23" ht="12" customHeight="1">
      <c r="A37" s="177"/>
      <c r="B37" s="182" t="str">
        <f>UPPER(LEFT(TRIM(Data!B39),1)) &amp; MID(TRIM(Data!B39),2,50)</f>
        <v>Hodžkino limfomos</v>
      </c>
      <c r="C37" s="183" t="str">
        <f>Data!C39</f>
        <v>C81</v>
      </c>
      <c r="D37" s="200">
        <f>Data!AN39/D$2*100000</f>
        <v>0</v>
      </c>
      <c r="E37" s="200">
        <f>Data!AO39/E$2*100000</f>
        <v>0</v>
      </c>
      <c r="F37" s="200">
        <f>Data!AP39/F$2*100000</f>
        <v>0</v>
      </c>
      <c r="G37" s="200">
        <f>Data!AQ39/G$2*100000</f>
        <v>1.0683304132302038</v>
      </c>
      <c r="H37" s="200">
        <f>Data!AR39/H$2*100000</f>
        <v>0</v>
      </c>
      <c r="I37" s="200">
        <f>Data!AS39/I$2*100000</f>
        <v>0</v>
      </c>
      <c r="J37" s="200">
        <f>Data!AT39/J$2*100000</f>
        <v>0</v>
      </c>
      <c r="K37" s="200">
        <f>Data!AU39/K$2*100000</f>
        <v>0</v>
      </c>
      <c r="L37" s="200">
        <f>Data!AV39/L$2*100000</f>
        <v>0.98914903508511631</v>
      </c>
      <c r="M37" s="200">
        <f>Data!AW39/M$2*100000</f>
        <v>0</v>
      </c>
      <c r="N37" s="200">
        <f>Data!AX39/N$2*100000</f>
        <v>0</v>
      </c>
      <c r="O37" s="200">
        <f>Data!AY39/O$2*100000</f>
        <v>0</v>
      </c>
      <c r="P37" s="200">
        <f>Data!AZ39/P$2*100000</f>
        <v>0</v>
      </c>
      <c r="Q37" s="200">
        <f>Data!BA39/Q$2*100000</f>
        <v>1.8633077439069838</v>
      </c>
      <c r="R37" s="200">
        <f>Data!BB39/R$2*100000</f>
        <v>0</v>
      </c>
      <c r="S37" s="200">
        <f>Data!BC39/S$2*100000</f>
        <v>2.5611473940325262</v>
      </c>
      <c r="T37" s="200">
        <f>Data!BD39/T$2*100000</f>
        <v>0</v>
      </c>
      <c r="U37" s="200">
        <f>Data!BE39/U$2*100000</f>
        <v>7.4576776791707058</v>
      </c>
      <c r="V37" s="200">
        <f>Data!E39/V$2*100000</f>
        <v>0.36698782994958323</v>
      </c>
      <c r="W37" s="177"/>
    </row>
    <row r="38" spans="1:23" ht="12" customHeight="1">
      <c r="A38" s="177"/>
      <c r="B38" s="196" t="str">
        <f>UPPER(LEFT(TRIM(Data!B40),1)) &amp; MID(TRIM(Data!B40),2,50)</f>
        <v>Ne Hodžkino limfomos</v>
      </c>
      <c r="C38" s="197" t="str">
        <f>Data!C40</f>
        <v>C82-C85</v>
      </c>
      <c r="D38" s="201">
        <f>Data!AN40/D$2*100000</f>
        <v>0</v>
      </c>
      <c r="E38" s="201">
        <f>Data!AO40/E$2*100000</f>
        <v>0</v>
      </c>
      <c r="F38" s="201">
        <f>Data!AP40/F$2*100000</f>
        <v>0</v>
      </c>
      <c r="G38" s="201">
        <f>Data!AQ40/G$2*100000</f>
        <v>0</v>
      </c>
      <c r="H38" s="201">
        <f>Data!AR40/H$2*100000</f>
        <v>0</v>
      </c>
      <c r="I38" s="201">
        <f>Data!AS40/I$2*100000</f>
        <v>0</v>
      </c>
      <c r="J38" s="201">
        <f>Data!AT40/J$2*100000</f>
        <v>0</v>
      </c>
      <c r="K38" s="201">
        <f>Data!AU40/K$2*100000</f>
        <v>2.1921892297743142</v>
      </c>
      <c r="L38" s="201">
        <f>Data!AV40/L$2*100000</f>
        <v>1.9782980701702326</v>
      </c>
      <c r="M38" s="201">
        <f>Data!AW40/M$2*100000</f>
        <v>0</v>
      </c>
      <c r="N38" s="201">
        <f>Data!AX40/N$2*100000</f>
        <v>8.1512140780524032</v>
      </c>
      <c r="O38" s="201">
        <f>Data!AY40/O$2*100000</f>
        <v>7.9198063041658182</v>
      </c>
      <c r="P38" s="201">
        <f>Data!AZ40/P$2*100000</f>
        <v>8.2741501758256923</v>
      </c>
      <c r="Q38" s="201">
        <f>Data!BA40/Q$2*100000</f>
        <v>9.3165387195349183</v>
      </c>
      <c r="R38" s="201">
        <f>Data!BB40/R$2*100000</f>
        <v>21.456715952093006</v>
      </c>
      <c r="S38" s="201">
        <f>Data!BC40/S$2*100000</f>
        <v>17.928031758227686</v>
      </c>
      <c r="T38" s="201">
        <f>Data!BD40/T$2*100000</f>
        <v>15.964240102171138</v>
      </c>
      <c r="U38" s="201">
        <f>Data!BE40/U$2*100000</f>
        <v>29.830710716682823</v>
      </c>
      <c r="V38" s="201">
        <f>Data!E40/V$2*100000</f>
        <v>4.1836612614252493</v>
      </c>
      <c r="W38" s="177"/>
    </row>
    <row r="39" spans="1:23" ht="12" customHeight="1">
      <c r="A39" s="177"/>
      <c r="B39" s="182" t="str">
        <f>UPPER(LEFT(TRIM(Data!B41),1)) &amp; MID(TRIM(Data!B41),2,50)</f>
        <v>Mielominės ligos</v>
      </c>
      <c r="C39" s="183" t="str">
        <f>Data!C41</f>
        <v>C90</v>
      </c>
      <c r="D39" s="200">
        <f>Data!AN41/D$2*100000</f>
        <v>0</v>
      </c>
      <c r="E39" s="200">
        <f>Data!AO41/E$2*100000</f>
        <v>0</v>
      </c>
      <c r="F39" s="200">
        <f>Data!AP41/F$2*100000</f>
        <v>0</v>
      </c>
      <c r="G39" s="200">
        <f>Data!AQ41/G$2*100000</f>
        <v>0</v>
      </c>
      <c r="H39" s="200">
        <f>Data!AR41/H$2*100000</f>
        <v>0</v>
      </c>
      <c r="I39" s="200">
        <f>Data!AS41/I$2*100000</f>
        <v>0</v>
      </c>
      <c r="J39" s="200">
        <f>Data!AT41/J$2*100000</f>
        <v>0</v>
      </c>
      <c r="K39" s="200">
        <f>Data!AU41/K$2*100000</f>
        <v>1.0960946148871571</v>
      </c>
      <c r="L39" s="200">
        <f>Data!AV41/L$2*100000</f>
        <v>0</v>
      </c>
      <c r="M39" s="200">
        <f>Data!AW41/M$2*100000</f>
        <v>0</v>
      </c>
      <c r="N39" s="200">
        <f>Data!AX41/N$2*100000</f>
        <v>0</v>
      </c>
      <c r="O39" s="200">
        <f>Data!AY41/O$2*100000</f>
        <v>6.7884054035707013</v>
      </c>
      <c r="P39" s="200">
        <f>Data!AZ41/P$2*100000</f>
        <v>5.5161001172171273</v>
      </c>
      <c r="Q39" s="200">
        <f>Data!BA41/Q$2*100000</f>
        <v>5.5899232317209515</v>
      </c>
      <c r="R39" s="200">
        <f>Data!BB41/R$2*100000</f>
        <v>17.555494869894279</v>
      </c>
      <c r="S39" s="200">
        <f>Data!BC41/S$2*100000</f>
        <v>28.172621334357792</v>
      </c>
      <c r="T39" s="200">
        <f>Data!BD41/T$2*100000</f>
        <v>23.946360153256705</v>
      </c>
      <c r="U39" s="200">
        <f>Data!BE41/U$2*100000</f>
        <v>37.288388395853531</v>
      </c>
      <c r="V39" s="200">
        <f>Data!E41/V$2*100000</f>
        <v>3.3028904695462491</v>
      </c>
      <c r="W39" s="177"/>
    </row>
    <row r="40" spans="1:23" ht="12" customHeight="1">
      <c r="A40" s="177"/>
      <c r="B40" s="196" t="str">
        <f>UPPER(LEFT(TRIM(Data!B42),1)) &amp; MID(TRIM(Data!B42),2,50)</f>
        <v>Leukemijos</v>
      </c>
      <c r="C40" s="197" t="str">
        <f>Data!C42</f>
        <v>C91-C95</v>
      </c>
      <c r="D40" s="201">
        <f>Data!AN42/D$2*100000</f>
        <v>0</v>
      </c>
      <c r="E40" s="201">
        <f>Data!AO42/E$2*100000</f>
        <v>0</v>
      </c>
      <c r="F40" s="201">
        <f>Data!AP42/F$2*100000</f>
        <v>0</v>
      </c>
      <c r="G40" s="201">
        <f>Data!AQ42/G$2*100000</f>
        <v>1.0683304132302038</v>
      </c>
      <c r="H40" s="201">
        <f>Data!AR42/H$2*100000</f>
        <v>2.7262070281617188</v>
      </c>
      <c r="I40" s="201">
        <f>Data!AS42/I$2*100000</f>
        <v>0</v>
      </c>
      <c r="J40" s="201">
        <f>Data!AT42/J$2*100000</f>
        <v>0</v>
      </c>
      <c r="K40" s="201">
        <f>Data!AU42/K$2*100000</f>
        <v>1.0960946148871571</v>
      </c>
      <c r="L40" s="201">
        <f>Data!AV42/L$2*100000</f>
        <v>0.98914903508511631</v>
      </c>
      <c r="M40" s="201">
        <f>Data!AW42/M$2*100000</f>
        <v>1.952209901608621</v>
      </c>
      <c r="N40" s="201">
        <f>Data!AX42/N$2*100000</f>
        <v>7.24552362493547</v>
      </c>
      <c r="O40" s="201">
        <f>Data!AY42/O$2*100000</f>
        <v>12.445409906546287</v>
      </c>
      <c r="P40" s="201">
        <f>Data!AZ42/P$2*100000</f>
        <v>17.927325380955665</v>
      </c>
      <c r="Q40" s="201">
        <f>Data!BA42/Q$2*100000</f>
        <v>18.633077439069837</v>
      </c>
      <c r="R40" s="201">
        <f>Data!BB42/R$2*100000</f>
        <v>50.715874068583467</v>
      </c>
      <c r="S40" s="201">
        <f>Data!BC42/S$2*100000</f>
        <v>38.417210910487903</v>
      </c>
      <c r="T40" s="201">
        <f>Data!BD42/T$2*100000</f>
        <v>95.785440613026822</v>
      </c>
      <c r="U40" s="201">
        <f>Data!BE42/U$2*100000</f>
        <v>82.034454470877776</v>
      </c>
      <c r="V40" s="201">
        <f>Data!E42/V$2*100000</f>
        <v>9.2480933147294966</v>
      </c>
      <c r="W40" s="177"/>
    </row>
    <row r="41" spans="1:23" ht="12" customHeight="1">
      <c r="A41" s="177"/>
      <c r="B41" s="182" t="str">
        <f>UPPER(LEFT(TRIM(Data!B43),1)) &amp; MID(TRIM(Data!B43),2,50)</f>
        <v>Kiti limfinio, kraujodaros audinių</v>
      </c>
      <c r="C41" s="183" t="str">
        <f>Data!C43</f>
        <v>C88, C96</v>
      </c>
      <c r="D41" s="200">
        <f>Data!AN43/D$2*100000</f>
        <v>0</v>
      </c>
      <c r="E41" s="200">
        <f>Data!AO43/E$2*100000</f>
        <v>0</v>
      </c>
      <c r="F41" s="200">
        <f>Data!AP43/F$2*100000</f>
        <v>0</v>
      </c>
      <c r="G41" s="200">
        <f>Data!AQ43/G$2*100000</f>
        <v>0</v>
      </c>
      <c r="H41" s="200">
        <f>Data!AR43/H$2*100000</f>
        <v>0</v>
      </c>
      <c r="I41" s="200">
        <f>Data!AS43/I$2*100000</f>
        <v>0</v>
      </c>
      <c r="J41" s="200">
        <f>Data!AT43/J$2*100000</f>
        <v>0</v>
      </c>
      <c r="K41" s="200">
        <f>Data!AU43/K$2*100000</f>
        <v>0</v>
      </c>
      <c r="L41" s="200">
        <f>Data!AV43/L$2*100000</f>
        <v>0</v>
      </c>
      <c r="M41" s="200">
        <f>Data!AW43/M$2*100000</f>
        <v>0</v>
      </c>
      <c r="N41" s="200">
        <f>Data!AX43/N$2*100000</f>
        <v>0</v>
      </c>
      <c r="O41" s="200">
        <f>Data!AY43/O$2*100000</f>
        <v>0</v>
      </c>
      <c r="P41" s="200">
        <f>Data!AZ43/P$2*100000</f>
        <v>0</v>
      </c>
      <c r="Q41" s="200">
        <f>Data!BA43/Q$2*100000</f>
        <v>0</v>
      </c>
      <c r="R41" s="200">
        <f>Data!BB43/R$2*100000</f>
        <v>0</v>
      </c>
      <c r="S41" s="200">
        <f>Data!BC43/S$2*100000</f>
        <v>5.1222947880650525</v>
      </c>
      <c r="T41" s="200">
        <f>Data!BD43/T$2*100000</f>
        <v>3.9910600255427844</v>
      </c>
      <c r="U41" s="200">
        <f>Data!BE43/U$2*100000</f>
        <v>7.4576776791707058</v>
      </c>
      <c r="V41" s="200">
        <f>Data!E43/V$2*100000</f>
        <v>0.29359026395966659</v>
      </c>
      <c r="W41" s="177"/>
    </row>
    <row r="42" spans="1:23" ht="24" customHeight="1">
      <c r="A42" s="177"/>
      <c r="B42" s="184"/>
      <c r="C42" s="185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77"/>
    </row>
    <row r="43" spans="1:23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</row>
    <row r="44" spans="1:23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</row>
    <row r="45" spans="1:23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</row>
  </sheetData>
  <mergeCells count="4">
    <mergeCell ref="B5:B6"/>
    <mergeCell ref="C5:C6"/>
    <mergeCell ref="D5:U5"/>
    <mergeCell ref="V5:V6"/>
  </mergeCells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5"/>
  </sheetPr>
  <dimension ref="A1:W55"/>
  <sheetViews>
    <sheetView zoomScaleNormal="100" workbookViewId="0">
      <selection activeCell="B1" sqref="B1"/>
    </sheetView>
  </sheetViews>
  <sheetFormatPr defaultRowHeight="11.25"/>
  <cols>
    <col min="1" max="1" width="1.7109375" style="178" customWidth="1"/>
    <col min="2" max="2" width="28.7109375" style="178" customWidth="1"/>
    <col min="3" max="3" width="23.7109375" style="178" customWidth="1"/>
    <col min="4" max="19" width="6" style="178" customWidth="1"/>
    <col min="20" max="22" width="6.28515625" style="178" customWidth="1"/>
    <col min="23" max="30" width="0.85546875" style="178" customWidth="1"/>
    <col min="31" max="16384" width="9.140625" style="178"/>
  </cols>
  <sheetData>
    <row r="1" spans="1:23" ht="15">
      <c r="A1" s="187"/>
      <c r="B1" s="496" t="s">
        <v>404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187"/>
    </row>
    <row r="2" spans="1:23" ht="12.75" customHeight="1">
      <c r="A2" s="187"/>
      <c r="B2" s="496"/>
      <c r="C2" s="499"/>
      <c r="D2" s="500">
        <f>Lent02m!S4</f>
        <v>73612</v>
      </c>
      <c r="E2" s="500">
        <f>Lent02m!T4</f>
        <v>65974</v>
      </c>
      <c r="F2" s="500">
        <f>Lent02m!U4</f>
        <v>71497</v>
      </c>
      <c r="G2" s="500">
        <f>Lent02m!V4</f>
        <v>88846</v>
      </c>
      <c r="H2" s="500">
        <f>Lent02m!W4</f>
        <v>103926</v>
      </c>
      <c r="I2" s="500">
        <f>Lent02m!X4</f>
        <v>95057</v>
      </c>
      <c r="J2" s="500">
        <f>Lent02m!Y4</f>
        <v>87387</v>
      </c>
      <c r="K2" s="500">
        <f>Lent02m!Z4</f>
        <v>95336</v>
      </c>
      <c r="L2" s="500">
        <f>Lent02m!AA4</f>
        <v>108432</v>
      </c>
      <c r="M2" s="500">
        <f>Lent02m!AB4</f>
        <v>112259</v>
      </c>
      <c r="N2" s="500">
        <f>Lent02m!AC4</f>
        <v>126113</v>
      </c>
      <c r="O2" s="500">
        <f>Lent02m!AD4</f>
        <v>107867</v>
      </c>
      <c r="P2" s="500">
        <f>Lent02m!AE4</f>
        <v>98916</v>
      </c>
      <c r="Q2" s="500">
        <f>Lent02m!AF4</f>
        <v>83247</v>
      </c>
      <c r="R2" s="500">
        <f>Lent02m!AG4</f>
        <v>90066</v>
      </c>
      <c r="S2" s="500">
        <f>Lent02m!AH4</f>
        <v>80494</v>
      </c>
      <c r="T2" s="500">
        <f>Lent02m!AI4</f>
        <v>60795</v>
      </c>
      <c r="U2" s="500">
        <f>Lent02m!AJ4</f>
        <v>45422</v>
      </c>
      <c r="V2" s="500">
        <f>SUM(D2:U2)</f>
        <v>1595246</v>
      </c>
      <c r="W2" s="187"/>
    </row>
    <row r="3" spans="1:23" ht="12.75" customHeight="1">
      <c r="A3" s="187"/>
      <c r="B3" s="498" t="str">
        <f>"Mirčių dėl piktybinių navikų atvejų skaičius 100 000 gyventojų, pagal amžiaus grupes  " &amp; GrafikaiSerg!A1 &amp; " metais. Moterys."</f>
        <v>Mirčių dėl piktybinių navikų atvejų skaičius 100 000 gyventojų, pagal amžiaus grupes  2013 metais. Moterys.</v>
      </c>
      <c r="C3" s="498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187"/>
    </row>
    <row r="4" spans="1:23" ht="12.75" customHeight="1">
      <c r="A4" s="187"/>
      <c r="B4" s="561" t="s">
        <v>653</v>
      </c>
      <c r="C4" s="561"/>
      <c r="D4" s="561"/>
      <c r="E4" s="561"/>
      <c r="F4" s="561"/>
      <c r="G4" s="561"/>
      <c r="H4" s="561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87"/>
    </row>
    <row r="5" spans="1:23" ht="12" customHeight="1">
      <c r="A5" s="187"/>
      <c r="B5" s="436" t="s">
        <v>242</v>
      </c>
      <c r="C5" s="436" t="s">
        <v>243</v>
      </c>
      <c r="D5" s="438" t="s">
        <v>418</v>
      </c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40"/>
      <c r="V5" s="441" t="s">
        <v>428</v>
      </c>
      <c r="W5" s="187"/>
    </row>
    <row r="6" spans="1:23" ht="12" customHeight="1" thickBot="1">
      <c r="A6" s="187"/>
      <c r="B6" s="437"/>
      <c r="C6" s="437"/>
      <c r="D6" s="194" t="s">
        <v>13</v>
      </c>
      <c r="E6" s="194" t="s">
        <v>11</v>
      </c>
      <c r="F6" s="194" t="s">
        <v>12</v>
      </c>
      <c r="G6" s="194" t="s">
        <v>14</v>
      </c>
      <c r="H6" s="194" t="s">
        <v>15</v>
      </c>
      <c r="I6" s="194" t="s">
        <v>16</v>
      </c>
      <c r="J6" s="194" t="s">
        <v>158</v>
      </c>
      <c r="K6" s="194" t="s">
        <v>17</v>
      </c>
      <c r="L6" s="194" t="s">
        <v>18</v>
      </c>
      <c r="M6" s="194" t="s">
        <v>19</v>
      </c>
      <c r="N6" s="194" t="s">
        <v>20</v>
      </c>
      <c r="O6" s="194" t="s">
        <v>21</v>
      </c>
      <c r="P6" s="194" t="s">
        <v>159</v>
      </c>
      <c r="Q6" s="194" t="s">
        <v>160</v>
      </c>
      <c r="R6" s="194" t="s">
        <v>161</v>
      </c>
      <c r="S6" s="194" t="s">
        <v>162</v>
      </c>
      <c r="T6" s="194" t="s">
        <v>22</v>
      </c>
      <c r="U6" s="194" t="s">
        <v>23</v>
      </c>
      <c r="V6" s="442"/>
      <c r="W6" s="187"/>
    </row>
    <row r="7" spans="1:23" ht="12" customHeight="1" thickTop="1">
      <c r="A7" s="187"/>
      <c r="B7" s="182" t="str">
        <f>UPPER(LEFT(TRIM(Data!B5),1)) &amp; MID(TRIM(Data!B5),2,50)</f>
        <v>Piktybiniai navikai</v>
      </c>
      <c r="C7" s="183" t="str">
        <f>Data!C5</f>
        <v>C00-C96</v>
      </c>
      <c r="D7" s="204">
        <f>Data!DA5/D$2*100000</f>
        <v>1.3584741618214422</v>
      </c>
      <c r="E7" s="204">
        <f>Data!DB5/E$2*100000</f>
        <v>4.5472458847424742</v>
      </c>
      <c r="F7" s="204">
        <f>Data!DC5/F$2*100000</f>
        <v>4.1959802509196189</v>
      </c>
      <c r="G7" s="204">
        <f>Data!DD5/G$2*100000</f>
        <v>3.376629223600387</v>
      </c>
      <c r="H7" s="204">
        <f>Data!DE5/H$2*100000</f>
        <v>5.7733387217828067</v>
      </c>
      <c r="I7" s="204">
        <f>Data!DF5/I$2*100000</f>
        <v>9.468003408481227</v>
      </c>
      <c r="J7" s="204">
        <f>Data!DG5/J$2*100000</f>
        <v>22.886699394646801</v>
      </c>
      <c r="K7" s="204">
        <f>Data!DH5/K$2*100000</f>
        <v>31.467651254510365</v>
      </c>
      <c r="L7" s="204">
        <f>Data!DI5/L$2*100000</f>
        <v>58.100929614873841</v>
      </c>
      <c r="M7" s="204">
        <f>Data!DJ5/M$2*100000</f>
        <v>106.89566092696354</v>
      </c>
      <c r="N7" s="204">
        <f>Data!DK5/N$2*100000</f>
        <v>153.03735538762857</v>
      </c>
      <c r="O7" s="204">
        <f>Data!DL5/O$2*100000</f>
        <v>235.47516849453496</v>
      </c>
      <c r="P7" s="204">
        <f>Data!DM5/P$2*100000</f>
        <v>335.63831938210194</v>
      </c>
      <c r="Q7" s="204">
        <f>Data!DN5/Q$2*100000</f>
        <v>401.21565942316244</v>
      </c>
      <c r="R7" s="204">
        <f>Data!DO5/R$2*100000</f>
        <v>566.25141562853901</v>
      </c>
      <c r="S7" s="204">
        <f>Data!DP5/S$2*100000</f>
        <v>745.39717246005921</v>
      </c>
      <c r="T7" s="204">
        <f>Data!DQ5/T$2*100000</f>
        <v>921.12838226827876</v>
      </c>
      <c r="U7" s="204">
        <f>Data!DR5/U$2*100000</f>
        <v>1100.7881643256571</v>
      </c>
      <c r="V7" s="204">
        <f>Data!BR5/V$2*100000</f>
        <v>221.97203440723251</v>
      </c>
      <c r="W7" s="187"/>
    </row>
    <row r="8" spans="1:23" ht="12" customHeight="1">
      <c r="A8" s="187"/>
      <c r="B8" s="196" t="str">
        <f>UPPER(LEFT(TRIM(Data!B6),1)) &amp; MID(TRIM(Data!B6),2,50)</f>
        <v>Lūpos</v>
      </c>
      <c r="C8" s="197" t="str">
        <f>Data!C6</f>
        <v>C00</v>
      </c>
      <c r="D8" s="202">
        <f>Data!DA6/D$2*100000</f>
        <v>0</v>
      </c>
      <c r="E8" s="202">
        <f>Data!DB6/E$2*100000</f>
        <v>0</v>
      </c>
      <c r="F8" s="202">
        <f>Data!DC6/F$2*100000</f>
        <v>0</v>
      </c>
      <c r="G8" s="202">
        <f>Data!DD6/G$2*100000</f>
        <v>0</v>
      </c>
      <c r="H8" s="202">
        <f>Data!DE6/H$2*100000</f>
        <v>0</v>
      </c>
      <c r="I8" s="202">
        <f>Data!DF6/I$2*100000</f>
        <v>0</v>
      </c>
      <c r="J8" s="202">
        <f>Data!DG6/J$2*100000</f>
        <v>0</v>
      </c>
      <c r="K8" s="202">
        <f>Data!DH6/K$2*100000</f>
        <v>0</v>
      </c>
      <c r="L8" s="202">
        <f>Data!DI6/L$2*100000</f>
        <v>0</v>
      </c>
      <c r="M8" s="202">
        <f>Data!DJ6/M$2*100000</f>
        <v>0</v>
      </c>
      <c r="N8" s="202">
        <f>Data!DK6/N$2*100000</f>
        <v>0</v>
      </c>
      <c r="O8" s="202">
        <f>Data!DL6/O$2*100000</f>
        <v>0</v>
      </c>
      <c r="P8" s="202">
        <f>Data!DM6/P$2*100000</f>
        <v>0</v>
      </c>
      <c r="Q8" s="202">
        <f>Data!DN6/Q$2*100000</f>
        <v>1.2012444892909053</v>
      </c>
      <c r="R8" s="202">
        <f>Data!DO6/R$2*100000</f>
        <v>0</v>
      </c>
      <c r="S8" s="202">
        <f>Data!DP6/S$2*100000</f>
        <v>0</v>
      </c>
      <c r="T8" s="202">
        <f>Data!DQ6/T$2*100000</f>
        <v>1.6448721111933549</v>
      </c>
      <c r="U8" s="202">
        <f>Data!DR6/U$2*100000</f>
        <v>0</v>
      </c>
      <c r="V8" s="202">
        <f>Data!BR6/V$2*100000</f>
        <v>0.12537251307948741</v>
      </c>
      <c r="W8" s="187"/>
    </row>
    <row r="9" spans="1:23" ht="12" customHeight="1">
      <c r="A9" s="187"/>
      <c r="B9" s="182" t="str">
        <f>UPPER(LEFT(TRIM(Data!B7),1)) &amp; MID(TRIM(Data!B7),2,50)</f>
        <v>Burnos ertmės ir ryklės</v>
      </c>
      <c r="C9" s="183" t="str">
        <f>Data!C7</f>
        <v>C01-C14</v>
      </c>
      <c r="D9" s="204">
        <f>Data!DA7/D$2*100000</f>
        <v>0</v>
      </c>
      <c r="E9" s="204">
        <f>Data!DB7/E$2*100000</f>
        <v>0</v>
      </c>
      <c r="F9" s="204">
        <f>Data!DC7/F$2*100000</f>
        <v>0</v>
      </c>
      <c r="G9" s="204">
        <f>Data!DD7/G$2*100000</f>
        <v>0</v>
      </c>
      <c r="H9" s="204">
        <f>Data!DE7/H$2*100000</f>
        <v>0</v>
      </c>
      <c r="I9" s="204">
        <f>Data!DF7/I$2*100000</f>
        <v>0</v>
      </c>
      <c r="J9" s="204">
        <f>Data!DG7/J$2*100000</f>
        <v>0</v>
      </c>
      <c r="K9" s="204">
        <f>Data!DH7/K$2*100000</f>
        <v>1.0489217084836788</v>
      </c>
      <c r="L9" s="204">
        <f>Data!DI7/L$2*100000</f>
        <v>0</v>
      </c>
      <c r="M9" s="204">
        <f>Data!DJ7/M$2*100000</f>
        <v>4.4539858719568146</v>
      </c>
      <c r="N9" s="204">
        <f>Data!DK7/N$2*100000</f>
        <v>1.5858793304417467</v>
      </c>
      <c r="O9" s="204">
        <f>Data!DL7/O$2*100000</f>
        <v>4.635337962490846</v>
      </c>
      <c r="P9" s="204">
        <f>Data!DM7/P$2*100000</f>
        <v>3.0328763799587528</v>
      </c>
      <c r="Q9" s="204">
        <f>Data!DN7/Q$2*100000</f>
        <v>4.8049779571636213</v>
      </c>
      <c r="R9" s="204">
        <f>Data!DO7/R$2*100000</f>
        <v>4.4411875735571691</v>
      </c>
      <c r="S9" s="204">
        <f>Data!DP7/S$2*100000</f>
        <v>7.4539717246005912</v>
      </c>
      <c r="T9" s="204">
        <f>Data!DQ7/T$2*100000</f>
        <v>6.5794884447734194</v>
      </c>
      <c r="U9" s="204">
        <f>Data!DR7/U$2*100000</f>
        <v>8.8063053146052575</v>
      </c>
      <c r="V9" s="204">
        <f>Data!BR7/V$2*100000</f>
        <v>2.3820777485102611</v>
      </c>
      <c r="W9" s="187"/>
    </row>
    <row r="10" spans="1:23" ht="12" customHeight="1">
      <c r="A10" s="187"/>
      <c r="B10" s="196" t="str">
        <f>UPPER(LEFT(TRIM(Data!B8),1)) &amp; MID(TRIM(Data!B8),2,50)</f>
        <v>Stemplės</v>
      </c>
      <c r="C10" s="197" t="str">
        <f>Data!C8</f>
        <v>C15</v>
      </c>
      <c r="D10" s="202">
        <f>Data!DA8/D$2*100000</f>
        <v>0</v>
      </c>
      <c r="E10" s="202">
        <f>Data!DB8/E$2*100000</f>
        <v>0</v>
      </c>
      <c r="F10" s="202">
        <f>Data!DC8/F$2*100000</f>
        <v>0</v>
      </c>
      <c r="G10" s="202">
        <f>Data!DD8/G$2*100000</f>
        <v>0</v>
      </c>
      <c r="H10" s="202">
        <f>Data!DE8/H$2*100000</f>
        <v>0</v>
      </c>
      <c r="I10" s="202">
        <f>Data!DF8/I$2*100000</f>
        <v>0</v>
      </c>
      <c r="J10" s="202">
        <f>Data!DG8/J$2*100000</f>
        <v>0</v>
      </c>
      <c r="K10" s="202">
        <f>Data!DH8/K$2*100000</f>
        <v>0</v>
      </c>
      <c r="L10" s="202">
        <f>Data!DI8/L$2*100000</f>
        <v>0</v>
      </c>
      <c r="M10" s="202">
        <f>Data!DJ8/M$2*100000</f>
        <v>0</v>
      </c>
      <c r="N10" s="202">
        <f>Data!DK8/N$2*100000</f>
        <v>2.3788189956626202</v>
      </c>
      <c r="O10" s="202">
        <f>Data!DL8/O$2*100000</f>
        <v>0</v>
      </c>
      <c r="P10" s="202">
        <f>Data!DM8/P$2*100000</f>
        <v>3.0328763799587528</v>
      </c>
      <c r="Q10" s="202">
        <f>Data!DN8/Q$2*100000</f>
        <v>3.6037334678727162</v>
      </c>
      <c r="R10" s="202">
        <f>Data!DO8/R$2*100000</f>
        <v>1.1102968933892923</v>
      </c>
      <c r="S10" s="202">
        <f>Data!DP8/S$2*100000</f>
        <v>0</v>
      </c>
      <c r="T10" s="202">
        <f>Data!DQ8/T$2*100000</f>
        <v>8.2243605559667738</v>
      </c>
      <c r="U10" s="202">
        <f>Data!DR8/U$2*100000</f>
        <v>8.8063053146052575</v>
      </c>
      <c r="V10" s="202">
        <f>Data!BR8/V$2*100000</f>
        <v>1.1910388742551306</v>
      </c>
      <c r="W10" s="187"/>
    </row>
    <row r="11" spans="1:23" ht="12" customHeight="1">
      <c r="A11" s="187"/>
      <c r="B11" s="182" t="str">
        <f>UPPER(LEFT(TRIM(Data!B9),1)) &amp; MID(TRIM(Data!B9),2,50)</f>
        <v>Skrandžio</v>
      </c>
      <c r="C11" s="183" t="str">
        <f>Data!C9</f>
        <v>C16</v>
      </c>
      <c r="D11" s="204">
        <f>Data!DA9/D$2*100000</f>
        <v>0</v>
      </c>
      <c r="E11" s="204">
        <f>Data!DB9/E$2*100000</f>
        <v>0</v>
      </c>
      <c r="F11" s="204">
        <f>Data!DC9/F$2*100000</f>
        <v>0</v>
      </c>
      <c r="G11" s="204">
        <f>Data!DD9/G$2*100000</f>
        <v>0</v>
      </c>
      <c r="H11" s="204">
        <f>Data!DE9/H$2*100000</f>
        <v>0.96222312029713442</v>
      </c>
      <c r="I11" s="204">
        <f>Data!DF9/I$2*100000</f>
        <v>0</v>
      </c>
      <c r="J11" s="204">
        <f>Data!DG9/J$2*100000</f>
        <v>1.1443349697323402</v>
      </c>
      <c r="K11" s="204">
        <f>Data!DH9/K$2*100000</f>
        <v>2.0978434169673577</v>
      </c>
      <c r="L11" s="204">
        <f>Data!DI9/L$2*100000</f>
        <v>0.9222369780138705</v>
      </c>
      <c r="M11" s="204">
        <f>Data!DJ9/M$2*100000</f>
        <v>6.2355802207395392</v>
      </c>
      <c r="N11" s="204">
        <f>Data!DK9/N$2*100000</f>
        <v>9.5152759826504809</v>
      </c>
      <c r="O11" s="204">
        <f>Data!DL9/O$2*100000</f>
        <v>14.833081479970705</v>
      </c>
      <c r="P11" s="204">
        <f>Data!DM9/P$2*100000</f>
        <v>11.120546726515427</v>
      </c>
      <c r="Q11" s="204">
        <f>Data!DN9/Q$2*100000</f>
        <v>27.628623253690822</v>
      </c>
      <c r="R11" s="204">
        <f>Data!DO9/R$2*100000</f>
        <v>33.308906801678766</v>
      </c>
      <c r="S11" s="204">
        <f>Data!DP9/S$2*100000</f>
        <v>55.904787934504441</v>
      </c>
      <c r="T11" s="204">
        <f>Data!DQ9/T$2*100000</f>
        <v>80.598733448474377</v>
      </c>
      <c r="U11" s="204">
        <f>Data!DR9/U$2*100000</f>
        <v>105.67566377526309</v>
      </c>
      <c r="V11" s="204">
        <f>Data!BR9/V$2*100000</f>
        <v>15.420819108776955</v>
      </c>
      <c r="W11" s="187"/>
    </row>
    <row r="12" spans="1:23" ht="12" customHeight="1">
      <c r="A12" s="187"/>
      <c r="B12" s="196" t="str">
        <f>UPPER(LEFT(TRIM(Data!B10),1)) &amp; MID(TRIM(Data!B10),2,50)</f>
        <v>Gaubtinės žarnos</v>
      </c>
      <c r="C12" s="197" t="str">
        <f>Data!C10</f>
        <v>C18</v>
      </c>
      <c r="D12" s="202">
        <f>Data!DA10/D$2*100000</f>
        <v>0</v>
      </c>
      <c r="E12" s="202">
        <f>Data!DB10/E$2*100000</f>
        <v>0</v>
      </c>
      <c r="F12" s="202">
        <f>Data!DC10/F$2*100000</f>
        <v>0</v>
      </c>
      <c r="G12" s="202">
        <f>Data!DD10/G$2*100000</f>
        <v>0</v>
      </c>
      <c r="H12" s="202">
        <f>Data!DE10/H$2*100000</f>
        <v>0</v>
      </c>
      <c r="I12" s="202">
        <f>Data!DF10/I$2*100000</f>
        <v>0</v>
      </c>
      <c r="J12" s="202">
        <f>Data!DG10/J$2*100000</f>
        <v>1.1443349697323402</v>
      </c>
      <c r="K12" s="202">
        <f>Data!DH10/K$2*100000</f>
        <v>1.0489217084836788</v>
      </c>
      <c r="L12" s="202">
        <f>Data!DI10/L$2*100000</f>
        <v>0</v>
      </c>
      <c r="M12" s="202">
        <f>Data!DJ10/M$2*100000</f>
        <v>2.6723915231740882</v>
      </c>
      <c r="N12" s="202">
        <f>Data!DK10/N$2*100000</f>
        <v>6.3435173217669867</v>
      </c>
      <c r="O12" s="202">
        <f>Data!DL10/O$2*100000</f>
        <v>11.124811109978028</v>
      </c>
      <c r="P12" s="202">
        <f>Data!DM10/P$2*100000</f>
        <v>18.197258279752518</v>
      </c>
      <c r="Q12" s="202">
        <f>Data!DN10/Q$2*100000</f>
        <v>26.427378764399915</v>
      </c>
      <c r="R12" s="202">
        <f>Data!DO10/R$2*100000</f>
        <v>33.308906801678766</v>
      </c>
      <c r="S12" s="202">
        <f>Data!DP10/S$2*100000</f>
        <v>64.601088279871789</v>
      </c>
      <c r="T12" s="202">
        <f>Data!DQ10/T$2*100000</f>
        <v>105.27181511637471</v>
      </c>
      <c r="U12" s="202">
        <f>Data!DR10/U$2*100000</f>
        <v>94.667782132006522</v>
      </c>
      <c r="V12" s="202">
        <f>Data!BR10/V$2*100000</f>
        <v>15.922309161094903</v>
      </c>
      <c r="W12" s="187"/>
    </row>
    <row r="13" spans="1:23" ht="12" customHeight="1">
      <c r="A13" s="187"/>
      <c r="B13" s="182" t="str">
        <f>UPPER(LEFT(TRIM(Data!B11),1)) &amp; MID(TRIM(Data!B11),2,50)</f>
        <v>Tiesiosios žarnos, išangės</v>
      </c>
      <c r="C13" s="183" t="str">
        <f>Data!C11</f>
        <v>C19-C21</v>
      </c>
      <c r="D13" s="204">
        <f>Data!DA11/D$2*100000</f>
        <v>0</v>
      </c>
      <c r="E13" s="204">
        <f>Data!DB11/E$2*100000</f>
        <v>0</v>
      </c>
      <c r="F13" s="204">
        <f>Data!DC11/F$2*100000</f>
        <v>0</v>
      </c>
      <c r="G13" s="204">
        <f>Data!DD11/G$2*100000</f>
        <v>0</v>
      </c>
      <c r="H13" s="204">
        <f>Data!DE11/H$2*100000</f>
        <v>0</v>
      </c>
      <c r="I13" s="204">
        <f>Data!DF11/I$2*100000</f>
        <v>0</v>
      </c>
      <c r="J13" s="204">
        <f>Data!DG11/J$2*100000</f>
        <v>2.2886699394646803</v>
      </c>
      <c r="K13" s="204">
        <f>Data!DH11/K$2*100000</f>
        <v>1.0489217084836788</v>
      </c>
      <c r="L13" s="204">
        <f>Data!DI11/L$2*100000</f>
        <v>2.7667109340416114</v>
      </c>
      <c r="M13" s="204">
        <f>Data!DJ11/M$2*100000</f>
        <v>2.6723915231740882</v>
      </c>
      <c r="N13" s="204">
        <f>Data!DK11/N$2*100000</f>
        <v>8.7223363174296065</v>
      </c>
      <c r="O13" s="204">
        <f>Data!DL11/O$2*100000</f>
        <v>14.833081479970705</v>
      </c>
      <c r="P13" s="204">
        <f>Data!DM11/P$2*100000</f>
        <v>18.197258279752518</v>
      </c>
      <c r="Q13" s="204">
        <f>Data!DN11/Q$2*100000</f>
        <v>15.61617836078177</v>
      </c>
      <c r="R13" s="204">
        <f>Data!DO11/R$2*100000</f>
        <v>28.867719228121601</v>
      </c>
      <c r="S13" s="204">
        <f>Data!DP11/S$2*100000</f>
        <v>47.208487589137079</v>
      </c>
      <c r="T13" s="204">
        <f>Data!DQ11/T$2*100000</f>
        <v>64.150012336540826</v>
      </c>
      <c r="U13" s="204">
        <f>Data!DR11/U$2*100000</f>
        <v>72.652018845493373</v>
      </c>
      <c r="V13" s="204">
        <f>Data!BR11/V$2*100000</f>
        <v>12.725310077567974</v>
      </c>
      <c r="W13" s="187"/>
    </row>
    <row r="14" spans="1:23" ht="12" customHeight="1">
      <c r="A14" s="187"/>
      <c r="B14" s="196" t="str">
        <f>UPPER(LEFT(TRIM(Data!B12),1)) &amp; MID(TRIM(Data!B12),2,50)</f>
        <v>Kepenų</v>
      </c>
      <c r="C14" s="197" t="str">
        <f>Data!C12</f>
        <v>C22</v>
      </c>
      <c r="D14" s="202">
        <f>Data!DA12/D$2*100000</f>
        <v>0</v>
      </c>
      <c r="E14" s="202">
        <f>Data!DB12/E$2*100000</f>
        <v>0</v>
      </c>
      <c r="F14" s="202">
        <f>Data!DC12/F$2*100000</f>
        <v>1.398660083639873</v>
      </c>
      <c r="G14" s="202">
        <f>Data!DD12/G$2*100000</f>
        <v>0</v>
      </c>
      <c r="H14" s="202">
        <f>Data!DE12/H$2*100000</f>
        <v>0</v>
      </c>
      <c r="I14" s="202">
        <f>Data!DF12/I$2*100000</f>
        <v>0</v>
      </c>
      <c r="J14" s="202">
        <f>Data!DG12/J$2*100000</f>
        <v>0</v>
      </c>
      <c r="K14" s="202">
        <f>Data!DH12/K$2*100000</f>
        <v>0</v>
      </c>
      <c r="L14" s="202">
        <f>Data!DI12/L$2*100000</f>
        <v>0.9222369780138705</v>
      </c>
      <c r="M14" s="202">
        <f>Data!DJ12/M$2*100000</f>
        <v>0.89079717439136286</v>
      </c>
      <c r="N14" s="202">
        <f>Data!DK12/N$2*100000</f>
        <v>3.1717586608834933</v>
      </c>
      <c r="O14" s="202">
        <f>Data!DL12/O$2*100000</f>
        <v>1.8541351849963381</v>
      </c>
      <c r="P14" s="202">
        <f>Data!DM12/P$2*100000</f>
        <v>6.0657527599175056</v>
      </c>
      <c r="Q14" s="202">
        <f>Data!DN12/Q$2*100000</f>
        <v>4.8049779571636213</v>
      </c>
      <c r="R14" s="202">
        <f>Data!DO12/R$2*100000</f>
        <v>11.102968933892923</v>
      </c>
      <c r="S14" s="202">
        <f>Data!DP12/S$2*100000</f>
        <v>14.907943449201182</v>
      </c>
      <c r="T14" s="202">
        <f>Data!DQ12/T$2*100000</f>
        <v>14.803849000740191</v>
      </c>
      <c r="U14" s="202">
        <f>Data!DR12/U$2*100000</f>
        <v>17.612610629210515</v>
      </c>
      <c r="V14" s="202">
        <f>Data!BR12/V$2*100000</f>
        <v>3.6358028793051349</v>
      </c>
      <c r="W14" s="187"/>
    </row>
    <row r="15" spans="1:23" ht="12" customHeight="1">
      <c r="A15" s="187"/>
      <c r="B15" s="182" t="str">
        <f>UPPER(LEFT(TRIM(Data!B13),1)) &amp; MID(TRIM(Data!B13),2,50)</f>
        <v>Tulžies pūslės, ekstrahepatinių takų</v>
      </c>
      <c r="C15" s="183" t="str">
        <f>Data!C13</f>
        <v>C23, C24</v>
      </c>
      <c r="D15" s="204">
        <f>Data!DA13/D$2*100000</f>
        <v>0</v>
      </c>
      <c r="E15" s="204">
        <f>Data!DB13/E$2*100000</f>
        <v>0</v>
      </c>
      <c r="F15" s="204">
        <f>Data!DC13/F$2*100000</f>
        <v>0</v>
      </c>
      <c r="G15" s="204">
        <f>Data!DD13/G$2*100000</f>
        <v>0</v>
      </c>
      <c r="H15" s="204">
        <f>Data!DE13/H$2*100000</f>
        <v>0</v>
      </c>
      <c r="I15" s="204">
        <f>Data!DF13/I$2*100000</f>
        <v>0</v>
      </c>
      <c r="J15" s="204">
        <f>Data!DG13/J$2*100000</f>
        <v>0</v>
      </c>
      <c r="K15" s="204">
        <f>Data!DH13/K$2*100000</f>
        <v>0</v>
      </c>
      <c r="L15" s="204">
        <f>Data!DI13/L$2*100000</f>
        <v>0</v>
      </c>
      <c r="M15" s="204">
        <f>Data!DJ13/M$2*100000</f>
        <v>0</v>
      </c>
      <c r="N15" s="204">
        <f>Data!DK13/N$2*100000</f>
        <v>2.3788189956626202</v>
      </c>
      <c r="O15" s="204">
        <f>Data!DL13/O$2*100000</f>
        <v>2.781202777494507</v>
      </c>
      <c r="P15" s="204">
        <f>Data!DM13/P$2*100000</f>
        <v>3.0328763799587528</v>
      </c>
      <c r="Q15" s="204">
        <f>Data!DN13/Q$2*100000</f>
        <v>13.213689382199957</v>
      </c>
      <c r="R15" s="204">
        <f>Data!DO13/R$2*100000</f>
        <v>13.323562720671507</v>
      </c>
      <c r="S15" s="204">
        <f>Data!DP13/S$2*100000</f>
        <v>17.39260069073471</v>
      </c>
      <c r="T15" s="204">
        <f>Data!DQ13/T$2*100000</f>
        <v>13.158976889546839</v>
      </c>
      <c r="U15" s="204">
        <f>Data!DR13/U$2*100000</f>
        <v>24.217339615164455</v>
      </c>
      <c r="V15" s="204">
        <f>Data!BR13/V$2*100000</f>
        <v>4.0746066750833414</v>
      </c>
      <c r="W15" s="187"/>
    </row>
    <row r="16" spans="1:23" ht="12" customHeight="1">
      <c r="A16" s="187"/>
      <c r="B16" s="196" t="str">
        <f>UPPER(LEFT(TRIM(Data!B14),1)) &amp; MID(TRIM(Data!B14),2,50)</f>
        <v>Kasos</v>
      </c>
      <c r="C16" s="197" t="str">
        <f>Data!C14</f>
        <v>C25</v>
      </c>
      <c r="D16" s="202">
        <f>Data!DA14/D$2*100000</f>
        <v>0</v>
      </c>
      <c r="E16" s="202">
        <f>Data!DB14/E$2*100000</f>
        <v>0</v>
      </c>
      <c r="F16" s="202">
        <f>Data!DC14/F$2*100000</f>
        <v>0</v>
      </c>
      <c r="G16" s="202">
        <f>Data!DD14/G$2*100000</f>
        <v>0</v>
      </c>
      <c r="H16" s="202">
        <f>Data!DE14/H$2*100000</f>
        <v>0</v>
      </c>
      <c r="I16" s="202">
        <f>Data!DF14/I$2*100000</f>
        <v>0</v>
      </c>
      <c r="J16" s="202">
        <f>Data!DG14/J$2*100000</f>
        <v>1.1443349697323402</v>
      </c>
      <c r="K16" s="202">
        <f>Data!DH14/K$2*100000</f>
        <v>0</v>
      </c>
      <c r="L16" s="202">
        <f>Data!DI14/L$2*100000</f>
        <v>1.844473956027741</v>
      </c>
      <c r="M16" s="202">
        <f>Data!DJ14/M$2*100000</f>
        <v>0.89079717439136286</v>
      </c>
      <c r="N16" s="202">
        <f>Data!DK14/N$2*100000</f>
        <v>3.9646983261043665</v>
      </c>
      <c r="O16" s="202">
        <f>Data!DL14/O$2*100000</f>
        <v>13.906013887472534</v>
      </c>
      <c r="P16" s="202">
        <f>Data!DM14/P$2*100000</f>
        <v>17.186299486432933</v>
      </c>
      <c r="Q16" s="202">
        <f>Data!DN14/Q$2*100000</f>
        <v>28.82986774298173</v>
      </c>
      <c r="R16" s="202">
        <f>Data!DO14/R$2*100000</f>
        <v>45.522172628960988</v>
      </c>
      <c r="S16" s="202">
        <f>Data!DP14/S$2*100000</f>
        <v>33.542872760702664</v>
      </c>
      <c r="T16" s="202">
        <f>Data!DQ14/T$2*100000</f>
        <v>75.66411711489431</v>
      </c>
      <c r="U16" s="202">
        <f>Data!DR14/U$2*100000</f>
        <v>74.853595174144687</v>
      </c>
      <c r="V16" s="202">
        <f>Data!BR14/V$2*100000</f>
        <v>13.352172642965412</v>
      </c>
      <c r="W16" s="187"/>
    </row>
    <row r="17" spans="1:23" ht="12" customHeight="1">
      <c r="A17" s="187"/>
      <c r="B17" s="182" t="str">
        <f>UPPER(LEFT(TRIM(Data!B15),1)) &amp; MID(TRIM(Data!B15),2,50)</f>
        <v>Kitų virškinimo sistemos organų</v>
      </c>
      <c r="C17" s="183" t="str">
        <f>Data!C15</f>
        <v>C17, C26, C48</v>
      </c>
      <c r="D17" s="204">
        <f>Data!DA15/D$2*100000</f>
        <v>1.3584741618214422</v>
      </c>
      <c r="E17" s="204">
        <f>Data!DB15/E$2*100000</f>
        <v>0</v>
      </c>
      <c r="F17" s="204">
        <f>Data!DC15/F$2*100000</f>
        <v>0</v>
      </c>
      <c r="G17" s="204">
        <f>Data!DD15/G$2*100000</f>
        <v>0</v>
      </c>
      <c r="H17" s="204">
        <f>Data!DE15/H$2*100000</f>
        <v>0</v>
      </c>
      <c r="I17" s="204">
        <f>Data!DF15/I$2*100000</f>
        <v>0</v>
      </c>
      <c r="J17" s="204">
        <f>Data!DG15/J$2*100000</f>
        <v>0</v>
      </c>
      <c r="K17" s="204">
        <f>Data!DH15/K$2*100000</f>
        <v>1.0489217084836788</v>
      </c>
      <c r="L17" s="204">
        <f>Data!DI15/L$2*100000</f>
        <v>0</v>
      </c>
      <c r="M17" s="204">
        <f>Data!DJ15/M$2*100000</f>
        <v>1.7815943487827257</v>
      </c>
      <c r="N17" s="204">
        <f>Data!DK15/N$2*100000</f>
        <v>0.79293966522087334</v>
      </c>
      <c r="O17" s="204">
        <f>Data!DL15/O$2*100000</f>
        <v>4.635337962490846</v>
      </c>
      <c r="P17" s="204">
        <f>Data!DM15/P$2*100000</f>
        <v>4.0438351732783371</v>
      </c>
      <c r="Q17" s="204">
        <f>Data!DN15/Q$2*100000</f>
        <v>6.0062224464545269</v>
      </c>
      <c r="R17" s="204">
        <f>Data!DO15/R$2*100000</f>
        <v>4.4411875735571691</v>
      </c>
      <c r="S17" s="204">
        <f>Data!DP15/S$2*100000</f>
        <v>11.180957586900886</v>
      </c>
      <c r="T17" s="204">
        <f>Data!DQ15/T$2*100000</f>
        <v>9.8692326671601283</v>
      </c>
      <c r="U17" s="204">
        <f>Data!DR15/U$2*100000</f>
        <v>17.612610629210515</v>
      </c>
      <c r="V17" s="204">
        <f>Data!BR15/V$2*100000</f>
        <v>2.8835678008282106</v>
      </c>
      <c r="W17" s="187"/>
    </row>
    <row r="18" spans="1:23" ht="12" customHeight="1">
      <c r="A18" s="187"/>
      <c r="B18" s="196" t="str">
        <f>UPPER(LEFT(TRIM(Data!B16),1)) &amp; MID(TRIM(Data!B16),2,50)</f>
        <v>Nosies ertmės, vid.ausies ir ančių</v>
      </c>
      <c r="C18" s="197" t="str">
        <f>Data!C16</f>
        <v>C30, C31</v>
      </c>
      <c r="D18" s="202">
        <f>Data!DA16/D$2*100000</f>
        <v>0</v>
      </c>
      <c r="E18" s="202">
        <f>Data!DB16/E$2*100000</f>
        <v>0</v>
      </c>
      <c r="F18" s="202">
        <f>Data!DC16/F$2*100000</f>
        <v>0</v>
      </c>
      <c r="G18" s="202">
        <f>Data!DD16/G$2*100000</f>
        <v>0</v>
      </c>
      <c r="H18" s="202">
        <f>Data!DE16/H$2*100000</f>
        <v>0</v>
      </c>
      <c r="I18" s="202">
        <f>Data!DF16/I$2*100000</f>
        <v>0</v>
      </c>
      <c r="J18" s="202">
        <f>Data!DG16/J$2*100000</f>
        <v>0</v>
      </c>
      <c r="K18" s="202">
        <f>Data!DH16/K$2*100000</f>
        <v>0</v>
      </c>
      <c r="L18" s="202">
        <f>Data!DI16/L$2*100000</f>
        <v>0</v>
      </c>
      <c r="M18" s="202">
        <f>Data!DJ16/M$2*100000</f>
        <v>0</v>
      </c>
      <c r="N18" s="202">
        <f>Data!DK16/N$2*100000</f>
        <v>0</v>
      </c>
      <c r="O18" s="202">
        <f>Data!DL16/O$2*100000</f>
        <v>0</v>
      </c>
      <c r="P18" s="202">
        <f>Data!DM16/P$2*100000</f>
        <v>2.0219175866391685</v>
      </c>
      <c r="Q18" s="202">
        <f>Data!DN16/Q$2*100000</f>
        <v>2.4024889785818107</v>
      </c>
      <c r="R18" s="202">
        <f>Data!DO16/R$2*100000</f>
        <v>1.1102968933892923</v>
      </c>
      <c r="S18" s="202">
        <f>Data!DP16/S$2*100000</f>
        <v>0</v>
      </c>
      <c r="T18" s="202">
        <f>Data!DQ16/T$2*100000</f>
        <v>3.2897442223867097</v>
      </c>
      <c r="U18" s="202">
        <f>Data!DR16/U$2*100000</f>
        <v>2.2015763286513144</v>
      </c>
      <c r="V18" s="202">
        <f>Data!BR16/V$2*100000</f>
        <v>0.50149005231794963</v>
      </c>
      <c r="W18" s="187"/>
    </row>
    <row r="19" spans="1:23" ht="12" customHeight="1">
      <c r="A19" s="187"/>
      <c r="B19" s="182" t="str">
        <f>UPPER(LEFT(TRIM(Data!B17),1)) &amp; MID(TRIM(Data!B17),2,50)</f>
        <v>Gerklų</v>
      </c>
      <c r="C19" s="183" t="str">
        <f>Data!C17</f>
        <v>C32</v>
      </c>
      <c r="D19" s="204">
        <f>Data!DA17/D$2*100000</f>
        <v>0</v>
      </c>
      <c r="E19" s="204">
        <f>Data!DB17/E$2*100000</f>
        <v>0</v>
      </c>
      <c r="F19" s="204">
        <f>Data!DC17/F$2*100000</f>
        <v>0</v>
      </c>
      <c r="G19" s="204">
        <f>Data!DD17/G$2*100000</f>
        <v>0</v>
      </c>
      <c r="H19" s="204">
        <f>Data!DE17/H$2*100000</f>
        <v>0</v>
      </c>
      <c r="I19" s="204">
        <f>Data!DF17/I$2*100000</f>
        <v>0</v>
      </c>
      <c r="J19" s="204">
        <f>Data!DG17/J$2*100000</f>
        <v>0</v>
      </c>
      <c r="K19" s="204">
        <f>Data!DH17/K$2*100000</f>
        <v>1.0489217084836788</v>
      </c>
      <c r="L19" s="204">
        <f>Data!DI17/L$2*100000</f>
        <v>0</v>
      </c>
      <c r="M19" s="204">
        <f>Data!DJ17/M$2*100000</f>
        <v>0</v>
      </c>
      <c r="N19" s="204">
        <f>Data!DK17/N$2*100000</f>
        <v>0.79293966522087334</v>
      </c>
      <c r="O19" s="204">
        <f>Data!DL17/O$2*100000</f>
        <v>1.8541351849963381</v>
      </c>
      <c r="P19" s="204">
        <f>Data!DM17/P$2*100000</f>
        <v>4.0438351732783371</v>
      </c>
      <c r="Q19" s="204">
        <f>Data!DN17/Q$2*100000</f>
        <v>1.2012444892909053</v>
      </c>
      <c r="R19" s="204">
        <f>Data!DO17/R$2*100000</f>
        <v>0</v>
      </c>
      <c r="S19" s="204">
        <f>Data!DP17/S$2*100000</f>
        <v>0</v>
      </c>
      <c r="T19" s="204">
        <f>Data!DQ17/T$2*100000</f>
        <v>0</v>
      </c>
      <c r="U19" s="204">
        <f>Data!DR17/U$2*100000</f>
        <v>0</v>
      </c>
      <c r="V19" s="204">
        <f>Data!BR17/V$2*100000</f>
        <v>0.56417630885769343</v>
      </c>
      <c r="W19" s="187"/>
    </row>
    <row r="20" spans="1:23" ht="12" customHeight="1">
      <c r="A20" s="187"/>
      <c r="B20" s="196" t="str">
        <f>UPPER(LEFT(TRIM(Data!B18),1)) &amp; MID(TRIM(Data!B18),2,50)</f>
        <v>Plaučių, trachėjos, bronchų</v>
      </c>
      <c r="C20" s="197" t="str">
        <f>Data!C18</f>
        <v>C33, C34</v>
      </c>
      <c r="D20" s="202">
        <f>Data!DA18/D$2*100000</f>
        <v>0</v>
      </c>
      <c r="E20" s="202">
        <f>Data!DB18/E$2*100000</f>
        <v>0</v>
      </c>
      <c r="F20" s="202">
        <f>Data!DC18/F$2*100000</f>
        <v>0</v>
      </c>
      <c r="G20" s="202">
        <f>Data!DD18/G$2*100000</f>
        <v>0</v>
      </c>
      <c r="H20" s="202">
        <f>Data!DE18/H$2*100000</f>
        <v>0</v>
      </c>
      <c r="I20" s="202">
        <f>Data!DF18/I$2*100000</f>
        <v>1.0520003787201362</v>
      </c>
      <c r="J20" s="202">
        <f>Data!DG18/J$2*100000</f>
        <v>0</v>
      </c>
      <c r="K20" s="202">
        <f>Data!DH18/K$2*100000</f>
        <v>2.0978434169673577</v>
      </c>
      <c r="L20" s="202">
        <f>Data!DI18/L$2*100000</f>
        <v>1.844473956027741</v>
      </c>
      <c r="M20" s="202">
        <f>Data!DJ18/M$2*100000</f>
        <v>8.9079717439136292</v>
      </c>
      <c r="N20" s="202">
        <f>Data!DK18/N$2*100000</f>
        <v>7.9293966522087329</v>
      </c>
      <c r="O20" s="202">
        <f>Data!DL18/O$2*100000</f>
        <v>19.468419442461549</v>
      </c>
      <c r="P20" s="202">
        <f>Data!DM18/P$2*100000</f>
        <v>40.438351732783367</v>
      </c>
      <c r="Q20" s="202">
        <f>Data!DN18/Q$2*100000</f>
        <v>32.433601210854448</v>
      </c>
      <c r="R20" s="202">
        <f>Data!DO18/R$2*100000</f>
        <v>41.080985055403815</v>
      </c>
      <c r="S20" s="202">
        <f>Data!DP18/S$2*100000</f>
        <v>49.693144830670605</v>
      </c>
      <c r="T20" s="202">
        <f>Data!DQ18/T$2*100000</f>
        <v>52.635907558187355</v>
      </c>
      <c r="U20" s="202">
        <f>Data!DR18/U$2*100000</f>
        <v>61.644137202236799</v>
      </c>
      <c r="V20" s="202">
        <f>Data!BR18/V$2*100000</f>
        <v>15.671564134935929</v>
      </c>
      <c r="W20" s="187"/>
    </row>
    <row r="21" spans="1:23" ht="12" customHeight="1">
      <c r="A21" s="187"/>
      <c r="B21" s="182" t="str">
        <f>UPPER(LEFT(TRIM(Data!B19),1)) &amp; MID(TRIM(Data!B19),2,50)</f>
        <v>Kitų kvėpavimo sistemos organų</v>
      </c>
      <c r="C21" s="183" t="str">
        <f>Data!C19</f>
        <v>C37-C39</v>
      </c>
      <c r="D21" s="204">
        <f>Data!DA19/D$2*100000</f>
        <v>0</v>
      </c>
      <c r="E21" s="204">
        <f>Data!DB19/E$2*100000</f>
        <v>0</v>
      </c>
      <c r="F21" s="204">
        <f>Data!DC19/F$2*100000</f>
        <v>0</v>
      </c>
      <c r="G21" s="204">
        <f>Data!DD19/G$2*100000</f>
        <v>0</v>
      </c>
      <c r="H21" s="204">
        <f>Data!DE19/H$2*100000</f>
        <v>0</v>
      </c>
      <c r="I21" s="204">
        <f>Data!DF19/I$2*100000</f>
        <v>0</v>
      </c>
      <c r="J21" s="204">
        <f>Data!DG19/J$2*100000</f>
        <v>0</v>
      </c>
      <c r="K21" s="204">
        <f>Data!DH19/K$2*100000</f>
        <v>1.0489217084836788</v>
      </c>
      <c r="L21" s="204">
        <f>Data!DI19/L$2*100000</f>
        <v>0</v>
      </c>
      <c r="M21" s="204">
        <f>Data!DJ19/M$2*100000</f>
        <v>0.89079717439136286</v>
      </c>
      <c r="N21" s="204">
        <f>Data!DK19/N$2*100000</f>
        <v>0</v>
      </c>
      <c r="O21" s="204">
        <f>Data!DL19/O$2*100000</f>
        <v>0.92706759249816906</v>
      </c>
      <c r="P21" s="204">
        <f>Data!DM19/P$2*100000</f>
        <v>3.0328763799587528</v>
      </c>
      <c r="Q21" s="204">
        <f>Data!DN19/Q$2*100000</f>
        <v>2.4024889785818107</v>
      </c>
      <c r="R21" s="204">
        <f>Data!DO19/R$2*100000</f>
        <v>0</v>
      </c>
      <c r="S21" s="204">
        <f>Data!DP19/S$2*100000</f>
        <v>1.2423286207667652</v>
      </c>
      <c r="T21" s="204">
        <f>Data!DQ19/T$2*100000</f>
        <v>0</v>
      </c>
      <c r="U21" s="204">
        <f>Data!DR19/U$2*100000</f>
        <v>0</v>
      </c>
      <c r="V21" s="204">
        <f>Data!BR19/V$2*100000</f>
        <v>0.56417630885769343</v>
      </c>
      <c r="W21" s="187"/>
    </row>
    <row r="22" spans="1:23" ht="12" customHeight="1">
      <c r="A22" s="187"/>
      <c r="B22" s="196" t="str">
        <f>UPPER(LEFT(TRIM(Data!B20),1)) &amp; MID(TRIM(Data!B20),2,50)</f>
        <v>Kaulų ir jungiamojo audinio</v>
      </c>
      <c r="C22" s="197" t="str">
        <f>Data!C20</f>
        <v>C40-C41, C45-C47, C49</v>
      </c>
      <c r="D22" s="202">
        <f>Data!DA20/D$2*100000</f>
        <v>0</v>
      </c>
      <c r="E22" s="202">
        <f>Data!DB20/E$2*100000</f>
        <v>1.5157486282474915</v>
      </c>
      <c r="F22" s="202">
        <f>Data!DC20/F$2*100000</f>
        <v>1.398660083639873</v>
      </c>
      <c r="G22" s="202">
        <f>Data!DD20/G$2*100000</f>
        <v>1.1255430745334625</v>
      </c>
      <c r="H22" s="202">
        <f>Data!DE20/H$2*100000</f>
        <v>2.8866693608914034</v>
      </c>
      <c r="I22" s="202">
        <f>Data!DF20/I$2*100000</f>
        <v>0</v>
      </c>
      <c r="J22" s="202">
        <f>Data!DG20/J$2*100000</f>
        <v>0</v>
      </c>
      <c r="K22" s="202">
        <f>Data!DH20/K$2*100000</f>
        <v>0</v>
      </c>
      <c r="L22" s="202">
        <f>Data!DI20/L$2*100000</f>
        <v>0.9222369780138705</v>
      </c>
      <c r="M22" s="202">
        <f>Data!DJ20/M$2*100000</f>
        <v>1.7815943487827257</v>
      </c>
      <c r="N22" s="202">
        <f>Data!DK20/N$2*100000</f>
        <v>4.7576379913252405</v>
      </c>
      <c r="O22" s="202">
        <f>Data!DL20/O$2*100000</f>
        <v>2.781202777494507</v>
      </c>
      <c r="P22" s="202">
        <f>Data!DM20/P$2*100000</f>
        <v>5.0547939665979209</v>
      </c>
      <c r="Q22" s="202">
        <f>Data!DN20/Q$2*100000</f>
        <v>3.6037334678727162</v>
      </c>
      <c r="R22" s="202">
        <f>Data!DO20/R$2*100000</f>
        <v>5.5514844669464614</v>
      </c>
      <c r="S22" s="202">
        <f>Data!DP20/S$2*100000</f>
        <v>2.4846572415335304</v>
      </c>
      <c r="T22" s="202">
        <f>Data!DQ20/T$2*100000</f>
        <v>6.5794884447734194</v>
      </c>
      <c r="U22" s="202">
        <f>Data!DR20/U$2*100000</f>
        <v>13.209457971907886</v>
      </c>
      <c r="V22" s="202">
        <f>Data!BR20/V$2*100000</f>
        <v>2.6955090312089798</v>
      </c>
      <c r="W22" s="187"/>
    </row>
    <row r="23" spans="1:23" ht="12" customHeight="1">
      <c r="A23" s="187"/>
      <c r="B23" s="182" t="str">
        <f>UPPER(LEFT(TRIM(Data!B21),1)) &amp; MID(TRIM(Data!B21),2,50)</f>
        <v>Odos melanoma</v>
      </c>
      <c r="C23" s="183" t="str">
        <f>Data!C21</f>
        <v>C43</v>
      </c>
      <c r="D23" s="204">
        <f>Data!DA21/D$2*100000</f>
        <v>0</v>
      </c>
      <c r="E23" s="204">
        <f>Data!DB21/E$2*100000</f>
        <v>0</v>
      </c>
      <c r="F23" s="204">
        <f>Data!DC21/F$2*100000</f>
        <v>0</v>
      </c>
      <c r="G23" s="204">
        <f>Data!DD21/G$2*100000</f>
        <v>0</v>
      </c>
      <c r="H23" s="204">
        <f>Data!DE21/H$2*100000</f>
        <v>0</v>
      </c>
      <c r="I23" s="204">
        <f>Data!DF21/I$2*100000</f>
        <v>1.0520003787201362</v>
      </c>
      <c r="J23" s="204">
        <f>Data!DG21/J$2*100000</f>
        <v>0</v>
      </c>
      <c r="K23" s="204">
        <f>Data!DH21/K$2*100000</f>
        <v>0</v>
      </c>
      <c r="L23" s="204">
        <f>Data!DI21/L$2*100000</f>
        <v>1.844473956027741</v>
      </c>
      <c r="M23" s="204">
        <f>Data!DJ21/M$2*100000</f>
        <v>3.5631886975654514</v>
      </c>
      <c r="N23" s="204">
        <f>Data!DK21/N$2*100000</f>
        <v>0</v>
      </c>
      <c r="O23" s="204">
        <f>Data!DL21/O$2*100000</f>
        <v>3.7082703699926762</v>
      </c>
      <c r="P23" s="204">
        <f>Data!DM21/P$2*100000</f>
        <v>7.0767115532370894</v>
      </c>
      <c r="Q23" s="204">
        <f>Data!DN21/Q$2*100000</f>
        <v>3.6037334678727162</v>
      </c>
      <c r="R23" s="204">
        <f>Data!DO21/R$2*100000</f>
        <v>5.5514844669464614</v>
      </c>
      <c r="S23" s="204">
        <f>Data!DP21/S$2*100000</f>
        <v>17.39260069073471</v>
      </c>
      <c r="T23" s="204">
        <f>Data!DQ21/T$2*100000</f>
        <v>18.093593223126902</v>
      </c>
      <c r="U23" s="204">
        <f>Data!DR21/U$2*100000</f>
        <v>15.4110343005592</v>
      </c>
      <c r="V23" s="204">
        <f>Data!BR21/V$2*100000</f>
        <v>3.6358028793051349</v>
      </c>
      <c r="W23" s="187"/>
    </row>
    <row r="24" spans="1:23" ht="12" customHeight="1">
      <c r="A24" s="187"/>
      <c r="B24" s="196" t="str">
        <f>UPPER(LEFT(TRIM(Data!B22),1)) &amp; MID(TRIM(Data!B22),2,50)</f>
        <v>Kiti odos piktybiniai navikai</v>
      </c>
      <c r="C24" s="197" t="str">
        <f>Data!C22</f>
        <v>C44</v>
      </c>
      <c r="D24" s="202">
        <f>Data!DA22/D$2*100000</f>
        <v>0</v>
      </c>
      <c r="E24" s="202">
        <f>Data!DB22/E$2*100000</f>
        <v>0</v>
      </c>
      <c r="F24" s="202">
        <f>Data!DC22/F$2*100000</f>
        <v>0</v>
      </c>
      <c r="G24" s="202">
        <f>Data!DD22/G$2*100000</f>
        <v>0</v>
      </c>
      <c r="H24" s="202">
        <f>Data!DE22/H$2*100000</f>
        <v>0</v>
      </c>
      <c r="I24" s="202">
        <f>Data!DF22/I$2*100000</f>
        <v>0</v>
      </c>
      <c r="J24" s="202">
        <f>Data!DG22/J$2*100000</f>
        <v>0</v>
      </c>
      <c r="K24" s="202">
        <f>Data!DH22/K$2*100000</f>
        <v>0</v>
      </c>
      <c r="L24" s="202">
        <f>Data!DI22/L$2*100000</f>
        <v>0</v>
      </c>
      <c r="M24" s="202">
        <f>Data!DJ22/M$2*100000</f>
        <v>0</v>
      </c>
      <c r="N24" s="202">
        <f>Data!DK22/N$2*100000</f>
        <v>0</v>
      </c>
      <c r="O24" s="202">
        <f>Data!DL22/O$2*100000</f>
        <v>0</v>
      </c>
      <c r="P24" s="202">
        <f>Data!DM22/P$2*100000</f>
        <v>0</v>
      </c>
      <c r="Q24" s="202">
        <f>Data!DN22/Q$2*100000</f>
        <v>0</v>
      </c>
      <c r="R24" s="202">
        <f>Data!DO22/R$2*100000</f>
        <v>4.4411875735571691</v>
      </c>
      <c r="S24" s="202">
        <f>Data!DP22/S$2*100000</f>
        <v>7.4539717246005912</v>
      </c>
      <c r="T24" s="202">
        <f>Data!DQ22/T$2*100000</f>
        <v>6.5794884447734194</v>
      </c>
      <c r="U24" s="202">
        <f>Data!DR22/U$2*100000</f>
        <v>37.426797587072343</v>
      </c>
      <c r="V24" s="202">
        <f>Data!BR22/V$2*100000</f>
        <v>1.9432739527320553</v>
      </c>
      <c r="W24" s="187"/>
    </row>
    <row r="25" spans="1:23" ht="12" customHeight="1">
      <c r="A25" s="187"/>
      <c r="B25" s="182" t="str">
        <f>UPPER(LEFT(TRIM(Data!B23),1)) &amp; MID(TRIM(Data!B23),2,50)</f>
        <v>Krūties</v>
      </c>
      <c r="C25" s="183" t="str">
        <f>Data!C23</f>
        <v>C50</v>
      </c>
      <c r="D25" s="204">
        <f>Data!DA23/D$2*100000</f>
        <v>0</v>
      </c>
      <c r="E25" s="204">
        <f>Data!DB23/E$2*100000</f>
        <v>0</v>
      </c>
      <c r="F25" s="204">
        <f>Data!DC23/F$2*100000</f>
        <v>0</v>
      </c>
      <c r="G25" s="204">
        <f>Data!DD23/G$2*100000</f>
        <v>0</v>
      </c>
      <c r="H25" s="204">
        <f>Data!DE23/H$2*100000</f>
        <v>0</v>
      </c>
      <c r="I25" s="204">
        <f>Data!DF23/I$2*100000</f>
        <v>1.0520003787201362</v>
      </c>
      <c r="J25" s="204">
        <f>Data!DG23/J$2*100000</f>
        <v>4.5773398789293607</v>
      </c>
      <c r="K25" s="204">
        <f>Data!DH23/K$2*100000</f>
        <v>3.1467651254510365</v>
      </c>
      <c r="L25" s="204">
        <f>Data!DI23/L$2*100000</f>
        <v>11.066843736166446</v>
      </c>
      <c r="M25" s="204">
        <f>Data!DJ23/M$2*100000</f>
        <v>21.379132185392706</v>
      </c>
      <c r="N25" s="204">
        <f>Data!DK23/N$2*100000</f>
        <v>39.646983261043673</v>
      </c>
      <c r="O25" s="204">
        <f>Data!DL23/O$2*100000</f>
        <v>59.33232591988282</v>
      </c>
      <c r="P25" s="204">
        <f>Data!DM23/P$2*100000</f>
        <v>59.646568805855473</v>
      </c>
      <c r="Q25" s="204">
        <f>Data!DN23/Q$2*100000</f>
        <v>58.860979975254359</v>
      </c>
      <c r="R25" s="204">
        <f>Data!DO23/R$2*100000</f>
        <v>84.382563897586209</v>
      </c>
      <c r="S25" s="204">
        <f>Data!DP23/S$2*100000</f>
        <v>111.80957586900888</v>
      </c>
      <c r="T25" s="204">
        <f>Data!DQ23/T$2*100000</f>
        <v>111.85130356114813</v>
      </c>
      <c r="U25" s="204">
        <f>Data!DR23/U$2*100000</f>
        <v>143.10246136233542</v>
      </c>
      <c r="V25" s="204">
        <f>Data!BR23/V$2*100000</f>
        <v>35.4177349449552</v>
      </c>
      <c r="W25" s="187"/>
    </row>
    <row r="26" spans="1:23" ht="12" customHeight="1">
      <c r="A26" s="187"/>
      <c r="B26" s="196" t="str">
        <f>UPPER(LEFT(TRIM(Data!B24),1)) &amp; MID(TRIM(Data!B24),2,50)</f>
        <v>Vulvos</v>
      </c>
      <c r="C26" s="197" t="str">
        <f>Data!C24</f>
        <v>C51</v>
      </c>
      <c r="D26" s="202">
        <f>Data!DA24/D$2*100000</f>
        <v>0</v>
      </c>
      <c r="E26" s="202">
        <f>Data!DB24/E$2*100000</f>
        <v>0</v>
      </c>
      <c r="F26" s="202">
        <f>Data!DC24/F$2*100000</f>
        <v>0</v>
      </c>
      <c r="G26" s="202">
        <f>Data!DD24/G$2*100000</f>
        <v>0</v>
      </c>
      <c r="H26" s="202">
        <f>Data!DE24/H$2*100000</f>
        <v>0</v>
      </c>
      <c r="I26" s="202">
        <f>Data!DF24/I$2*100000</f>
        <v>0</v>
      </c>
      <c r="J26" s="202">
        <f>Data!DG24/J$2*100000</f>
        <v>0</v>
      </c>
      <c r="K26" s="202">
        <f>Data!DH24/K$2*100000</f>
        <v>0</v>
      </c>
      <c r="L26" s="202">
        <f>Data!DI24/L$2*100000</f>
        <v>0</v>
      </c>
      <c r="M26" s="202">
        <f>Data!DJ24/M$2*100000</f>
        <v>0</v>
      </c>
      <c r="N26" s="202">
        <f>Data!DK24/N$2*100000</f>
        <v>0</v>
      </c>
      <c r="O26" s="202">
        <f>Data!DL24/O$2*100000</f>
        <v>0</v>
      </c>
      <c r="P26" s="202">
        <f>Data!DM24/P$2*100000</f>
        <v>2.0219175866391685</v>
      </c>
      <c r="Q26" s="202">
        <f>Data!DN24/Q$2*100000</f>
        <v>1.2012444892909053</v>
      </c>
      <c r="R26" s="202">
        <f>Data!DO24/R$2*100000</f>
        <v>2.2205937867785845</v>
      </c>
      <c r="S26" s="202">
        <f>Data!DP24/S$2*100000</f>
        <v>8.6963003453673551</v>
      </c>
      <c r="T26" s="202">
        <f>Data!DQ24/T$2*100000</f>
        <v>14.803849000740191</v>
      </c>
      <c r="U26" s="202">
        <f>Data!DR24/U$2*100000</f>
        <v>8.8063053146052575</v>
      </c>
      <c r="V26" s="202">
        <f>Data!BR24/V$2*100000</f>
        <v>1.5671564134935929</v>
      </c>
      <c r="W26" s="187"/>
    </row>
    <row r="27" spans="1:23" ht="12" customHeight="1">
      <c r="A27" s="187"/>
      <c r="B27" s="182" t="str">
        <f>UPPER(LEFT(TRIM(Data!B25),1)) &amp; MID(TRIM(Data!B25),2,50)</f>
        <v>Gimdos kaklelio</v>
      </c>
      <c r="C27" s="183" t="str">
        <f>Data!C25</f>
        <v>C53</v>
      </c>
      <c r="D27" s="204">
        <f>Data!DA25/D$2*100000</f>
        <v>0</v>
      </c>
      <c r="E27" s="204">
        <f>Data!DB25/E$2*100000</f>
        <v>0</v>
      </c>
      <c r="F27" s="204">
        <f>Data!DC25/F$2*100000</f>
        <v>0</v>
      </c>
      <c r="G27" s="204">
        <f>Data!DD25/G$2*100000</f>
        <v>0</v>
      </c>
      <c r="H27" s="204">
        <f>Data!DE25/H$2*100000</f>
        <v>0</v>
      </c>
      <c r="I27" s="204">
        <f>Data!DF25/I$2*100000</f>
        <v>2.1040007574402724</v>
      </c>
      <c r="J27" s="204">
        <f>Data!DG25/J$2*100000</f>
        <v>4.5773398789293607</v>
      </c>
      <c r="K27" s="204">
        <f>Data!DH25/K$2*100000</f>
        <v>7.3424519593857518</v>
      </c>
      <c r="L27" s="204">
        <f>Data!DI25/L$2*100000</f>
        <v>10.144606758152575</v>
      </c>
      <c r="M27" s="204">
        <f>Data!DJ25/M$2*100000</f>
        <v>20.488335011001347</v>
      </c>
      <c r="N27" s="204">
        <f>Data!DK25/N$2*100000</f>
        <v>13.479974308754848</v>
      </c>
      <c r="O27" s="204">
        <f>Data!DL25/O$2*100000</f>
        <v>16.687216664967043</v>
      </c>
      <c r="P27" s="204">
        <f>Data!DM25/P$2*100000</f>
        <v>16.175340693113348</v>
      </c>
      <c r="Q27" s="204">
        <f>Data!DN25/Q$2*100000</f>
        <v>20.421156317945389</v>
      </c>
      <c r="R27" s="204">
        <f>Data!DO25/R$2*100000</f>
        <v>22.205937867785845</v>
      </c>
      <c r="S27" s="204">
        <f>Data!DP25/S$2*100000</f>
        <v>21.11958655303501</v>
      </c>
      <c r="T27" s="204">
        <f>Data!DQ25/T$2*100000</f>
        <v>29.607698001480383</v>
      </c>
      <c r="U27" s="204">
        <f>Data!DR25/U$2*100000</f>
        <v>24.217339615164455</v>
      </c>
      <c r="V27" s="204">
        <f>Data!BR25/V$2*100000</f>
        <v>11.346212433693612</v>
      </c>
      <c r="W27" s="187"/>
    </row>
    <row r="28" spans="1:23" ht="12" customHeight="1">
      <c r="A28" s="187"/>
      <c r="B28" s="196" t="str">
        <f>UPPER(LEFT(TRIM(Data!B26),1)) &amp; MID(TRIM(Data!B26),2,50)</f>
        <v>Gimdos kūno</v>
      </c>
      <c r="C28" s="197" t="str">
        <f>Data!C26</f>
        <v>C54, C55</v>
      </c>
      <c r="D28" s="202">
        <f>Data!DA26/D$2*100000</f>
        <v>0</v>
      </c>
      <c r="E28" s="202">
        <f>Data!DB26/E$2*100000</f>
        <v>0</v>
      </c>
      <c r="F28" s="202">
        <f>Data!DC26/F$2*100000</f>
        <v>0</v>
      </c>
      <c r="G28" s="202">
        <f>Data!DD26/G$2*100000</f>
        <v>0</v>
      </c>
      <c r="H28" s="202">
        <f>Data!DE26/H$2*100000</f>
        <v>0</v>
      </c>
      <c r="I28" s="202">
        <f>Data!DF26/I$2*100000</f>
        <v>0</v>
      </c>
      <c r="J28" s="202">
        <f>Data!DG26/J$2*100000</f>
        <v>0</v>
      </c>
      <c r="K28" s="202">
        <f>Data!DH26/K$2*100000</f>
        <v>0</v>
      </c>
      <c r="L28" s="202">
        <f>Data!DI26/L$2*100000</f>
        <v>1.844473956027741</v>
      </c>
      <c r="M28" s="202">
        <f>Data!DJ26/M$2*100000</f>
        <v>1.7815943487827257</v>
      </c>
      <c r="N28" s="202">
        <f>Data!DK26/N$2*100000</f>
        <v>5.5505776565461131</v>
      </c>
      <c r="O28" s="202">
        <f>Data!DL26/O$2*100000</f>
        <v>8.3436083324835213</v>
      </c>
      <c r="P28" s="202">
        <f>Data!DM26/P$2*100000</f>
        <v>17.186299486432933</v>
      </c>
      <c r="Q28" s="202">
        <f>Data!DN26/Q$2*100000</f>
        <v>22.823645296527204</v>
      </c>
      <c r="R28" s="202">
        <f>Data!DO26/R$2*100000</f>
        <v>37.750094375235939</v>
      </c>
      <c r="S28" s="202">
        <f>Data!DP26/S$2*100000</f>
        <v>36.02753000223619</v>
      </c>
      <c r="T28" s="202">
        <f>Data!DQ26/T$2*100000</f>
        <v>37.832058557447155</v>
      </c>
      <c r="U28" s="202">
        <f>Data!DR26/U$2*100000</f>
        <v>35.22522125842103</v>
      </c>
      <c r="V28" s="202">
        <f>Data!BR26/V$2*100000</f>
        <v>9.904428533279507</v>
      </c>
      <c r="W28" s="187"/>
    </row>
    <row r="29" spans="1:23" ht="12" customHeight="1">
      <c r="A29" s="187"/>
      <c r="B29" s="182" t="str">
        <f>UPPER(LEFT(TRIM(Data!B27),1)) &amp; MID(TRIM(Data!B27),2,50)</f>
        <v>Kiaušidžių</v>
      </c>
      <c r="C29" s="183" t="str">
        <f>Data!C27</f>
        <v>C56</v>
      </c>
      <c r="D29" s="204">
        <f>Data!DA27/D$2*100000</f>
        <v>0</v>
      </c>
      <c r="E29" s="204">
        <f>Data!DB27/E$2*100000</f>
        <v>0</v>
      </c>
      <c r="F29" s="204">
        <f>Data!DC27/F$2*100000</f>
        <v>0</v>
      </c>
      <c r="G29" s="204">
        <f>Data!DD27/G$2*100000</f>
        <v>0</v>
      </c>
      <c r="H29" s="204">
        <f>Data!DE27/H$2*100000</f>
        <v>0</v>
      </c>
      <c r="I29" s="204">
        <f>Data!DF27/I$2*100000</f>
        <v>0</v>
      </c>
      <c r="J29" s="204">
        <f>Data!DG27/J$2*100000</f>
        <v>2.2886699394646803</v>
      </c>
      <c r="K29" s="204">
        <f>Data!DH27/K$2*100000</f>
        <v>3.1467651254510365</v>
      </c>
      <c r="L29" s="204">
        <f>Data!DI27/L$2*100000</f>
        <v>6.4556588460970934</v>
      </c>
      <c r="M29" s="204">
        <f>Data!DJ27/M$2*100000</f>
        <v>12.471160441479078</v>
      </c>
      <c r="N29" s="204">
        <f>Data!DK27/N$2*100000</f>
        <v>18.237612300080087</v>
      </c>
      <c r="O29" s="204">
        <f>Data!DL27/O$2*100000</f>
        <v>22.249622219956056</v>
      </c>
      <c r="P29" s="204">
        <f>Data!DM27/P$2*100000</f>
        <v>25.273969832989607</v>
      </c>
      <c r="Q29" s="204">
        <f>Data!DN27/Q$2*100000</f>
        <v>30.031112232272633</v>
      </c>
      <c r="R29" s="204">
        <f>Data!DO27/R$2*100000</f>
        <v>42.191281948793105</v>
      </c>
      <c r="S29" s="204">
        <f>Data!DP27/S$2*100000</f>
        <v>45.966158968370308</v>
      </c>
      <c r="T29" s="204">
        <f>Data!DQ27/T$2*100000</f>
        <v>60.860268114154124</v>
      </c>
      <c r="U29" s="204">
        <f>Data!DR27/U$2*100000</f>
        <v>30.822068601118399</v>
      </c>
      <c r="V29" s="204">
        <f>Data!BR27/V$2*100000</f>
        <v>15.608877878396186</v>
      </c>
      <c r="W29" s="187"/>
    </row>
    <row r="30" spans="1:23" ht="12" customHeight="1">
      <c r="A30" s="187"/>
      <c r="B30" s="196" t="str">
        <f>UPPER(LEFT(TRIM(Data!B30),1)) &amp; MID(TRIM(Data!B30),2,50)</f>
        <v>Kitų lyties organų</v>
      </c>
      <c r="C30" s="197" t="s">
        <v>417</v>
      </c>
      <c r="D30" s="202">
        <f>Data!DA30/D$2*100000</f>
        <v>0</v>
      </c>
      <c r="E30" s="202">
        <f>Data!DB30/E$2*100000</f>
        <v>0</v>
      </c>
      <c r="F30" s="202">
        <f>Data!DC30/F$2*100000</f>
        <v>0</v>
      </c>
      <c r="G30" s="202">
        <f>Data!DD30/G$2*100000</f>
        <v>0</v>
      </c>
      <c r="H30" s="202">
        <f>Data!DE30/H$2*100000</f>
        <v>0</v>
      </c>
      <c r="I30" s="202">
        <f>Data!DF30/I$2*100000</f>
        <v>0</v>
      </c>
      <c r="J30" s="202">
        <f>Data!DG30/J$2*100000</f>
        <v>0</v>
      </c>
      <c r="K30" s="202">
        <f>Data!DH30/K$2*100000</f>
        <v>0</v>
      </c>
      <c r="L30" s="202">
        <f>Data!DI30/L$2*100000</f>
        <v>0</v>
      </c>
      <c r="M30" s="202">
        <f>Data!DJ30/M$2*100000</f>
        <v>0</v>
      </c>
      <c r="N30" s="202">
        <f>Data!DK30/N$2*100000</f>
        <v>2.3788189956626202</v>
      </c>
      <c r="O30" s="202">
        <f>Data!DL30/O$2*100000</f>
        <v>0</v>
      </c>
      <c r="P30" s="202">
        <f>Data!DM30/P$2*100000</f>
        <v>0</v>
      </c>
      <c r="Q30" s="202">
        <f>Data!DN30/Q$2*100000</f>
        <v>0</v>
      </c>
      <c r="R30" s="202">
        <f>Data!DO30/R$2*100000</f>
        <v>4.4411875735571691</v>
      </c>
      <c r="S30" s="202">
        <f>Data!DP30/S$2*100000</f>
        <v>3.7269858623002956</v>
      </c>
      <c r="T30" s="202">
        <f>Data!DQ30/T$2*100000</f>
        <v>6.5794884447734194</v>
      </c>
      <c r="U30" s="202">
        <f>Data!DR30/U$2*100000</f>
        <v>4.4031526573026287</v>
      </c>
      <c r="V30" s="202">
        <f>Data!BR30/V$2*100000</f>
        <v>1.0029801046358993</v>
      </c>
      <c r="W30" s="187"/>
    </row>
    <row r="31" spans="1:23" ht="12" customHeight="1">
      <c r="A31" s="187"/>
      <c r="B31" s="182" t="str">
        <f>UPPER(LEFT(TRIM(Data!B31),1)) &amp; MID(TRIM(Data!B31),2,50)</f>
        <v>Inkstų</v>
      </c>
      <c r="C31" s="183" t="str">
        <f>Data!C31</f>
        <v>C64</v>
      </c>
      <c r="D31" s="204">
        <f>Data!DA31/D$2*100000</f>
        <v>0</v>
      </c>
      <c r="E31" s="204">
        <f>Data!DB31/E$2*100000</f>
        <v>0</v>
      </c>
      <c r="F31" s="204">
        <f>Data!DC31/F$2*100000</f>
        <v>0</v>
      </c>
      <c r="G31" s="204">
        <f>Data!DD31/G$2*100000</f>
        <v>0</v>
      </c>
      <c r="H31" s="204">
        <f>Data!DE31/H$2*100000</f>
        <v>0</v>
      </c>
      <c r="I31" s="204">
        <f>Data!DF31/I$2*100000</f>
        <v>0</v>
      </c>
      <c r="J31" s="204">
        <f>Data!DG31/J$2*100000</f>
        <v>0</v>
      </c>
      <c r="K31" s="204">
        <f>Data!DH31/K$2*100000</f>
        <v>0</v>
      </c>
      <c r="L31" s="204">
        <f>Data!DI31/L$2*100000</f>
        <v>0</v>
      </c>
      <c r="M31" s="204">
        <f>Data!DJ31/M$2*100000</f>
        <v>1.7815943487827257</v>
      </c>
      <c r="N31" s="204">
        <f>Data!DK31/N$2*100000</f>
        <v>1.5858793304417467</v>
      </c>
      <c r="O31" s="204">
        <f>Data!DL31/O$2*100000</f>
        <v>2.781202777494507</v>
      </c>
      <c r="P31" s="204">
        <f>Data!DM31/P$2*100000</f>
        <v>11.120546726515427</v>
      </c>
      <c r="Q31" s="204">
        <f>Data!DN31/Q$2*100000</f>
        <v>13.213689382199957</v>
      </c>
      <c r="R31" s="204">
        <f>Data!DO31/R$2*100000</f>
        <v>12.213265827282216</v>
      </c>
      <c r="S31" s="204">
        <f>Data!DP31/S$2*100000</f>
        <v>19.877257932268243</v>
      </c>
      <c r="T31" s="204">
        <f>Data!DQ31/T$2*100000</f>
        <v>19.738465334320257</v>
      </c>
      <c r="U31" s="204">
        <f>Data!DR31/U$2*100000</f>
        <v>37.426797587072343</v>
      </c>
      <c r="V31" s="204">
        <f>Data!BR31/V$2*100000</f>
        <v>5.3283318058782161</v>
      </c>
      <c r="W31" s="187"/>
    </row>
    <row r="32" spans="1:23" ht="12" customHeight="1">
      <c r="A32" s="187"/>
      <c r="B32" s="196" t="str">
        <f>UPPER(LEFT(TRIM(Data!B32),1)) &amp; MID(TRIM(Data!B32),2,50)</f>
        <v>Šlapimo pūslės</v>
      </c>
      <c r="C32" s="197" t="str">
        <f>Data!C32</f>
        <v>C67</v>
      </c>
      <c r="D32" s="202">
        <f>Data!DA32/D$2*100000</f>
        <v>0</v>
      </c>
      <c r="E32" s="202">
        <f>Data!DB32/E$2*100000</f>
        <v>0</v>
      </c>
      <c r="F32" s="202">
        <f>Data!DC32/F$2*100000</f>
        <v>0</v>
      </c>
      <c r="G32" s="202">
        <f>Data!DD32/G$2*100000</f>
        <v>0</v>
      </c>
      <c r="H32" s="202">
        <f>Data!DE32/H$2*100000</f>
        <v>0</v>
      </c>
      <c r="I32" s="202">
        <f>Data!DF32/I$2*100000</f>
        <v>0</v>
      </c>
      <c r="J32" s="202">
        <f>Data!DG32/J$2*100000</f>
        <v>0</v>
      </c>
      <c r="K32" s="202">
        <f>Data!DH32/K$2*100000</f>
        <v>0</v>
      </c>
      <c r="L32" s="202">
        <f>Data!DI32/L$2*100000</f>
        <v>0</v>
      </c>
      <c r="M32" s="202">
        <f>Data!DJ32/M$2*100000</f>
        <v>0</v>
      </c>
      <c r="N32" s="202">
        <f>Data!DK32/N$2*100000</f>
        <v>0</v>
      </c>
      <c r="O32" s="202">
        <f>Data!DL32/O$2*100000</f>
        <v>1.8541351849963381</v>
      </c>
      <c r="P32" s="202">
        <f>Data!DM32/P$2*100000</f>
        <v>5.0547939665979209</v>
      </c>
      <c r="Q32" s="202">
        <f>Data!DN32/Q$2*100000</f>
        <v>1.2012444892909053</v>
      </c>
      <c r="R32" s="202">
        <f>Data!DO32/R$2*100000</f>
        <v>9.9926720405036296</v>
      </c>
      <c r="S32" s="202">
        <f>Data!DP32/S$2*100000</f>
        <v>23.604243794568539</v>
      </c>
      <c r="T32" s="202">
        <f>Data!DQ32/T$2*100000</f>
        <v>16.448721111933548</v>
      </c>
      <c r="U32" s="202">
        <f>Data!DR32/U$2*100000</f>
        <v>48.434679230328911</v>
      </c>
      <c r="V32" s="202">
        <f>Data!BR32/V$2*100000</f>
        <v>4.2626654447025727</v>
      </c>
      <c r="W32" s="187"/>
    </row>
    <row r="33" spans="1:23" ht="12" customHeight="1">
      <c r="A33" s="187"/>
      <c r="B33" s="182" t="str">
        <f>UPPER(LEFT(TRIM(Data!B33),1)) &amp; MID(TRIM(Data!B33),2,50)</f>
        <v>Kitų šlapimą išskiriančių organų</v>
      </c>
      <c r="C33" s="183" t="str">
        <f>Data!C33</f>
        <v>C65, C66, C68</v>
      </c>
      <c r="D33" s="204">
        <f>Data!DA33/D$2*100000</f>
        <v>0</v>
      </c>
      <c r="E33" s="204">
        <f>Data!DB33/E$2*100000</f>
        <v>0</v>
      </c>
      <c r="F33" s="204">
        <f>Data!DC33/F$2*100000</f>
        <v>0</v>
      </c>
      <c r="G33" s="204">
        <f>Data!DD33/G$2*100000</f>
        <v>0</v>
      </c>
      <c r="H33" s="204">
        <f>Data!DE33/H$2*100000</f>
        <v>0</v>
      </c>
      <c r="I33" s="204">
        <f>Data!DF33/I$2*100000</f>
        <v>0</v>
      </c>
      <c r="J33" s="204">
        <f>Data!DG33/J$2*100000</f>
        <v>0</v>
      </c>
      <c r="K33" s="204">
        <f>Data!DH33/K$2*100000</f>
        <v>0</v>
      </c>
      <c r="L33" s="204">
        <f>Data!DI33/L$2*100000</f>
        <v>0</v>
      </c>
      <c r="M33" s="204">
        <f>Data!DJ33/M$2*100000</f>
        <v>0</v>
      </c>
      <c r="N33" s="204">
        <f>Data!DK33/N$2*100000</f>
        <v>0</v>
      </c>
      <c r="O33" s="204">
        <f>Data!DL33/O$2*100000</f>
        <v>0</v>
      </c>
      <c r="P33" s="204">
        <f>Data!DM33/P$2*100000</f>
        <v>1.0109587933195843</v>
      </c>
      <c r="Q33" s="204">
        <f>Data!DN33/Q$2*100000</f>
        <v>0</v>
      </c>
      <c r="R33" s="204">
        <f>Data!DO33/R$2*100000</f>
        <v>0</v>
      </c>
      <c r="S33" s="204">
        <f>Data!DP33/S$2*100000</f>
        <v>2.4846572415335304</v>
      </c>
      <c r="T33" s="204">
        <f>Data!DQ33/T$2*100000</f>
        <v>0</v>
      </c>
      <c r="U33" s="204">
        <f>Data!DR33/U$2*100000</f>
        <v>8.8063053146052575</v>
      </c>
      <c r="V33" s="204">
        <f>Data!BR33/V$2*100000</f>
        <v>0.438803795778206</v>
      </c>
      <c r="W33" s="187"/>
    </row>
    <row r="34" spans="1:23" ht="12" customHeight="1">
      <c r="A34" s="187"/>
      <c r="B34" s="196" t="str">
        <f>UPPER(LEFT(TRIM(Data!B34),1)) &amp; MID(TRIM(Data!B34),2,50)</f>
        <v>Akių</v>
      </c>
      <c r="C34" s="197" t="str">
        <f>Data!C34</f>
        <v>C69</v>
      </c>
      <c r="D34" s="202">
        <f>Data!DA34/D$2*100000</f>
        <v>0</v>
      </c>
      <c r="E34" s="202">
        <f>Data!DB34/E$2*100000</f>
        <v>0</v>
      </c>
      <c r="F34" s="202">
        <f>Data!DC34/F$2*100000</f>
        <v>0</v>
      </c>
      <c r="G34" s="202">
        <f>Data!DD34/G$2*100000</f>
        <v>0</v>
      </c>
      <c r="H34" s="202">
        <f>Data!DE34/H$2*100000</f>
        <v>0</v>
      </c>
      <c r="I34" s="202">
        <f>Data!DF34/I$2*100000</f>
        <v>0</v>
      </c>
      <c r="J34" s="202">
        <f>Data!DG34/J$2*100000</f>
        <v>0</v>
      </c>
      <c r="K34" s="202">
        <f>Data!DH34/K$2*100000</f>
        <v>1.0489217084836788</v>
      </c>
      <c r="L34" s="202">
        <f>Data!DI34/L$2*100000</f>
        <v>0.9222369780138705</v>
      </c>
      <c r="M34" s="202">
        <f>Data!DJ34/M$2*100000</f>
        <v>0</v>
      </c>
      <c r="N34" s="202">
        <f>Data!DK34/N$2*100000</f>
        <v>0</v>
      </c>
      <c r="O34" s="202">
        <f>Data!DL34/O$2*100000</f>
        <v>0</v>
      </c>
      <c r="P34" s="202">
        <f>Data!DM34/P$2*100000</f>
        <v>1.0109587933195843</v>
      </c>
      <c r="Q34" s="202">
        <f>Data!DN34/Q$2*100000</f>
        <v>0</v>
      </c>
      <c r="R34" s="202">
        <f>Data!DO34/R$2*100000</f>
        <v>2.2205937867785845</v>
      </c>
      <c r="S34" s="202">
        <f>Data!DP34/S$2*100000</f>
        <v>2.4846572415335304</v>
      </c>
      <c r="T34" s="202">
        <f>Data!DQ34/T$2*100000</f>
        <v>0</v>
      </c>
      <c r="U34" s="202">
        <f>Data!DR34/U$2*100000</f>
        <v>2.2015763286513144</v>
      </c>
      <c r="V34" s="202">
        <f>Data!BR34/V$2*100000</f>
        <v>0.50149005231794963</v>
      </c>
      <c r="W34" s="187"/>
    </row>
    <row r="35" spans="1:23" ht="12" customHeight="1">
      <c r="A35" s="187"/>
      <c r="B35" s="182" t="str">
        <f>UPPER(LEFT(TRIM(Data!B35),1)) &amp; MID(TRIM(Data!B35),2,50)</f>
        <v>Smegenų</v>
      </c>
      <c r="C35" s="183" t="str">
        <f>Data!C35</f>
        <v>C70-C72</v>
      </c>
      <c r="D35" s="204">
        <f>Data!DA35/D$2*100000</f>
        <v>0</v>
      </c>
      <c r="E35" s="204">
        <f>Data!DB35/E$2*100000</f>
        <v>3.0314972564949829</v>
      </c>
      <c r="F35" s="204">
        <f>Data!DC35/F$2*100000</f>
        <v>1.398660083639873</v>
      </c>
      <c r="G35" s="204">
        <f>Data!DD35/G$2*100000</f>
        <v>0</v>
      </c>
      <c r="H35" s="204">
        <f>Data!DE35/H$2*100000</f>
        <v>1.9244462405942688</v>
      </c>
      <c r="I35" s="204">
        <f>Data!DF35/I$2*100000</f>
        <v>2.1040007574402724</v>
      </c>
      <c r="J35" s="204">
        <f>Data!DG35/J$2*100000</f>
        <v>4.5773398789293607</v>
      </c>
      <c r="K35" s="204">
        <f>Data!DH35/K$2*100000</f>
        <v>3.1467651254510365</v>
      </c>
      <c r="L35" s="204">
        <f>Data!DI35/L$2*100000</f>
        <v>7.377895824110964</v>
      </c>
      <c r="M35" s="204">
        <f>Data!DJ35/M$2*100000</f>
        <v>6.2355802207395392</v>
      </c>
      <c r="N35" s="204">
        <f>Data!DK35/N$2*100000</f>
        <v>7.9293966522087329</v>
      </c>
      <c r="O35" s="204">
        <f>Data!DL35/O$2*100000</f>
        <v>13.906013887472534</v>
      </c>
      <c r="P35" s="204">
        <f>Data!DM35/P$2*100000</f>
        <v>13.142464313154596</v>
      </c>
      <c r="Q35" s="204">
        <f>Data!DN35/Q$2*100000</f>
        <v>16.817422850072674</v>
      </c>
      <c r="R35" s="204">
        <f>Data!DO35/R$2*100000</f>
        <v>24.426531654564432</v>
      </c>
      <c r="S35" s="204">
        <f>Data!DP35/S$2*100000</f>
        <v>13.665614828434418</v>
      </c>
      <c r="T35" s="204">
        <f>Data!DQ35/T$2*100000</f>
        <v>24.67308166790032</v>
      </c>
      <c r="U35" s="204">
        <f>Data!DR35/U$2*100000</f>
        <v>28.620492272467082</v>
      </c>
      <c r="V35" s="204">
        <f>Data!BR35/V$2*100000</f>
        <v>8.901448428643608</v>
      </c>
      <c r="W35" s="187"/>
    </row>
    <row r="36" spans="1:23" ht="12" customHeight="1">
      <c r="A36" s="187"/>
      <c r="B36" s="196" t="str">
        <f>UPPER(LEFT(TRIM(Data!B36),1)) &amp; MID(TRIM(Data!B36),2,50)</f>
        <v>Skydliaukės</v>
      </c>
      <c r="C36" s="197" t="str">
        <f>Data!C36</f>
        <v>C73</v>
      </c>
      <c r="D36" s="202">
        <f>Data!DA36/D$2*100000</f>
        <v>0</v>
      </c>
      <c r="E36" s="202">
        <f>Data!DB36/E$2*100000</f>
        <v>0</v>
      </c>
      <c r="F36" s="202">
        <f>Data!DC36/F$2*100000</f>
        <v>0</v>
      </c>
      <c r="G36" s="202">
        <f>Data!DD36/G$2*100000</f>
        <v>0</v>
      </c>
      <c r="H36" s="202">
        <f>Data!DE36/H$2*100000</f>
        <v>0</v>
      </c>
      <c r="I36" s="202">
        <f>Data!DF36/I$2*100000</f>
        <v>0</v>
      </c>
      <c r="J36" s="202">
        <f>Data!DG36/J$2*100000</f>
        <v>0</v>
      </c>
      <c r="K36" s="202">
        <f>Data!DH36/K$2*100000</f>
        <v>0</v>
      </c>
      <c r="L36" s="202">
        <f>Data!DI36/L$2*100000</f>
        <v>0</v>
      </c>
      <c r="M36" s="202">
        <f>Data!DJ36/M$2*100000</f>
        <v>0</v>
      </c>
      <c r="N36" s="202">
        <f>Data!DK36/N$2*100000</f>
        <v>0.79293966522087334</v>
      </c>
      <c r="O36" s="202">
        <f>Data!DL36/O$2*100000</f>
        <v>0</v>
      </c>
      <c r="P36" s="202">
        <f>Data!DM36/P$2*100000</f>
        <v>1.0109587933195843</v>
      </c>
      <c r="Q36" s="202">
        <f>Data!DN36/Q$2*100000</f>
        <v>0</v>
      </c>
      <c r="R36" s="202">
        <f>Data!DO36/R$2*100000</f>
        <v>4.4411875735571691</v>
      </c>
      <c r="S36" s="202">
        <f>Data!DP36/S$2*100000</f>
        <v>6.2116431038338256</v>
      </c>
      <c r="T36" s="202">
        <f>Data!DQ36/T$2*100000</f>
        <v>1.6448721111933549</v>
      </c>
      <c r="U36" s="202">
        <f>Data!DR36/U$2*100000</f>
        <v>6.6047289859539431</v>
      </c>
      <c r="V36" s="202">
        <f>Data!BR36/V$2*100000</f>
        <v>0.94029384809615568</v>
      </c>
      <c r="W36" s="187"/>
    </row>
    <row r="37" spans="1:23" ht="12" customHeight="1">
      <c r="A37" s="187"/>
      <c r="B37" s="182" t="str">
        <f>UPPER(LEFT(TRIM(Data!B37),1)) &amp; MID(TRIM(Data!B37),2,50)</f>
        <v>Kitų endokrininių liaukų</v>
      </c>
      <c r="C37" s="183" t="str">
        <f>Data!C37</f>
        <v>C74-C75</v>
      </c>
      <c r="D37" s="204">
        <f>Data!DA37/D$2*100000</f>
        <v>0</v>
      </c>
      <c r="E37" s="204">
        <f>Data!DB37/E$2*100000</f>
        <v>0</v>
      </c>
      <c r="F37" s="204">
        <f>Data!DC37/F$2*100000</f>
        <v>0</v>
      </c>
      <c r="G37" s="204">
        <f>Data!DD37/G$2*100000</f>
        <v>1.1255430745334625</v>
      </c>
      <c r="H37" s="204">
        <f>Data!DE37/H$2*100000</f>
        <v>0</v>
      </c>
      <c r="I37" s="204">
        <f>Data!DF37/I$2*100000</f>
        <v>0</v>
      </c>
      <c r="J37" s="204">
        <f>Data!DG37/J$2*100000</f>
        <v>0</v>
      </c>
      <c r="K37" s="204">
        <f>Data!DH37/K$2*100000</f>
        <v>0</v>
      </c>
      <c r="L37" s="204">
        <f>Data!DI37/L$2*100000</f>
        <v>0</v>
      </c>
      <c r="M37" s="204">
        <f>Data!DJ37/M$2*100000</f>
        <v>0</v>
      </c>
      <c r="N37" s="204">
        <f>Data!DK37/N$2*100000</f>
        <v>0</v>
      </c>
      <c r="O37" s="204">
        <f>Data!DL37/O$2*100000</f>
        <v>0</v>
      </c>
      <c r="P37" s="204">
        <f>Data!DM37/P$2*100000</f>
        <v>0</v>
      </c>
      <c r="Q37" s="204">
        <f>Data!DN37/Q$2*100000</f>
        <v>0</v>
      </c>
      <c r="R37" s="204">
        <f>Data!DO37/R$2*100000</f>
        <v>2.2205937867785845</v>
      </c>
      <c r="S37" s="204">
        <f>Data!DP37/S$2*100000</f>
        <v>1.2423286207667652</v>
      </c>
      <c r="T37" s="204">
        <f>Data!DQ37/T$2*100000</f>
        <v>0</v>
      </c>
      <c r="U37" s="204">
        <f>Data!DR37/U$2*100000</f>
        <v>2.2015763286513144</v>
      </c>
      <c r="V37" s="204">
        <f>Data!BR37/V$2*100000</f>
        <v>0.31343128269871856</v>
      </c>
      <c r="W37" s="187"/>
    </row>
    <row r="38" spans="1:23" ht="12" customHeight="1">
      <c r="A38" s="187"/>
      <c r="B38" s="196" t="str">
        <f>UPPER(LEFT(TRIM(Data!B38),1)) &amp; MID(TRIM(Data!B38),2,50)</f>
        <v>Nepatikslintos lokalizacijos</v>
      </c>
      <c r="C38" s="197" t="str">
        <f>Data!C38</f>
        <v>C76-C80</v>
      </c>
      <c r="D38" s="202">
        <f>Data!DA38/D$2*100000</f>
        <v>0</v>
      </c>
      <c r="E38" s="202">
        <f>Data!DB38/E$2*100000</f>
        <v>0</v>
      </c>
      <c r="F38" s="202">
        <f>Data!DC38/F$2*100000</f>
        <v>0</v>
      </c>
      <c r="G38" s="202">
        <f>Data!DD38/G$2*100000</f>
        <v>0</v>
      </c>
      <c r="H38" s="202">
        <f>Data!DE38/H$2*100000</f>
        <v>0</v>
      </c>
      <c r="I38" s="202">
        <f>Data!DF38/I$2*100000</f>
        <v>1.0520003787201362</v>
      </c>
      <c r="J38" s="202">
        <f>Data!DG38/J$2*100000</f>
        <v>0</v>
      </c>
      <c r="K38" s="202">
        <f>Data!DH38/K$2*100000</f>
        <v>2.0978434169673577</v>
      </c>
      <c r="L38" s="202">
        <f>Data!DI38/L$2*100000</f>
        <v>2.7667109340416114</v>
      </c>
      <c r="M38" s="202">
        <f>Data!DJ38/M$2*100000</f>
        <v>2.6723915231740882</v>
      </c>
      <c r="N38" s="202">
        <f>Data!DK38/N$2*100000</f>
        <v>5.5505776565461131</v>
      </c>
      <c r="O38" s="202">
        <f>Data!DL38/O$2*100000</f>
        <v>6.4894731474871836</v>
      </c>
      <c r="P38" s="202">
        <f>Data!DM38/P$2*100000</f>
        <v>17.186299486432933</v>
      </c>
      <c r="Q38" s="202">
        <f>Data!DN38/Q$2*100000</f>
        <v>26.427378764399915</v>
      </c>
      <c r="R38" s="202">
        <f>Data!DO38/R$2*100000</f>
        <v>31.088313014900184</v>
      </c>
      <c r="S38" s="202">
        <f>Data!DP38/S$2*100000</f>
        <v>40.996844485303257</v>
      </c>
      <c r="T38" s="202">
        <f>Data!DQ38/T$2*100000</f>
        <v>59.215396002960766</v>
      </c>
      <c r="U38" s="202">
        <f>Data!DR38/U$2*100000</f>
        <v>77.055171502796</v>
      </c>
      <c r="V38" s="202">
        <f>Data!BR38/V$2*100000</f>
        <v>12.161133768710281</v>
      </c>
      <c r="W38" s="187"/>
    </row>
    <row r="39" spans="1:23" ht="12" customHeight="1">
      <c r="A39" s="187"/>
      <c r="B39" s="182" t="str">
        <f>UPPER(LEFT(TRIM(Data!B39),1)) &amp; MID(TRIM(Data!B39),2,50)</f>
        <v>Hodžkino limfomos</v>
      </c>
      <c r="C39" s="183" t="str">
        <f>Data!C39</f>
        <v>C81</v>
      </c>
      <c r="D39" s="204">
        <f>Data!DA39/D$2*100000</f>
        <v>0</v>
      </c>
      <c r="E39" s="204">
        <f>Data!DB39/E$2*100000</f>
        <v>0</v>
      </c>
      <c r="F39" s="204">
        <f>Data!DC39/F$2*100000</f>
        <v>0</v>
      </c>
      <c r="G39" s="204">
        <f>Data!DD39/G$2*100000</f>
        <v>0</v>
      </c>
      <c r="H39" s="204">
        <f>Data!DE39/H$2*100000</f>
        <v>0</v>
      </c>
      <c r="I39" s="204">
        <f>Data!DF39/I$2*100000</f>
        <v>0</v>
      </c>
      <c r="J39" s="204">
        <f>Data!DG39/J$2*100000</f>
        <v>0</v>
      </c>
      <c r="K39" s="204">
        <f>Data!DH39/K$2*100000</f>
        <v>0</v>
      </c>
      <c r="L39" s="204">
        <f>Data!DI39/L$2*100000</f>
        <v>0</v>
      </c>
      <c r="M39" s="204">
        <f>Data!DJ39/M$2*100000</f>
        <v>0</v>
      </c>
      <c r="N39" s="204">
        <f>Data!DK39/N$2*100000</f>
        <v>0.79293966522087334</v>
      </c>
      <c r="O39" s="204">
        <f>Data!DL39/O$2*100000</f>
        <v>0</v>
      </c>
      <c r="P39" s="204">
        <f>Data!DM39/P$2*100000</f>
        <v>0</v>
      </c>
      <c r="Q39" s="204">
        <f>Data!DN39/Q$2*100000</f>
        <v>0</v>
      </c>
      <c r="R39" s="204">
        <f>Data!DO39/R$2*100000</f>
        <v>0</v>
      </c>
      <c r="S39" s="204">
        <f>Data!DP39/S$2*100000</f>
        <v>0</v>
      </c>
      <c r="T39" s="204">
        <f>Data!DQ39/T$2*100000</f>
        <v>0</v>
      </c>
      <c r="U39" s="204">
        <f>Data!DR39/U$2*100000</f>
        <v>0</v>
      </c>
      <c r="V39" s="204">
        <f>Data!BR39/V$2*100000</f>
        <v>6.2686256539743704E-2</v>
      </c>
      <c r="W39" s="187"/>
    </row>
    <row r="40" spans="1:23" ht="12" customHeight="1">
      <c r="A40" s="187"/>
      <c r="B40" s="196" t="str">
        <f>UPPER(LEFT(TRIM(Data!B40),1)) &amp; MID(TRIM(Data!B40),2,50)</f>
        <v>Ne Hodžkino limfomos</v>
      </c>
      <c r="C40" s="197" t="str">
        <f>Data!C40</f>
        <v>C82-C85</v>
      </c>
      <c r="D40" s="202">
        <f>Data!DA40/D$2*100000</f>
        <v>0</v>
      </c>
      <c r="E40" s="202">
        <f>Data!DB40/E$2*100000</f>
        <v>0</v>
      </c>
      <c r="F40" s="202">
        <f>Data!DC40/F$2*100000</f>
        <v>0</v>
      </c>
      <c r="G40" s="202">
        <f>Data!DD40/G$2*100000</f>
        <v>0</v>
      </c>
      <c r="H40" s="202">
        <f>Data!DE40/H$2*100000</f>
        <v>0</v>
      </c>
      <c r="I40" s="202">
        <f>Data!DF40/I$2*100000</f>
        <v>1.0520003787201362</v>
      </c>
      <c r="J40" s="202">
        <f>Data!DG40/J$2*100000</f>
        <v>0</v>
      </c>
      <c r="K40" s="202">
        <f>Data!DH40/K$2*100000</f>
        <v>0</v>
      </c>
      <c r="L40" s="202">
        <f>Data!DI40/L$2*100000</f>
        <v>0.9222369780138705</v>
      </c>
      <c r="M40" s="202">
        <f>Data!DJ40/M$2*100000</f>
        <v>1.7815943487827257</v>
      </c>
      <c r="N40" s="202">
        <f>Data!DK40/N$2*100000</f>
        <v>0.79293966522087334</v>
      </c>
      <c r="O40" s="202">
        <f>Data!DL40/O$2*100000</f>
        <v>1.8541351849963381</v>
      </c>
      <c r="P40" s="202">
        <f>Data!DM40/P$2*100000</f>
        <v>8.0876703465566742</v>
      </c>
      <c r="Q40" s="202">
        <f>Data!DN40/Q$2*100000</f>
        <v>8.4087114250363371</v>
      </c>
      <c r="R40" s="202">
        <f>Data!DO40/R$2*100000</f>
        <v>14.4338596140608</v>
      </c>
      <c r="S40" s="202">
        <f>Data!DP40/S$2*100000</f>
        <v>23.604243794568539</v>
      </c>
      <c r="T40" s="202">
        <f>Data!DQ40/T$2*100000</f>
        <v>24.67308166790032</v>
      </c>
      <c r="U40" s="202">
        <f>Data!DR40/U$2*100000</f>
        <v>24.217339615164455</v>
      </c>
      <c r="V40" s="202">
        <f>Data!BR40/V$2*100000</f>
        <v>5.014900523179497</v>
      </c>
      <c r="W40" s="187"/>
    </row>
    <row r="41" spans="1:23" ht="12" customHeight="1">
      <c r="A41" s="187"/>
      <c r="B41" s="182" t="str">
        <f>UPPER(LEFT(TRIM(Data!B41),1)) &amp; MID(TRIM(Data!B41),2,50)</f>
        <v>Mielominės ligos</v>
      </c>
      <c r="C41" s="183" t="str">
        <f>Data!C41</f>
        <v>C90</v>
      </c>
      <c r="D41" s="204">
        <f>Data!DA41/D$2*100000</f>
        <v>0</v>
      </c>
      <c r="E41" s="204">
        <f>Data!DB41/E$2*100000</f>
        <v>0</v>
      </c>
      <c r="F41" s="204">
        <f>Data!DC41/F$2*100000</f>
        <v>0</v>
      </c>
      <c r="G41" s="204">
        <f>Data!DD41/G$2*100000</f>
        <v>0</v>
      </c>
      <c r="H41" s="204">
        <f>Data!DE41/H$2*100000</f>
        <v>0</v>
      </c>
      <c r="I41" s="204">
        <f>Data!DF41/I$2*100000</f>
        <v>0</v>
      </c>
      <c r="J41" s="204">
        <f>Data!DG41/J$2*100000</f>
        <v>0</v>
      </c>
      <c r="K41" s="204">
        <f>Data!DH41/K$2*100000</f>
        <v>0</v>
      </c>
      <c r="L41" s="204">
        <f>Data!DI41/L$2*100000</f>
        <v>0</v>
      </c>
      <c r="M41" s="204">
        <f>Data!DJ41/M$2*100000</f>
        <v>0</v>
      </c>
      <c r="N41" s="204">
        <f>Data!DK41/N$2*100000</f>
        <v>0</v>
      </c>
      <c r="O41" s="204">
        <f>Data!DL41/O$2*100000</f>
        <v>0</v>
      </c>
      <c r="P41" s="204">
        <f>Data!DM41/P$2*100000</f>
        <v>2.0219175866391685</v>
      </c>
      <c r="Q41" s="204">
        <f>Data!DN41/Q$2*100000</f>
        <v>13.213689382199957</v>
      </c>
      <c r="R41" s="204">
        <f>Data!DO41/R$2*100000</f>
        <v>13.323562720671507</v>
      </c>
      <c r="S41" s="204">
        <f>Data!DP41/S$2*100000</f>
        <v>12.423286207667651</v>
      </c>
      <c r="T41" s="204">
        <f>Data!DQ41/T$2*100000</f>
        <v>14.803849000740191</v>
      </c>
      <c r="U41" s="204">
        <f>Data!DR41/U$2*100000</f>
        <v>22.015763286513142</v>
      </c>
      <c r="V41" s="204">
        <f>Data!BR41/V$2*100000</f>
        <v>3.3850578531461606</v>
      </c>
      <c r="W41" s="187"/>
    </row>
    <row r="42" spans="1:23" ht="12" customHeight="1">
      <c r="A42" s="187"/>
      <c r="B42" s="196" t="str">
        <f>UPPER(LEFT(TRIM(Data!B42),1)) &amp; MID(TRIM(Data!B42),2,50)</f>
        <v>Leukemijos</v>
      </c>
      <c r="C42" s="197" t="str">
        <f>Data!C42</f>
        <v>C91-C95</v>
      </c>
      <c r="D42" s="202">
        <f>Data!DA42/D$2*100000</f>
        <v>0</v>
      </c>
      <c r="E42" s="202">
        <f>Data!DB42/E$2*100000</f>
        <v>0</v>
      </c>
      <c r="F42" s="202">
        <f>Data!DC42/F$2*100000</f>
        <v>0</v>
      </c>
      <c r="G42" s="202">
        <f>Data!DD42/G$2*100000</f>
        <v>1.1255430745334625</v>
      </c>
      <c r="H42" s="202">
        <f>Data!DE42/H$2*100000</f>
        <v>0</v>
      </c>
      <c r="I42" s="202">
        <f>Data!DF42/I$2*100000</f>
        <v>0</v>
      </c>
      <c r="J42" s="202">
        <f>Data!DG42/J$2*100000</f>
        <v>1.1443349697323402</v>
      </c>
      <c r="K42" s="202">
        <f>Data!DH42/K$2*100000</f>
        <v>1.0489217084836788</v>
      </c>
      <c r="L42" s="202">
        <f>Data!DI42/L$2*100000</f>
        <v>5.5334218680832228</v>
      </c>
      <c r="M42" s="202">
        <f>Data!DJ42/M$2*100000</f>
        <v>3.5631886975654514</v>
      </c>
      <c r="N42" s="202">
        <f>Data!DK42/N$2*100000</f>
        <v>3.9646983261043665</v>
      </c>
      <c r="O42" s="202">
        <f>Data!DL42/O$2*100000</f>
        <v>4.635337962490846</v>
      </c>
      <c r="P42" s="202">
        <f>Data!DM42/P$2*100000</f>
        <v>10.109587933195842</v>
      </c>
      <c r="Q42" s="202">
        <f>Data!DN42/Q$2*100000</f>
        <v>9.6099559143272426</v>
      </c>
      <c r="R42" s="202">
        <f>Data!DO42/R$2*100000</f>
        <v>25.536828547953721</v>
      </c>
      <c r="S42" s="202">
        <f>Data!DP42/S$2*100000</f>
        <v>39.754515864536486</v>
      </c>
      <c r="T42" s="202">
        <f>Data!DQ42/T$2*100000</f>
        <v>31.252570112673741</v>
      </c>
      <c r="U42" s="202">
        <f>Data!DR42/U$2*100000</f>
        <v>41.82995024437497</v>
      </c>
      <c r="V42" s="202">
        <f>Data!BR42/V$2*100000</f>
        <v>8.3999583763256567</v>
      </c>
      <c r="W42" s="187"/>
    </row>
    <row r="43" spans="1:23" ht="12" customHeight="1">
      <c r="A43" s="187"/>
      <c r="B43" s="182" t="str">
        <f>UPPER(LEFT(TRIM(Data!B43),1)) &amp; MID(TRIM(Data!B43),2,50)</f>
        <v>Kiti limfinio, kraujodaros audinių</v>
      </c>
      <c r="C43" s="183" t="str">
        <f>Data!C43</f>
        <v>C88, C96</v>
      </c>
      <c r="D43" s="204">
        <f>Data!DA43/D$2*100000</f>
        <v>0</v>
      </c>
      <c r="E43" s="204">
        <f>Data!DB43/E$2*100000</f>
        <v>0</v>
      </c>
      <c r="F43" s="204">
        <f>Data!DC43/F$2*100000</f>
        <v>0</v>
      </c>
      <c r="G43" s="204">
        <f>Data!DD43/G$2*100000</f>
        <v>0</v>
      </c>
      <c r="H43" s="204">
        <f>Data!DE43/H$2*100000</f>
        <v>0</v>
      </c>
      <c r="I43" s="204">
        <f>Data!DF43/I$2*100000</f>
        <v>0</v>
      </c>
      <c r="J43" s="204">
        <f>Data!DG43/J$2*100000</f>
        <v>0</v>
      </c>
      <c r="K43" s="204">
        <f>Data!DH43/K$2*100000</f>
        <v>0</v>
      </c>
      <c r="L43" s="204">
        <f>Data!DI43/L$2*100000</f>
        <v>0</v>
      </c>
      <c r="M43" s="204">
        <f>Data!DJ43/M$2*100000</f>
        <v>0</v>
      </c>
      <c r="N43" s="204">
        <f>Data!DK43/N$2*100000</f>
        <v>0</v>
      </c>
      <c r="O43" s="204">
        <f>Data!DL43/O$2*100000</f>
        <v>0</v>
      </c>
      <c r="P43" s="204">
        <f>Data!DM43/P$2*100000</f>
        <v>0</v>
      </c>
      <c r="Q43" s="204">
        <f>Data!DN43/Q$2*100000</f>
        <v>1.2012444892909053</v>
      </c>
      <c r="R43" s="204">
        <f>Data!DO43/R$2*100000</f>
        <v>0</v>
      </c>
      <c r="S43" s="204">
        <f>Data!DP43/S$2*100000</f>
        <v>1.2423286207667652</v>
      </c>
      <c r="T43" s="204">
        <f>Data!DQ43/T$2*100000</f>
        <v>0</v>
      </c>
      <c r="U43" s="204">
        <f>Data!DR43/U$2*100000</f>
        <v>0</v>
      </c>
      <c r="V43" s="204">
        <f>Data!BR43/V$2*100000</f>
        <v>0.12537251307948741</v>
      </c>
      <c r="W43" s="187"/>
    </row>
    <row r="44" spans="1:23" ht="24" customHeight="1">
      <c r="A44" s="187"/>
      <c r="B44" s="191"/>
      <c r="C44" s="192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87"/>
    </row>
    <row r="45" spans="1:23" ht="3" customHeight="1">
      <c r="A45" s="187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</row>
    <row r="46" spans="1:23" ht="3" customHeight="1">
      <c r="A46" s="187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</row>
    <row r="47" spans="1:23" ht="3" customHeight="1">
      <c r="A47" s="187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</row>
    <row r="48" spans="1:23" ht="3" customHeight="1"/>
    <row r="49" ht="3" customHeight="1"/>
    <row r="50" ht="3" customHeight="1"/>
    <row r="51" ht="3" customHeight="1"/>
    <row r="52" ht="3" customHeight="1"/>
    <row r="53" ht="3" customHeight="1"/>
    <row r="54" ht="3" customHeight="1"/>
    <row r="55" ht="3" customHeight="1"/>
  </sheetData>
  <mergeCells count="5">
    <mergeCell ref="V5:V6"/>
    <mergeCell ref="B5:B6"/>
    <mergeCell ref="C5:C6"/>
    <mergeCell ref="D5:U5"/>
    <mergeCell ref="B4:H4"/>
  </mergeCells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9" tint="0.39997558519241921"/>
  </sheetPr>
  <dimension ref="A1:H48"/>
  <sheetViews>
    <sheetView workbookViewId="0">
      <selection activeCell="B1" sqref="B1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7" width="9.28515625" customWidth="1"/>
    <col min="8" max="8" width="3.28515625" customWidth="1"/>
    <col min="9" max="14" width="0.85546875" customWidth="1"/>
  </cols>
  <sheetData>
    <row r="1" spans="1:8" ht="15">
      <c r="A1" s="29"/>
      <c r="B1" s="552" t="s">
        <v>402</v>
      </c>
      <c r="C1" s="553"/>
      <c r="D1" s="553"/>
      <c r="E1" s="553"/>
      <c r="F1" s="553"/>
      <c r="G1" s="29"/>
      <c r="H1" s="30"/>
    </row>
    <row r="2" spans="1:8" ht="12.75" customHeight="1">
      <c r="A2" s="29"/>
      <c r="B2" s="554" t="str">
        <f>"Gyvi intervalo pabaigai, su metais po diagnozės nustatymo.  " &amp; GrafikaiSerg!A1 &amp; " metai. Vyrai."</f>
        <v>Gyvi intervalo pabaigai, su metais po diagnozės nustatymo.  2013 metai. Vyrai.</v>
      </c>
      <c r="C2" s="553"/>
      <c r="D2" s="553"/>
      <c r="E2" s="555"/>
      <c r="F2" s="553"/>
      <c r="G2" s="29"/>
      <c r="H2" s="30"/>
    </row>
    <row r="3" spans="1:8" ht="12.75" customHeight="1">
      <c r="A3" s="29"/>
      <c r="B3" s="61" t="s">
        <v>654</v>
      </c>
      <c r="C3" s="55"/>
      <c r="D3" s="29"/>
      <c r="E3" s="29"/>
      <c r="F3" s="29"/>
      <c r="G3" s="59"/>
      <c r="H3" s="30"/>
    </row>
    <row r="4" spans="1:8" ht="26.1" customHeight="1" thickBot="1">
      <c r="A4" s="29"/>
      <c r="B4" s="172" t="s">
        <v>242</v>
      </c>
      <c r="C4" s="172" t="s">
        <v>243</v>
      </c>
      <c r="D4" s="172" t="s">
        <v>437</v>
      </c>
      <c r="E4" s="172" t="s">
        <v>438</v>
      </c>
      <c r="F4" s="173" t="s">
        <v>439</v>
      </c>
      <c r="G4" s="174" t="s">
        <v>429</v>
      </c>
      <c r="H4" s="30"/>
    </row>
    <row r="5" spans="1:8" ht="12" customHeight="1" thickTop="1">
      <c r="A5" s="29"/>
      <c r="B5" s="144" t="str">
        <f>UPPER(LEFT(TRIM(Data!B5),1)) &amp; MID(TRIM(Data!B5),2,50)</f>
        <v>Piktybiniai navikai</v>
      </c>
      <c r="C5" s="144" t="str">
        <f>Data!C5</f>
        <v>C00-C96</v>
      </c>
      <c r="D5" s="163">
        <f>Data!BK5</f>
        <v>40908</v>
      </c>
      <c r="E5" s="163">
        <f>Data!BL5</f>
        <v>22078</v>
      </c>
      <c r="F5" s="163">
        <f>Data!BM5</f>
        <v>7661</v>
      </c>
      <c r="G5" s="163">
        <f>Data!BN5</f>
        <v>47077</v>
      </c>
      <c r="H5" s="30"/>
    </row>
    <row r="6" spans="1:8" ht="12" customHeight="1">
      <c r="A6" s="29"/>
      <c r="B6" s="139" t="str">
        <f>UPPER(LEFT(TRIM(Data!B6),1)) &amp; MID(TRIM(Data!B6),2,50)</f>
        <v>Lūpos</v>
      </c>
      <c r="C6" s="168" t="str">
        <f>Data!C6</f>
        <v>C00</v>
      </c>
      <c r="D6" s="169">
        <f>Data!BK6</f>
        <v>335</v>
      </c>
      <c r="E6" s="169">
        <f>Data!BL6</f>
        <v>268</v>
      </c>
      <c r="F6" s="169">
        <f>Data!BM6</f>
        <v>201</v>
      </c>
      <c r="G6" s="169">
        <f>Data!BN6</f>
        <v>353</v>
      </c>
      <c r="H6" s="30"/>
    </row>
    <row r="7" spans="1:8" ht="12" customHeight="1">
      <c r="A7" s="29"/>
      <c r="B7" s="144" t="str">
        <f>UPPER(LEFT(TRIM(Data!B7),1)) &amp; MID(TRIM(Data!B7),2,50)</f>
        <v>Burnos ertmės ir ryklės</v>
      </c>
      <c r="C7" s="144" t="str">
        <f>Data!C7</f>
        <v>C01-C14</v>
      </c>
      <c r="D7" s="163">
        <f>Data!BK7</f>
        <v>518</v>
      </c>
      <c r="E7" s="163">
        <f>Data!BL7</f>
        <v>276</v>
      </c>
      <c r="F7" s="163">
        <f>Data!BM7</f>
        <v>139</v>
      </c>
      <c r="G7" s="163">
        <f>Data!BN7</f>
        <v>642</v>
      </c>
      <c r="H7" s="30"/>
    </row>
    <row r="8" spans="1:8" ht="12" customHeight="1">
      <c r="A8" s="29"/>
      <c r="B8" s="139" t="str">
        <f>UPPER(LEFT(TRIM(Data!B8),1)) &amp; MID(TRIM(Data!B8),2,50)</f>
        <v>Stemplės</v>
      </c>
      <c r="C8" s="168" t="str">
        <f>Data!C8</f>
        <v>C15</v>
      </c>
      <c r="D8" s="169">
        <f>Data!BK8</f>
        <v>69</v>
      </c>
      <c r="E8" s="169">
        <f>Data!BL8</f>
        <v>36</v>
      </c>
      <c r="F8" s="169">
        <f>Data!BM8</f>
        <v>18</v>
      </c>
      <c r="G8" s="169">
        <f>Data!BN8</f>
        <v>134</v>
      </c>
      <c r="H8" s="30"/>
    </row>
    <row r="9" spans="1:8" ht="12" customHeight="1">
      <c r="A9" s="29"/>
      <c r="B9" s="144" t="str">
        <f>UPPER(LEFT(TRIM(Data!B9),1)) &amp; MID(TRIM(Data!B9),2,50)</f>
        <v>Skrandžio</v>
      </c>
      <c r="C9" s="144" t="str">
        <f>Data!C9</f>
        <v>C16</v>
      </c>
      <c r="D9" s="163">
        <f>Data!BK9</f>
        <v>1314</v>
      </c>
      <c r="E9" s="163">
        <f>Data!BL9</f>
        <v>863</v>
      </c>
      <c r="F9" s="163">
        <f>Data!BM9</f>
        <v>514</v>
      </c>
      <c r="G9" s="163">
        <f>Data!BN9</f>
        <v>1557</v>
      </c>
      <c r="H9" s="30"/>
    </row>
    <row r="10" spans="1:8" ht="12" customHeight="1">
      <c r="A10" s="29"/>
      <c r="B10" s="139" t="str">
        <f>UPPER(LEFT(TRIM(Data!B10),1)) &amp; MID(TRIM(Data!B10),2,50)</f>
        <v>Gaubtinės žarnos</v>
      </c>
      <c r="C10" s="168" t="str">
        <f>Data!C10</f>
        <v>C18</v>
      </c>
      <c r="D10" s="169">
        <f>Data!BK10</f>
        <v>1671</v>
      </c>
      <c r="E10" s="169">
        <f>Data!BL10</f>
        <v>971</v>
      </c>
      <c r="F10" s="169">
        <f>Data!BM10</f>
        <v>506</v>
      </c>
      <c r="G10" s="169">
        <f>Data!BN10</f>
        <v>1909</v>
      </c>
      <c r="H10" s="30"/>
    </row>
    <row r="11" spans="1:8" ht="12" customHeight="1">
      <c r="A11" s="29"/>
      <c r="B11" s="144" t="str">
        <f>UPPER(LEFT(TRIM(Data!B11),1)) &amp; MID(TRIM(Data!B11),2,50)</f>
        <v>Tiesiosios žarnos, išangės</v>
      </c>
      <c r="C11" s="144" t="str">
        <f>Data!C11</f>
        <v>C19-C21</v>
      </c>
      <c r="D11" s="163">
        <f>Data!BK11</f>
        <v>1592</v>
      </c>
      <c r="E11" s="163">
        <f>Data!BL11</f>
        <v>934</v>
      </c>
      <c r="F11" s="163">
        <f>Data!BM11</f>
        <v>451</v>
      </c>
      <c r="G11" s="163">
        <f>Data!BN11</f>
        <v>1817</v>
      </c>
      <c r="H11" s="30"/>
    </row>
    <row r="12" spans="1:8" ht="12" customHeight="1">
      <c r="A12" s="29"/>
      <c r="B12" s="139" t="str">
        <f>UPPER(LEFT(TRIM(Data!B12),1)) &amp; MID(TRIM(Data!B12),2,50)</f>
        <v>Kepenų</v>
      </c>
      <c r="C12" s="168" t="str">
        <f>Data!C12</f>
        <v>C22</v>
      </c>
      <c r="D12" s="169">
        <f>Data!BK12</f>
        <v>75</v>
      </c>
      <c r="E12" s="169">
        <f>Data!BL12</f>
        <v>25</v>
      </c>
      <c r="F12" s="169">
        <f>Data!BM12</f>
        <v>11</v>
      </c>
      <c r="G12" s="169">
        <f>Data!BN12</f>
        <v>116</v>
      </c>
      <c r="H12" s="30"/>
    </row>
    <row r="13" spans="1:8" ht="12" customHeight="1">
      <c r="A13" s="29"/>
      <c r="B13" s="144" t="str">
        <f>UPPER(LEFT(TRIM(Data!B13),1)) &amp; MID(TRIM(Data!B13),2,50)</f>
        <v>Tulžies pūslės, ekstrahepatinių takų</v>
      </c>
      <c r="C13" s="144" t="str">
        <f>Data!C13</f>
        <v>C23, C24</v>
      </c>
      <c r="D13" s="163">
        <f>Data!BK13</f>
        <v>63</v>
      </c>
      <c r="E13" s="163">
        <f>Data!BL13</f>
        <v>38</v>
      </c>
      <c r="F13" s="163">
        <f>Data!BM13</f>
        <v>19</v>
      </c>
      <c r="G13" s="163">
        <f>Data!BN13</f>
        <v>87</v>
      </c>
      <c r="H13" s="30"/>
    </row>
    <row r="14" spans="1:8" ht="12" customHeight="1">
      <c r="A14" s="29"/>
      <c r="B14" s="139" t="str">
        <f>UPPER(LEFT(TRIM(Data!B14),1)) &amp; MID(TRIM(Data!B14),2,50)</f>
        <v>Kasos</v>
      </c>
      <c r="C14" s="168" t="str">
        <f>Data!C14</f>
        <v>C25</v>
      </c>
      <c r="D14" s="169">
        <f>Data!BK14</f>
        <v>119</v>
      </c>
      <c r="E14" s="169">
        <f>Data!BL14</f>
        <v>64</v>
      </c>
      <c r="F14" s="169">
        <f>Data!BM14</f>
        <v>38</v>
      </c>
      <c r="G14" s="169">
        <f>Data!BN14</f>
        <v>192</v>
      </c>
      <c r="H14" s="30"/>
    </row>
    <row r="15" spans="1:8" ht="12" customHeight="1">
      <c r="A15" s="29"/>
      <c r="B15" s="144" t="str">
        <f>UPPER(LEFT(TRIM(Data!B15),1)) &amp; MID(TRIM(Data!B15),2,50)</f>
        <v>Kitų virškinimo sistemos organų</v>
      </c>
      <c r="C15" s="144" t="str">
        <f>Data!C15</f>
        <v>C17, C26, C48</v>
      </c>
      <c r="D15" s="163">
        <f>Data!BK15</f>
        <v>72</v>
      </c>
      <c r="E15" s="163">
        <f>Data!BL15</f>
        <v>43</v>
      </c>
      <c r="F15" s="163">
        <f>Data!BM15</f>
        <v>20</v>
      </c>
      <c r="G15" s="163">
        <f>Data!BN15</f>
        <v>83</v>
      </c>
      <c r="H15" s="30"/>
    </row>
    <row r="16" spans="1:8" ht="12" customHeight="1">
      <c r="A16" s="29"/>
      <c r="B16" s="139" t="str">
        <f>UPPER(LEFT(TRIM(Data!B16),1)) &amp; MID(TRIM(Data!B16),2,50)</f>
        <v>Nosies ertmės, vid.ausies ir ančių</v>
      </c>
      <c r="C16" s="168" t="str">
        <f>Data!C16</f>
        <v>C30, C31</v>
      </c>
      <c r="D16" s="169">
        <f>Data!BK16</f>
        <v>65</v>
      </c>
      <c r="E16" s="169">
        <f>Data!BL16</f>
        <v>37</v>
      </c>
      <c r="F16" s="169">
        <f>Data!BM16</f>
        <v>20</v>
      </c>
      <c r="G16" s="169">
        <f>Data!BN16</f>
        <v>75</v>
      </c>
      <c r="H16" s="30"/>
    </row>
    <row r="17" spans="1:8" ht="12" customHeight="1">
      <c r="A17" s="29"/>
      <c r="B17" s="144" t="str">
        <f>UPPER(LEFT(TRIM(Data!B17),1)) &amp; MID(TRIM(Data!B17),2,50)</f>
        <v>Gerklų</v>
      </c>
      <c r="C17" s="144" t="str">
        <f>Data!C17</f>
        <v>C32</v>
      </c>
      <c r="D17" s="163">
        <f>Data!BK17</f>
        <v>884</v>
      </c>
      <c r="E17" s="163">
        <f>Data!BL17</f>
        <v>598</v>
      </c>
      <c r="F17" s="163">
        <f>Data!BM17</f>
        <v>331</v>
      </c>
      <c r="G17" s="163">
        <f>Data!BN17</f>
        <v>988</v>
      </c>
      <c r="H17" s="30"/>
    </row>
    <row r="18" spans="1:8" ht="12" customHeight="1">
      <c r="A18" s="29"/>
      <c r="B18" s="139" t="str">
        <f>UPPER(LEFT(TRIM(Data!B18),1)) &amp; MID(TRIM(Data!B18),2,50)</f>
        <v>Plaučių, trachėjos, bronchų</v>
      </c>
      <c r="C18" s="168" t="str">
        <f>Data!C18</f>
        <v>C33, C34</v>
      </c>
      <c r="D18" s="169">
        <f>Data!BK18</f>
        <v>907</v>
      </c>
      <c r="E18" s="169">
        <f>Data!BL18</f>
        <v>494</v>
      </c>
      <c r="F18" s="169">
        <f>Data!BM18</f>
        <v>255</v>
      </c>
      <c r="G18" s="169">
        <f>Data!BN18</f>
        <v>1306</v>
      </c>
      <c r="H18" s="30"/>
    </row>
    <row r="19" spans="1:8" ht="12" customHeight="1">
      <c r="A19" s="29"/>
      <c r="B19" s="144" t="str">
        <f>UPPER(LEFT(TRIM(Data!B19),1)) &amp; MID(TRIM(Data!B19),2,50)</f>
        <v>Kitų kvėpavimo sistemos organų</v>
      </c>
      <c r="C19" s="144" t="str">
        <f>Data!C19</f>
        <v>C37-C39</v>
      </c>
      <c r="D19" s="163">
        <f>Data!BK19</f>
        <v>36</v>
      </c>
      <c r="E19" s="163">
        <f>Data!BL19</f>
        <v>27</v>
      </c>
      <c r="F19" s="163">
        <f>Data!BM19</f>
        <v>20</v>
      </c>
      <c r="G19" s="163">
        <f>Data!BN19</f>
        <v>39</v>
      </c>
      <c r="H19" s="30"/>
    </row>
    <row r="20" spans="1:8" ht="12" customHeight="1">
      <c r="A20" s="29"/>
      <c r="B20" s="139" t="str">
        <f>UPPER(LEFT(TRIM(Data!B20),1)) &amp; MID(TRIM(Data!B20),2,50)</f>
        <v>Kaulų ir jungiamojo audinio</v>
      </c>
      <c r="C20" s="168" t="str">
        <f>Data!C20</f>
        <v>C40-C41, C45-C47, C49</v>
      </c>
      <c r="D20" s="169">
        <f>Data!BK20</f>
        <v>328</v>
      </c>
      <c r="E20" s="169">
        <f>Data!BL20</f>
        <v>215</v>
      </c>
      <c r="F20" s="169">
        <f>Data!BM20</f>
        <v>130</v>
      </c>
      <c r="G20" s="169">
        <f>Data!BN20</f>
        <v>366</v>
      </c>
      <c r="H20" s="30"/>
    </row>
    <row r="21" spans="1:8" ht="12" customHeight="1">
      <c r="A21" s="29"/>
      <c r="B21" s="144" t="str">
        <f>UPPER(LEFT(TRIM(Data!B21),1)) &amp; MID(TRIM(Data!B21),2,50)</f>
        <v>Odos melanoma</v>
      </c>
      <c r="C21" s="144" t="str">
        <f>Data!C21</f>
        <v>C43</v>
      </c>
      <c r="D21" s="163">
        <f>Data!BK21</f>
        <v>664</v>
      </c>
      <c r="E21" s="163">
        <f>Data!BL21</f>
        <v>403</v>
      </c>
      <c r="F21" s="163">
        <f>Data!BM21</f>
        <v>222</v>
      </c>
      <c r="G21" s="163">
        <f>Data!BN21</f>
        <v>763</v>
      </c>
      <c r="H21" s="30"/>
    </row>
    <row r="22" spans="1:8" ht="12" customHeight="1">
      <c r="A22" s="29"/>
      <c r="B22" s="139" t="str">
        <f>UPPER(LEFT(TRIM(Data!B22),1)) &amp; MID(TRIM(Data!B22),2,50)</f>
        <v>Kiti odos piktybiniai navikai</v>
      </c>
      <c r="C22" s="168" t="str">
        <f>Data!C22</f>
        <v>C44</v>
      </c>
      <c r="D22" s="169">
        <f>Data!BK22</f>
        <v>3149</v>
      </c>
      <c r="E22" s="169">
        <f>Data!BL22</f>
        <v>638</v>
      </c>
      <c r="F22" s="169">
        <f>Data!BM22</f>
        <v>363</v>
      </c>
      <c r="G22" s="169">
        <f>Data!BN22</f>
        <v>3818</v>
      </c>
      <c r="H22" s="30"/>
    </row>
    <row r="23" spans="1:8" ht="12" customHeight="1">
      <c r="A23" s="29"/>
      <c r="B23" s="144" t="str">
        <f>UPPER(LEFT(TRIM(Data!B23),1)) &amp; MID(TRIM(Data!B23),2,50)</f>
        <v>Krūties</v>
      </c>
      <c r="C23" s="144" t="str">
        <f>Data!C23</f>
        <v>C50</v>
      </c>
      <c r="D23" s="163">
        <f>Data!BK23</f>
        <v>72</v>
      </c>
      <c r="E23" s="163">
        <f>Data!BL23</f>
        <v>44</v>
      </c>
      <c r="F23" s="163">
        <f>Data!BM23</f>
        <v>21</v>
      </c>
      <c r="G23" s="163">
        <f>Data!BN23</f>
        <v>81</v>
      </c>
      <c r="H23" s="30"/>
    </row>
    <row r="24" spans="1:8" ht="12" customHeight="1">
      <c r="A24" s="29"/>
      <c r="B24" s="139" t="str">
        <f>UPPER(LEFT(TRIM(Data!B28),1)) &amp; MID(TRIM(Data!B28),2,50)</f>
        <v>Priešinės liaukos</v>
      </c>
      <c r="C24" s="168" t="str">
        <f>Data!C28</f>
        <v>C61</v>
      </c>
      <c r="D24" s="169">
        <f>Data!BK28</f>
        <v>21059</v>
      </c>
      <c r="E24" s="169">
        <f>Data!BL28</f>
        <v>11035</v>
      </c>
      <c r="F24" s="169">
        <f>Data!BM28</f>
        <v>1670</v>
      </c>
      <c r="G24" s="169">
        <f>Data!BN28</f>
        <v>23862</v>
      </c>
      <c r="H24" s="30"/>
    </row>
    <row r="25" spans="1:8" ht="12" customHeight="1">
      <c r="A25" s="29"/>
      <c r="B25" s="144" t="str">
        <f>UPPER(LEFT(TRIM(Data!B29),1)) &amp; MID(TRIM(Data!B29),2,50)</f>
        <v>Sėklidžių</v>
      </c>
      <c r="C25" s="144" t="str">
        <f>Data!C29</f>
        <v>C62</v>
      </c>
      <c r="D25" s="163">
        <f>Data!BK29</f>
        <v>501</v>
      </c>
      <c r="E25" s="163">
        <f>Data!BL29</f>
        <v>359</v>
      </c>
      <c r="F25" s="163">
        <f>Data!BM29</f>
        <v>227</v>
      </c>
      <c r="G25" s="163">
        <f>Data!BN29</f>
        <v>544</v>
      </c>
      <c r="H25" s="30"/>
    </row>
    <row r="26" spans="1:8" ht="12" customHeight="1">
      <c r="A26" s="29"/>
      <c r="B26" s="139" t="str">
        <f>UPPER(LEFT(TRIM(Data!B30),1)) &amp; MID(TRIM(Data!B30),2,50)</f>
        <v>Kitų lyties organų</v>
      </c>
      <c r="C26" s="168" t="s">
        <v>416</v>
      </c>
      <c r="D26" s="169">
        <f>Data!BK30</f>
        <v>167</v>
      </c>
      <c r="E26" s="169">
        <f>Data!BL30</f>
        <v>109</v>
      </c>
      <c r="F26" s="169">
        <f>Data!BM30</f>
        <v>55</v>
      </c>
      <c r="G26" s="169">
        <f>Data!BN30</f>
        <v>185</v>
      </c>
      <c r="H26" s="30"/>
    </row>
    <row r="27" spans="1:8" ht="12" customHeight="1">
      <c r="A27" s="29"/>
      <c r="B27" s="144" t="str">
        <f>UPPER(LEFT(TRIM(Data!B31),1)) &amp; MID(TRIM(Data!B31),2,50)</f>
        <v>Inkstų</v>
      </c>
      <c r="C27" s="144" t="str">
        <f>Data!C31</f>
        <v>C64</v>
      </c>
      <c r="D27" s="163">
        <f>Data!BK31</f>
        <v>2167</v>
      </c>
      <c r="E27" s="163">
        <f>Data!BL31</f>
        <v>1362</v>
      </c>
      <c r="F27" s="163">
        <f>Data!BM31</f>
        <v>625</v>
      </c>
      <c r="G27" s="163">
        <f>Data!BN31</f>
        <v>2407</v>
      </c>
      <c r="H27" s="30"/>
    </row>
    <row r="28" spans="1:8" ht="12" customHeight="1">
      <c r="A28" s="29"/>
      <c r="B28" s="139" t="str">
        <f>UPPER(LEFT(TRIM(Data!B32),1)) &amp; MID(TRIM(Data!B32),2,50)</f>
        <v>Šlapimo pūslės</v>
      </c>
      <c r="C28" s="168" t="str">
        <f>Data!C32</f>
        <v>C67</v>
      </c>
      <c r="D28" s="169">
        <f>Data!BK32</f>
        <v>1447</v>
      </c>
      <c r="E28" s="169">
        <f>Data!BL32</f>
        <v>955</v>
      </c>
      <c r="F28" s="169">
        <f>Data!BM32</f>
        <v>537</v>
      </c>
      <c r="G28" s="169">
        <f>Data!BN32</f>
        <v>1610</v>
      </c>
      <c r="H28" s="30"/>
    </row>
    <row r="29" spans="1:8" ht="12" customHeight="1">
      <c r="A29" s="29"/>
      <c r="B29" s="144" t="str">
        <f>UPPER(LEFT(TRIM(Data!B33),1)) &amp; MID(TRIM(Data!B33),2,50)</f>
        <v>Kitų šlapimą išskiriančių organų</v>
      </c>
      <c r="C29" s="144" t="str">
        <f>Data!C33</f>
        <v>C65, C66, C68</v>
      </c>
      <c r="D29" s="163">
        <f>Data!BK33</f>
        <v>72</v>
      </c>
      <c r="E29" s="163">
        <f>Data!BL33</f>
        <v>50</v>
      </c>
      <c r="F29" s="163">
        <f>Data!BM33</f>
        <v>29</v>
      </c>
      <c r="G29" s="163">
        <f>Data!BN33</f>
        <v>82</v>
      </c>
      <c r="H29" s="30"/>
    </row>
    <row r="30" spans="1:8" ht="12" customHeight="1">
      <c r="A30" s="29"/>
      <c r="B30" s="139" t="str">
        <f>UPPER(LEFT(TRIM(Data!B34),1)) &amp; MID(TRIM(Data!B34),2,50)</f>
        <v>Akių</v>
      </c>
      <c r="C30" s="168" t="str">
        <f>Data!C34</f>
        <v>C69</v>
      </c>
      <c r="D30" s="169">
        <f>Data!BK34</f>
        <v>85</v>
      </c>
      <c r="E30" s="169">
        <f>Data!BL34</f>
        <v>56</v>
      </c>
      <c r="F30" s="169">
        <f>Data!BM34</f>
        <v>36</v>
      </c>
      <c r="G30" s="169">
        <f>Data!BN34</f>
        <v>99</v>
      </c>
      <c r="H30" s="30"/>
    </row>
    <row r="31" spans="1:8" ht="12" customHeight="1">
      <c r="A31" s="29"/>
      <c r="B31" s="144" t="str">
        <f>UPPER(LEFT(TRIM(Data!B35),1)) &amp; MID(TRIM(Data!B35),2,50)</f>
        <v>Smegenų</v>
      </c>
      <c r="C31" s="144" t="str">
        <f>Data!C35</f>
        <v>C70-C72</v>
      </c>
      <c r="D31" s="163">
        <f>Data!BK35</f>
        <v>343</v>
      </c>
      <c r="E31" s="163">
        <f>Data!BL35</f>
        <v>221</v>
      </c>
      <c r="F31" s="163">
        <f>Data!BM35</f>
        <v>130</v>
      </c>
      <c r="G31" s="163">
        <f>Data!BN35</f>
        <v>416</v>
      </c>
      <c r="H31" s="30"/>
    </row>
    <row r="32" spans="1:8" ht="12" customHeight="1">
      <c r="A32" s="29"/>
      <c r="B32" s="139" t="str">
        <f>UPPER(LEFT(TRIM(Data!B36),1)) &amp; MID(TRIM(Data!B36),2,50)</f>
        <v>Skydliaukės</v>
      </c>
      <c r="C32" s="168" t="str">
        <f>Data!C36</f>
        <v>C73</v>
      </c>
      <c r="D32" s="169">
        <f>Data!BK36</f>
        <v>473</v>
      </c>
      <c r="E32" s="169">
        <f>Data!BL36</f>
        <v>294</v>
      </c>
      <c r="F32" s="169">
        <f>Data!BM36</f>
        <v>139</v>
      </c>
      <c r="G32" s="169">
        <f>Data!BN36</f>
        <v>522</v>
      </c>
      <c r="H32" s="30"/>
    </row>
    <row r="33" spans="1:8" ht="12" customHeight="1">
      <c r="A33" s="29"/>
      <c r="B33" s="144" t="str">
        <f>UPPER(LEFT(TRIM(Data!B37),1)) &amp; MID(TRIM(Data!B37),2,50)</f>
        <v>Kitų endokrininių liaukų</v>
      </c>
      <c r="C33" s="144" t="str">
        <f>Data!C37</f>
        <v>C74-C75</v>
      </c>
      <c r="D33" s="163">
        <f>Data!BK37</f>
        <v>31</v>
      </c>
      <c r="E33" s="163">
        <f>Data!BL37</f>
        <v>21</v>
      </c>
      <c r="F33" s="163">
        <f>Data!BM37</f>
        <v>10</v>
      </c>
      <c r="G33" s="163">
        <f>Data!BN37</f>
        <v>35</v>
      </c>
      <c r="H33" s="30"/>
    </row>
    <row r="34" spans="1:8" ht="12" customHeight="1">
      <c r="A34" s="29"/>
      <c r="B34" s="139" t="str">
        <f>UPPER(LEFT(TRIM(Data!B38),1)) &amp; MID(TRIM(Data!B38),2,50)</f>
        <v>Nepatikslintos lokalizacijos</v>
      </c>
      <c r="C34" s="168" t="str">
        <f>Data!C38</f>
        <v>C76-C80</v>
      </c>
      <c r="D34" s="169">
        <f>Data!BK38</f>
        <v>140</v>
      </c>
      <c r="E34" s="169">
        <f>Data!BL38</f>
        <v>78</v>
      </c>
      <c r="F34" s="169">
        <f>Data!BM38</f>
        <v>46</v>
      </c>
      <c r="G34" s="169">
        <f>Data!BN38</f>
        <v>191</v>
      </c>
      <c r="H34" s="30"/>
    </row>
    <row r="35" spans="1:8" ht="12" customHeight="1">
      <c r="A35" s="29"/>
      <c r="B35" s="144" t="str">
        <f>UPPER(LEFT(TRIM(Data!B39),1)) &amp; MID(TRIM(Data!B39),2,50)</f>
        <v>Hodžkino limfomos</v>
      </c>
      <c r="C35" s="144" t="str">
        <f>Data!C39</f>
        <v>C81</v>
      </c>
      <c r="D35" s="163">
        <f>Data!BK39</f>
        <v>475</v>
      </c>
      <c r="E35" s="163">
        <f>Data!BL39</f>
        <v>382</v>
      </c>
      <c r="F35" s="163">
        <f>Data!BM39</f>
        <v>264</v>
      </c>
      <c r="G35" s="163">
        <f>Data!BN39</f>
        <v>507</v>
      </c>
      <c r="H35" s="30"/>
    </row>
    <row r="36" spans="1:8" ht="12" customHeight="1">
      <c r="A36" s="29"/>
      <c r="B36" s="139" t="str">
        <f>UPPER(LEFT(TRIM(Data!B40),1)) &amp; MID(TRIM(Data!B40),2,50)</f>
        <v>Ne Hodžkino limfomos</v>
      </c>
      <c r="C36" s="168" t="str">
        <f>Data!C40</f>
        <v>C82-C85</v>
      </c>
      <c r="D36" s="169">
        <f>Data!BK40</f>
        <v>755</v>
      </c>
      <c r="E36" s="169">
        <f>Data!BL40</f>
        <v>446</v>
      </c>
      <c r="F36" s="169">
        <f>Data!BM40</f>
        <v>219</v>
      </c>
      <c r="G36" s="169">
        <f>Data!BN40</f>
        <v>858</v>
      </c>
      <c r="H36" s="30"/>
    </row>
    <row r="37" spans="1:8" ht="12" customHeight="1">
      <c r="A37" s="29"/>
      <c r="B37" s="144" t="str">
        <f>UPPER(LEFT(TRIM(Data!B41),1)) &amp; MID(TRIM(Data!B41),2,50)</f>
        <v>Mielominės ligos</v>
      </c>
      <c r="C37" s="144" t="str">
        <f>Data!C41</f>
        <v>C90</v>
      </c>
      <c r="D37" s="163">
        <f>Data!BK41</f>
        <v>200</v>
      </c>
      <c r="E37" s="163">
        <f>Data!BL41</f>
        <v>81</v>
      </c>
      <c r="F37" s="163">
        <f>Data!BM41</f>
        <v>24</v>
      </c>
      <c r="G37" s="163">
        <f>Data!BN41</f>
        <v>250</v>
      </c>
      <c r="H37" s="30"/>
    </row>
    <row r="38" spans="1:8" ht="12" customHeight="1">
      <c r="A38" s="29"/>
      <c r="B38" s="139" t="str">
        <f>UPPER(LEFT(TRIM(Data!B42),1)) &amp; MID(TRIM(Data!B42),2,50)</f>
        <v>Leukemijos</v>
      </c>
      <c r="C38" s="168" t="str">
        <f>Data!C42</f>
        <v>C91-C95</v>
      </c>
      <c r="D38" s="169">
        <f>Data!BK42</f>
        <v>1040</v>
      </c>
      <c r="E38" s="169">
        <f>Data!BL42</f>
        <v>642</v>
      </c>
      <c r="F38" s="169">
        <f>Data!BM42</f>
        <v>365</v>
      </c>
      <c r="G38" s="169">
        <f>Data!BN42</f>
        <v>1160</v>
      </c>
      <c r="H38" s="30"/>
    </row>
    <row r="39" spans="1:8" ht="12" customHeight="1">
      <c r="A39" s="29"/>
      <c r="B39" s="144" t="str">
        <f>UPPER(LEFT(TRIM(Data!B43),1)) &amp; MID(TRIM(Data!B43),2,50)</f>
        <v>Kiti limfinio, kraujodaros audinių</v>
      </c>
      <c r="C39" s="144" t="str">
        <f>Data!C43</f>
        <v>C88, C96</v>
      </c>
      <c r="D39" s="163">
        <f>Data!BK43</f>
        <v>20</v>
      </c>
      <c r="E39" s="163">
        <f>Data!BL43</f>
        <v>13</v>
      </c>
      <c r="F39" s="163">
        <f>Data!BM43</f>
        <v>6</v>
      </c>
      <c r="G39" s="163">
        <f>Data!BN43</f>
        <v>23</v>
      </c>
      <c r="H39" s="30"/>
    </row>
    <row r="40" spans="1:8" ht="22.5" customHeight="1">
      <c r="A40" s="29"/>
      <c r="B40" s="94"/>
      <c r="C40" s="111"/>
      <c r="D40" s="112"/>
      <c r="E40" s="112"/>
      <c r="F40" s="112"/>
      <c r="G40" s="112"/>
      <c r="H40" s="30"/>
    </row>
    <row r="41" spans="1:8" ht="11.25" customHeight="1">
      <c r="A41" s="29"/>
      <c r="B41" s="91" t="str">
        <f>UPPER(LEFT(TRIM(Data!B44),1)) &amp; MID(TRIM(Data!B44),2,50)</f>
        <v>Melanoma in situ</v>
      </c>
      <c r="C41" s="91" t="str">
        <f>Data!C44</f>
        <v>D03</v>
      </c>
      <c r="D41" s="108">
        <f>Data!BK44</f>
        <v>45</v>
      </c>
      <c r="E41" s="108">
        <f>Data!BL44</f>
        <v>15</v>
      </c>
      <c r="F41" s="108">
        <f>Data!BM44</f>
        <v>4</v>
      </c>
      <c r="G41" s="108">
        <f>Data!BN44</f>
        <v>59</v>
      </c>
      <c r="H41" s="30"/>
    </row>
    <row r="42" spans="1:8" ht="11.25" customHeight="1">
      <c r="A42" s="29"/>
      <c r="B42" s="93" t="str">
        <f>UPPER(LEFT(TRIM(Data!B45),1)) &amp; MID(TRIM(Data!B45),2,50)</f>
        <v>Krūties navikai in situ</v>
      </c>
      <c r="C42" s="109" t="str">
        <f>Data!C45</f>
        <v>D05</v>
      </c>
      <c r="D42" s="110">
        <f>Data!BK45</f>
        <v>5</v>
      </c>
      <c r="E42" s="110">
        <f>Data!BL45</f>
        <v>3</v>
      </c>
      <c r="F42" s="110">
        <f>Data!BM45</f>
        <v>2</v>
      </c>
      <c r="G42" s="110">
        <f>Data!BN45</f>
        <v>5</v>
      </c>
      <c r="H42" s="30"/>
    </row>
    <row r="43" spans="1:8" ht="11.25" customHeight="1">
      <c r="A43" s="29"/>
      <c r="B43" s="97" t="str">
        <f>UPPER(LEFT(TRIM(Data!B47),1)) &amp; MID(TRIM(Data!B47),2,50)</f>
        <v>Šlapimo pūslės in situ</v>
      </c>
      <c r="C43" s="97" t="str">
        <f>Data!C47</f>
        <v>D09.0</v>
      </c>
      <c r="D43" s="116">
        <f>Data!BK47</f>
        <v>462</v>
      </c>
      <c r="E43" s="116">
        <f>Data!BL47</f>
        <v>204</v>
      </c>
      <c r="F43" s="116">
        <f>Data!BM47</f>
        <v>35</v>
      </c>
      <c r="G43" s="116">
        <f>Data!BN47</f>
        <v>533</v>
      </c>
      <c r="H43" s="30"/>
    </row>
    <row r="44" spans="1:8" ht="11.25" customHeight="1">
      <c r="A44" s="29"/>
      <c r="B44" s="93" t="str">
        <f>UPPER(LEFT(TRIM(Data!B48),1)) &amp; MID(TRIM(Data!B48),2,50)</f>
        <v>Nervų sistemos gerybiniai navikai</v>
      </c>
      <c r="C44" s="109" t="str">
        <f>Data!C48</f>
        <v>D32, D33</v>
      </c>
      <c r="D44" s="110">
        <f>Data!BK48</f>
        <v>40</v>
      </c>
      <c r="E44" s="110">
        <f>Data!BL48</f>
        <v>14</v>
      </c>
      <c r="F44" s="110">
        <f>Data!BM48</f>
        <v>5</v>
      </c>
      <c r="G44" s="110">
        <f>Data!BN48</f>
        <v>67</v>
      </c>
      <c r="H44" s="30"/>
    </row>
    <row r="45" spans="1:8" ht="11.25" customHeight="1">
      <c r="A45" s="29"/>
      <c r="B45" s="97" t="str">
        <f>UPPER(LEFT(TRIM(Data!B50),1)) &amp; MID(TRIM(Data!B50),2,50)</f>
        <v>Kiti nervų sistemos</v>
      </c>
      <c r="C45" s="97" t="str">
        <f>Data!C50</f>
        <v>D42, D43</v>
      </c>
      <c r="D45" s="116">
        <f>Data!BK50</f>
        <v>34</v>
      </c>
      <c r="E45" s="116">
        <f>Data!BL50</f>
        <v>16</v>
      </c>
      <c r="F45" s="116">
        <f>Data!BM50</f>
        <v>7</v>
      </c>
      <c r="G45" s="116">
        <f>Data!BN50</f>
        <v>42</v>
      </c>
      <c r="H45" s="30"/>
    </row>
    <row r="46" spans="1:8" ht="11.25" customHeight="1">
      <c r="A46" s="29"/>
      <c r="B46" s="93" t="str">
        <f>UPPER(LEFT(TRIM(Data!B51),1)) &amp; MID(TRIM(Data!B51),2,50)</f>
        <v>Limfinio ir kraujodaros audinių</v>
      </c>
      <c r="C46" s="109" t="str">
        <f>Data!C51</f>
        <v>D45-D47</v>
      </c>
      <c r="D46" s="110">
        <f>Data!BK51</f>
        <v>517</v>
      </c>
      <c r="E46" s="110">
        <f>Data!BL51</f>
        <v>195</v>
      </c>
      <c r="F46" s="110">
        <f>Data!BM51</f>
        <v>24</v>
      </c>
      <c r="G46" s="110">
        <f>Data!BN51</f>
        <v>637</v>
      </c>
      <c r="H46" s="30"/>
    </row>
    <row r="47" spans="1:8">
      <c r="A47" s="30"/>
      <c r="B47" s="30"/>
      <c r="C47" s="30"/>
      <c r="D47" s="30"/>
      <c r="E47" s="30"/>
      <c r="F47" s="30"/>
      <c r="G47" s="30"/>
      <c r="H47" s="30"/>
    </row>
    <row r="48" spans="1:8">
      <c r="A48" s="30"/>
      <c r="B48" s="30"/>
      <c r="C48" s="30"/>
      <c r="D48" s="30"/>
      <c r="E48" s="30"/>
      <c r="F48" s="30"/>
      <c r="G48" s="30"/>
      <c r="H48" s="30"/>
    </row>
  </sheetData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9" tint="0.39997558519241921"/>
  </sheetPr>
  <dimension ref="A1:H52"/>
  <sheetViews>
    <sheetView workbookViewId="0">
      <selection activeCell="B1" sqref="B1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7" width="9.28515625" customWidth="1"/>
    <col min="8" max="8" width="3.28515625" customWidth="1"/>
    <col min="9" max="12" width="0.85546875" customWidth="1"/>
  </cols>
  <sheetData>
    <row r="1" spans="1:8" ht="15">
      <c r="A1" s="62"/>
      <c r="B1" s="484" t="s">
        <v>402</v>
      </c>
      <c r="C1" s="489"/>
      <c r="D1" s="489"/>
      <c r="E1" s="489"/>
      <c r="F1" s="489"/>
      <c r="G1" s="62"/>
      <c r="H1" s="64"/>
    </row>
    <row r="2" spans="1:8" ht="12.75" customHeight="1">
      <c r="A2" s="62"/>
      <c r="B2" s="485" t="str">
        <f>"Gyvi intervalo pabaigai, su metais po diagnozės nustatymo.  " &amp; GrafikaiSerg!A1 &amp; " metai. Moterys."</f>
        <v>Gyvi intervalo pabaigai, su metais po diagnozės nustatymo.  2013 metai. Moterys.</v>
      </c>
      <c r="C2" s="485"/>
      <c r="D2" s="489"/>
      <c r="E2" s="487"/>
      <c r="F2" s="489"/>
      <c r="G2" s="62"/>
      <c r="H2" s="64"/>
    </row>
    <row r="3" spans="1:8" ht="12.75" customHeight="1">
      <c r="A3" s="62"/>
      <c r="B3" s="66" t="s">
        <v>655</v>
      </c>
      <c r="C3" s="65"/>
      <c r="D3" s="62"/>
      <c r="E3" s="62"/>
      <c r="F3" s="62"/>
      <c r="G3" s="67"/>
      <c r="H3" s="64"/>
    </row>
    <row r="4" spans="1:8" ht="26.1" customHeight="1" thickBot="1">
      <c r="A4" s="62"/>
      <c r="B4" s="172" t="s">
        <v>242</v>
      </c>
      <c r="C4" s="172" t="s">
        <v>243</v>
      </c>
      <c r="D4" s="172" t="s">
        <v>437</v>
      </c>
      <c r="E4" s="172" t="s">
        <v>438</v>
      </c>
      <c r="F4" s="173" t="s">
        <v>439</v>
      </c>
      <c r="G4" s="174" t="s">
        <v>429</v>
      </c>
      <c r="H4" s="64"/>
    </row>
    <row r="5" spans="1:8" ht="12" customHeight="1" thickTop="1">
      <c r="A5" s="62"/>
      <c r="B5" s="144" t="str">
        <f>UPPER(LEFT(TRIM(Data!B5),1)) &amp; MID(TRIM(Data!B5),2,50)</f>
        <v>Piktybiniai navikai</v>
      </c>
      <c r="C5" s="144" t="str">
        <f>Data!C5</f>
        <v>C00-C96</v>
      </c>
      <c r="D5" s="163">
        <f>Data!DX5</f>
        <v>50916</v>
      </c>
      <c r="E5" s="163">
        <f>Data!DY5</f>
        <v>31625</v>
      </c>
      <c r="F5" s="163">
        <f>Data!DZ5</f>
        <v>18347</v>
      </c>
      <c r="G5" s="163">
        <f>Data!EA5</f>
        <v>56612</v>
      </c>
      <c r="H5" s="64"/>
    </row>
    <row r="6" spans="1:8" ht="12" customHeight="1">
      <c r="A6" s="62"/>
      <c r="B6" s="139" t="str">
        <f>UPPER(LEFT(TRIM(Data!B6),1)) &amp; MID(TRIM(Data!B6),2,50)</f>
        <v>Lūpos</v>
      </c>
      <c r="C6" s="168" t="str">
        <f>Data!C6</f>
        <v>C00</v>
      </c>
      <c r="D6" s="169">
        <f>Data!DX6</f>
        <v>115</v>
      </c>
      <c r="E6" s="169">
        <f>Data!DY6</f>
        <v>86</v>
      </c>
      <c r="F6" s="169">
        <f>Data!DZ6</f>
        <v>58</v>
      </c>
      <c r="G6" s="169">
        <f>Data!EA6</f>
        <v>128</v>
      </c>
      <c r="H6" s="64"/>
    </row>
    <row r="7" spans="1:8" ht="12" customHeight="1">
      <c r="A7" s="62"/>
      <c r="B7" s="144" t="str">
        <f>UPPER(LEFT(TRIM(Data!B7),1)) &amp; MID(TRIM(Data!B7),2,50)</f>
        <v>Burnos ertmės ir ryklės</v>
      </c>
      <c r="C7" s="144" t="str">
        <f>Data!C7</f>
        <v>C01-C14</v>
      </c>
      <c r="D7" s="163">
        <f>Data!DX7</f>
        <v>287</v>
      </c>
      <c r="E7" s="163">
        <f>Data!DY7</f>
        <v>191</v>
      </c>
      <c r="F7" s="163">
        <f>Data!DZ7</f>
        <v>109</v>
      </c>
      <c r="G7" s="163">
        <f>Data!EA7</f>
        <v>322</v>
      </c>
      <c r="H7" s="64"/>
    </row>
    <row r="8" spans="1:8" ht="12" customHeight="1">
      <c r="A8" s="62"/>
      <c r="B8" s="139" t="str">
        <f>UPPER(LEFT(TRIM(Data!B8),1)) &amp; MID(TRIM(Data!B8),2,50)</f>
        <v>Stemplės</v>
      </c>
      <c r="C8" s="168" t="str">
        <f>Data!C8</f>
        <v>C15</v>
      </c>
      <c r="D8" s="169">
        <f>Data!DX8</f>
        <v>30</v>
      </c>
      <c r="E8" s="169">
        <f>Data!DY8</f>
        <v>22</v>
      </c>
      <c r="F8" s="169">
        <f>Data!DZ8</f>
        <v>10</v>
      </c>
      <c r="G8" s="169">
        <f>Data!EA8</f>
        <v>44</v>
      </c>
      <c r="H8" s="64"/>
    </row>
    <row r="9" spans="1:8" ht="12" customHeight="1">
      <c r="A9" s="62"/>
      <c r="B9" s="144" t="str">
        <f>UPPER(LEFT(TRIM(Data!B9),1)) &amp; MID(TRIM(Data!B9),2,50)</f>
        <v>Skrandžio</v>
      </c>
      <c r="C9" s="144" t="str">
        <f>Data!C9</f>
        <v>C16</v>
      </c>
      <c r="D9" s="163">
        <f>Data!DX9</f>
        <v>1228</v>
      </c>
      <c r="E9" s="163">
        <f>Data!DY9</f>
        <v>845</v>
      </c>
      <c r="F9" s="163">
        <f>Data!DZ9</f>
        <v>539</v>
      </c>
      <c r="G9" s="163">
        <f>Data!EA9</f>
        <v>1397</v>
      </c>
      <c r="H9" s="64"/>
    </row>
    <row r="10" spans="1:8" ht="12" customHeight="1">
      <c r="A10" s="62"/>
      <c r="B10" s="139" t="str">
        <f>UPPER(LEFT(TRIM(Data!B10),1)) &amp; MID(TRIM(Data!B10),2,50)</f>
        <v>Gaubtinės žarnos</v>
      </c>
      <c r="C10" s="168" t="str">
        <f>Data!C10</f>
        <v>C18</v>
      </c>
      <c r="D10" s="169">
        <f>Data!DX10</f>
        <v>2297</v>
      </c>
      <c r="E10" s="169">
        <f>Data!DY10</f>
        <v>1405</v>
      </c>
      <c r="F10" s="169">
        <f>Data!DZ10</f>
        <v>825</v>
      </c>
      <c r="G10" s="169">
        <f>Data!EA10</f>
        <v>2590</v>
      </c>
      <c r="H10" s="64"/>
    </row>
    <row r="11" spans="1:8" ht="12" customHeight="1">
      <c r="A11" s="62"/>
      <c r="B11" s="144" t="str">
        <f>UPPER(LEFT(TRIM(Data!B11),1)) &amp; MID(TRIM(Data!B11),2,50)</f>
        <v>Tiesiosios žarnos, išangės</v>
      </c>
      <c r="C11" s="144" t="str">
        <f>Data!C11</f>
        <v>C19-C21</v>
      </c>
      <c r="D11" s="163">
        <f>Data!DX11</f>
        <v>1809</v>
      </c>
      <c r="E11" s="163">
        <f>Data!DY11</f>
        <v>1145</v>
      </c>
      <c r="F11" s="163">
        <f>Data!DZ11</f>
        <v>624</v>
      </c>
      <c r="G11" s="163">
        <f>Data!EA11</f>
        <v>2022</v>
      </c>
      <c r="H11" s="64"/>
    </row>
    <row r="12" spans="1:8" ht="12" customHeight="1">
      <c r="A12" s="62"/>
      <c r="B12" s="139" t="str">
        <f>UPPER(LEFT(TRIM(Data!B12),1)) &amp; MID(TRIM(Data!B12),2,50)</f>
        <v>Kepenų</v>
      </c>
      <c r="C12" s="168" t="str">
        <f>Data!C12</f>
        <v>C22</v>
      </c>
      <c r="D12" s="169">
        <f>Data!DX12</f>
        <v>69</v>
      </c>
      <c r="E12" s="169">
        <f>Data!DY12</f>
        <v>37</v>
      </c>
      <c r="F12" s="169">
        <f>Data!DZ12</f>
        <v>25</v>
      </c>
      <c r="G12" s="169">
        <f>Data!EA12</f>
        <v>89</v>
      </c>
      <c r="H12" s="64"/>
    </row>
    <row r="13" spans="1:8" ht="12" customHeight="1">
      <c r="A13" s="62"/>
      <c r="B13" s="144" t="str">
        <f>UPPER(LEFT(TRIM(Data!B13),1)) &amp; MID(TRIM(Data!B13),2,50)</f>
        <v>Tulžies pūslės, ekstrahepatinių takų</v>
      </c>
      <c r="C13" s="144" t="str">
        <f>Data!C13</f>
        <v>C23, C24</v>
      </c>
      <c r="D13" s="163">
        <f>Data!DX13</f>
        <v>101</v>
      </c>
      <c r="E13" s="163">
        <f>Data!DY13</f>
        <v>61</v>
      </c>
      <c r="F13" s="163">
        <f>Data!DZ13</f>
        <v>34</v>
      </c>
      <c r="G13" s="163">
        <f>Data!EA13</f>
        <v>121</v>
      </c>
      <c r="H13" s="64"/>
    </row>
    <row r="14" spans="1:8" ht="12" customHeight="1">
      <c r="A14" s="62"/>
      <c r="B14" s="139" t="str">
        <f>UPPER(LEFT(TRIM(Data!B14),1)) &amp; MID(TRIM(Data!B14),2,50)</f>
        <v>Kasos</v>
      </c>
      <c r="C14" s="168" t="str">
        <f>Data!C14</f>
        <v>C25</v>
      </c>
      <c r="D14" s="169">
        <f>Data!DX14</f>
        <v>146</v>
      </c>
      <c r="E14" s="169">
        <f>Data!DY14</f>
        <v>71</v>
      </c>
      <c r="F14" s="169">
        <f>Data!DZ14</f>
        <v>38</v>
      </c>
      <c r="G14" s="169">
        <f>Data!EA14</f>
        <v>241</v>
      </c>
      <c r="H14" s="64"/>
    </row>
    <row r="15" spans="1:8" ht="12" customHeight="1">
      <c r="A15" s="62"/>
      <c r="B15" s="144" t="str">
        <f>UPPER(LEFT(TRIM(Data!B15),1)) &amp; MID(TRIM(Data!B15),2,50)</f>
        <v>Kitų virškinimo sistemos organų</v>
      </c>
      <c r="C15" s="144" t="str">
        <f>Data!C15</f>
        <v>C17, C26, C48</v>
      </c>
      <c r="D15" s="163">
        <f>Data!DX15</f>
        <v>140</v>
      </c>
      <c r="E15" s="163">
        <f>Data!DY15</f>
        <v>88</v>
      </c>
      <c r="F15" s="163">
        <f>Data!DZ15</f>
        <v>45</v>
      </c>
      <c r="G15" s="163">
        <f>Data!EA15</f>
        <v>154</v>
      </c>
      <c r="H15" s="64"/>
    </row>
    <row r="16" spans="1:8" ht="12" customHeight="1">
      <c r="A16" s="62"/>
      <c r="B16" s="139" t="str">
        <f>UPPER(LEFT(TRIM(Data!B16),1)) &amp; MID(TRIM(Data!B16),2,50)</f>
        <v>Nosies ertmės, vid.ausies ir ančių</v>
      </c>
      <c r="C16" s="168" t="str">
        <f>Data!C16</f>
        <v>C30, C31</v>
      </c>
      <c r="D16" s="169">
        <f>Data!DX16</f>
        <v>56</v>
      </c>
      <c r="E16" s="169">
        <f>Data!DY16</f>
        <v>41</v>
      </c>
      <c r="F16" s="169">
        <f>Data!DZ16</f>
        <v>22</v>
      </c>
      <c r="G16" s="169">
        <f>Data!EA16</f>
        <v>71</v>
      </c>
      <c r="H16" s="64"/>
    </row>
    <row r="17" spans="1:8" ht="12" customHeight="1">
      <c r="A17" s="62"/>
      <c r="B17" s="144" t="str">
        <f>UPPER(LEFT(TRIM(Data!B17),1)) &amp; MID(TRIM(Data!B17),2,50)</f>
        <v>Gerklų</v>
      </c>
      <c r="C17" s="144" t="str">
        <f>Data!C17</f>
        <v>C32</v>
      </c>
      <c r="D17" s="163">
        <f>Data!DX17</f>
        <v>63</v>
      </c>
      <c r="E17" s="163">
        <f>Data!DY17</f>
        <v>47</v>
      </c>
      <c r="F17" s="163">
        <f>Data!DZ17</f>
        <v>25</v>
      </c>
      <c r="G17" s="163">
        <f>Data!EA17</f>
        <v>69</v>
      </c>
      <c r="H17" s="64"/>
    </row>
    <row r="18" spans="1:8" ht="12" customHeight="1">
      <c r="A18" s="62"/>
      <c r="B18" s="139" t="str">
        <f>UPPER(LEFT(TRIM(Data!B18),1)) &amp; MID(TRIM(Data!B18),2,50)</f>
        <v>Plaučių, trachėjos, bronchų</v>
      </c>
      <c r="C18" s="168" t="str">
        <f>Data!C18</f>
        <v>C33, C34</v>
      </c>
      <c r="D18" s="169">
        <f>Data!DX18</f>
        <v>383</v>
      </c>
      <c r="E18" s="169">
        <f>Data!DY18</f>
        <v>195</v>
      </c>
      <c r="F18" s="169">
        <f>Data!DZ18</f>
        <v>110</v>
      </c>
      <c r="G18" s="169">
        <f>Data!EA18</f>
        <v>492</v>
      </c>
      <c r="H18" s="64"/>
    </row>
    <row r="19" spans="1:8" ht="12" customHeight="1">
      <c r="A19" s="62"/>
      <c r="B19" s="144" t="str">
        <f>UPPER(LEFT(TRIM(Data!B19),1)) &amp; MID(TRIM(Data!B19),2,50)</f>
        <v>Kitų kvėpavimo sistemos organų</v>
      </c>
      <c r="C19" s="144" t="str">
        <f>Data!C19</f>
        <v>C37-C39</v>
      </c>
      <c r="D19" s="163">
        <f>Data!DX19</f>
        <v>28</v>
      </c>
      <c r="E19" s="163">
        <f>Data!DY19</f>
        <v>21</v>
      </c>
      <c r="F19" s="163">
        <f>Data!DZ19</f>
        <v>16</v>
      </c>
      <c r="G19" s="163">
        <f>Data!EA19</f>
        <v>32</v>
      </c>
      <c r="H19" s="64"/>
    </row>
    <row r="20" spans="1:8" ht="12" customHeight="1">
      <c r="A20" s="62"/>
      <c r="B20" s="139" t="str">
        <f>UPPER(LEFT(TRIM(Data!B20),1)) &amp; MID(TRIM(Data!B20),2,50)</f>
        <v>Kaulų ir jungiamojo audinio</v>
      </c>
      <c r="C20" s="168" t="str">
        <f>Data!C20</f>
        <v>C40-C41, C45-C47, C49</v>
      </c>
      <c r="D20" s="169">
        <f>Data!DX20</f>
        <v>446</v>
      </c>
      <c r="E20" s="169">
        <f>Data!DY20</f>
        <v>326</v>
      </c>
      <c r="F20" s="169">
        <f>Data!DZ20</f>
        <v>205</v>
      </c>
      <c r="G20" s="169">
        <f>Data!EA20</f>
        <v>489</v>
      </c>
      <c r="H20" s="64"/>
    </row>
    <row r="21" spans="1:8" ht="12" customHeight="1">
      <c r="A21" s="62"/>
      <c r="B21" s="144" t="str">
        <f>UPPER(LEFT(TRIM(Data!B21),1)) &amp; MID(TRIM(Data!B21),2,50)</f>
        <v>Odos melanoma</v>
      </c>
      <c r="C21" s="144" t="str">
        <f>Data!C21</f>
        <v>C43</v>
      </c>
      <c r="D21" s="163">
        <f>Data!DX21</f>
        <v>1685</v>
      </c>
      <c r="E21" s="163">
        <f>Data!DY21</f>
        <v>1120</v>
      </c>
      <c r="F21" s="163">
        <f>Data!DZ21</f>
        <v>665</v>
      </c>
      <c r="G21" s="163">
        <f>Data!EA21</f>
        <v>1825</v>
      </c>
      <c r="H21" s="64"/>
    </row>
    <row r="22" spans="1:8" ht="12" customHeight="1">
      <c r="A22" s="62"/>
      <c r="B22" s="139" t="str">
        <f>UPPER(LEFT(TRIM(Data!B22),1)) &amp; MID(TRIM(Data!B22),2,50)</f>
        <v>Kiti odos piktybiniai navikai</v>
      </c>
      <c r="C22" s="168" t="str">
        <f>Data!C22</f>
        <v>C44</v>
      </c>
      <c r="D22" s="169">
        <f>Data!DX22</f>
        <v>5974</v>
      </c>
      <c r="E22" s="169">
        <f>Data!DY22</f>
        <v>1260</v>
      </c>
      <c r="F22" s="169">
        <f>Data!DZ22</f>
        <v>745</v>
      </c>
      <c r="G22" s="169">
        <f>Data!EA22</f>
        <v>7182</v>
      </c>
      <c r="H22" s="64"/>
    </row>
    <row r="23" spans="1:8" ht="12" customHeight="1">
      <c r="A23" s="62"/>
      <c r="B23" s="144" t="str">
        <f>UPPER(LEFT(TRIM(Data!B23),1)) &amp; MID(TRIM(Data!B23),2,50)</f>
        <v>Krūties</v>
      </c>
      <c r="C23" s="144" t="str">
        <f>Data!C23</f>
        <v>C50</v>
      </c>
      <c r="D23" s="163">
        <f>Data!DX23</f>
        <v>12819</v>
      </c>
      <c r="E23" s="163">
        <f>Data!DY23</f>
        <v>8554</v>
      </c>
      <c r="F23" s="163">
        <f>Data!DZ23</f>
        <v>4868</v>
      </c>
      <c r="G23" s="163">
        <f>Data!EA23</f>
        <v>14040</v>
      </c>
      <c r="H23" s="64"/>
    </row>
    <row r="24" spans="1:8" ht="12" customHeight="1">
      <c r="A24" s="62"/>
      <c r="B24" s="139" t="str">
        <f>UPPER(LEFT(TRIM(Data!B24),1)) &amp; MID(TRIM(Data!B24),2,50)</f>
        <v>Vulvos</v>
      </c>
      <c r="C24" s="168" t="str">
        <f>Data!C24</f>
        <v>C51</v>
      </c>
      <c r="D24" s="169">
        <f>Data!DX24</f>
        <v>264</v>
      </c>
      <c r="E24" s="169">
        <f>Data!DY24</f>
        <v>159</v>
      </c>
      <c r="F24" s="169">
        <f>Data!DZ24</f>
        <v>82</v>
      </c>
      <c r="G24" s="169">
        <f>Data!EA24</f>
        <v>309</v>
      </c>
      <c r="H24" s="64"/>
    </row>
    <row r="25" spans="1:8" ht="12" customHeight="1">
      <c r="A25" s="62"/>
      <c r="B25" s="144" t="str">
        <f>UPPER(LEFT(TRIM(Data!B25),1)) &amp; MID(TRIM(Data!B25),2,50)</f>
        <v>Gimdos kaklelio</v>
      </c>
      <c r="C25" s="144" t="str">
        <f>Data!C25</f>
        <v>C53</v>
      </c>
      <c r="D25" s="163">
        <f>Data!DX25</f>
        <v>4544</v>
      </c>
      <c r="E25" s="163">
        <f>Data!DY25</f>
        <v>3398</v>
      </c>
      <c r="F25" s="163">
        <f>Data!DZ25</f>
        <v>2086</v>
      </c>
      <c r="G25" s="163">
        <f>Data!EA25</f>
        <v>4851</v>
      </c>
      <c r="H25" s="64"/>
    </row>
    <row r="26" spans="1:8" ht="12" customHeight="1">
      <c r="A26" s="62"/>
      <c r="B26" s="139" t="str">
        <f>UPPER(LEFT(TRIM(Data!B26),1)) &amp; MID(TRIM(Data!B26),2,50)</f>
        <v>Gimdos kūno</v>
      </c>
      <c r="C26" s="168" t="str">
        <f>Data!C26</f>
        <v>C54, C55</v>
      </c>
      <c r="D26" s="169">
        <f>Data!DX26</f>
        <v>5943</v>
      </c>
      <c r="E26" s="169">
        <f>Data!DY26</f>
        <v>4196</v>
      </c>
      <c r="F26" s="169">
        <f>Data!DZ26</f>
        <v>2593</v>
      </c>
      <c r="G26" s="169">
        <f>Data!EA26</f>
        <v>6459</v>
      </c>
      <c r="H26" s="64"/>
    </row>
    <row r="27" spans="1:8" ht="12" customHeight="1">
      <c r="A27" s="62"/>
      <c r="B27" s="144" t="str">
        <f>UPPER(LEFT(TRIM(Data!B27),1)) &amp; MID(TRIM(Data!B27),2,50)</f>
        <v>Kiaušidžių</v>
      </c>
      <c r="C27" s="144" t="str">
        <f>Data!C27</f>
        <v>C56</v>
      </c>
      <c r="D27" s="163">
        <f>Data!DX27</f>
        <v>2223</v>
      </c>
      <c r="E27" s="163">
        <f>Data!DY27</f>
        <v>1510</v>
      </c>
      <c r="F27" s="163">
        <f>Data!DZ27</f>
        <v>985</v>
      </c>
      <c r="G27" s="163">
        <f>Data!EA27</f>
        <v>2451</v>
      </c>
      <c r="H27" s="64"/>
    </row>
    <row r="28" spans="1:8" ht="12" customHeight="1">
      <c r="A28" s="62"/>
      <c r="B28" s="139" t="str">
        <f>UPPER(LEFT(TRIM(Data!B30),1)) &amp; MID(TRIM(Data!B30),2,50)</f>
        <v>Kitų lyties organų</v>
      </c>
      <c r="C28" s="168" t="s">
        <v>417</v>
      </c>
      <c r="D28" s="169">
        <f>Data!DX30</f>
        <v>162</v>
      </c>
      <c r="E28" s="169">
        <f>Data!DY30</f>
        <v>104</v>
      </c>
      <c r="F28" s="169">
        <f>Data!DZ30</f>
        <v>77</v>
      </c>
      <c r="G28" s="169">
        <f>Data!EA30</f>
        <v>178</v>
      </c>
      <c r="H28" s="64"/>
    </row>
    <row r="29" spans="1:8" ht="12" customHeight="1">
      <c r="A29" s="62"/>
      <c r="B29" s="144" t="str">
        <f>UPPER(LEFT(TRIM(Data!B31),1)) &amp; MID(TRIM(Data!B31),2,50)</f>
        <v>Inkstų</v>
      </c>
      <c r="C29" s="144" t="str">
        <f>Data!C31</f>
        <v>C64</v>
      </c>
      <c r="D29" s="163">
        <f>Data!DX31</f>
        <v>2128</v>
      </c>
      <c r="E29" s="163">
        <f>Data!DY31</f>
        <v>1404</v>
      </c>
      <c r="F29" s="163">
        <f>Data!DZ31</f>
        <v>734</v>
      </c>
      <c r="G29" s="163">
        <f>Data!EA31</f>
        <v>2315</v>
      </c>
      <c r="H29" s="64"/>
    </row>
    <row r="30" spans="1:8" ht="12" customHeight="1">
      <c r="A30" s="62"/>
      <c r="B30" s="139" t="str">
        <f>UPPER(LEFT(TRIM(Data!B32),1)) &amp; MID(TRIM(Data!B32),2,50)</f>
        <v>Šlapimo pūslės</v>
      </c>
      <c r="C30" s="168" t="str">
        <f>Data!C32</f>
        <v>C67</v>
      </c>
      <c r="D30" s="169">
        <f>Data!DX32</f>
        <v>555</v>
      </c>
      <c r="E30" s="169">
        <f>Data!DY32</f>
        <v>388</v>
      </c>
      <c r="F30" s="169">
        <f>Data!DZ32</f>
        <v>221</v>
      </c>
      <c r="G30" s="169">
        <f>Data!EA32</f>
        <v>590</v>
      </c>
      <c r="H30" s="64"/>
    </row>
    <row r="31" spans="1:8" ht="12" customHeight="1">
      <c r="A31" s="62"/>
      <c r="B31" s="144" t="str">
        <f>UPPER(LEFT(TRIM(Data!B33),1)) &amp; MID(TRIM(Data!B33),2,50)</f>
        <v>Kitų šlapimą išskiriančių organų</v>
      </c>
      <c r="C31" s="144" t="str">
        <f>Data!C33</f>
        <v>C65, C66, C68</v>
      </c>
      <c r="D31" s="163">
        <f>Data!DX33</f>
        <v>69</v>
      </c>
      <c r="E31" s="163">
        <f>Data!DY33</f>
        <v>40</v>
      </c>
      <c r="F31" s="163">
        <f>Data!DZ33</f>
        <v>28</v>
      </c>
      <c r="G31" s="163">
        <f>Data!EA33</f>
        <v>72</v>
      </c>
      <c r="H31" s="64"/>
    </row>
    <row r="32" spans="1:8" ht="12" customHeight="1">
      <c r="A32" s="62"/>
      <c r="B32" s="139" t="str">
        <f>UPPER(LEFT(TRIM(Data!B34),1)) &amp; MID(TRIM(Data!B34),2,50)</f>
        <v>Akių</v>
      </c>
      <c r="C32" s="168" t="str">
        <f>Data!C34</f>
        <v>C69</v>
      </c>
      <c r="D32" s="169">
        <f>Data!DX34</f>
        <v>154</v>
      </c>
      <c r="E32" s="169">
        <f>Data!DY34</f>
        <v>115</v>
      </c>
      <c r="F32" s="169">
        <f>Data!DZ34</f>
        <v>63</v>
      </c>
      <c r="G32" s="169">
        <f>Data!EA34</f>
        <v>165</v>
      </c>
      <c r="H32" s="64"/>
    </row>
    <row r="33" spans="1:8" ht="12" customHeight="1">
      <c r="A33" s="62"/>
      <c r="B33" s="144" t="str">
        <f>UPPER(LEFT(TRIM(Data!B35),1)) &amp; MID(TRIM(Data!B35),2,50)</f>
        <v>Smegenų</v>
      </c>
      <c r="C33" s="144" t="str">
        <f>Data!C35</f>
        <v>C70-C72</v>
      </c>
      <c r="D33" s="163">
        <f>Data!DX35</f>
        <v>365</v>
      </c>
      <c r="E33" s="163">
        <f>Data!DY35</f>
        <v>230</v>
      </c>
      <c r="F33" s="163">
        <f>Data!DZ35</f>
        <v>137</v>
      </c>
      <c r="G33" s="163">
        <f>Data!EA35</f>
        <v>443</v>
      </c>
      <c r="H33" s="64"/>
    </row>
    <row r="34" spans="1:8" ht="12" customHeight="1">
      <c r="A34" s="62"/>
      <c r="B34" s="139" t="str">
        <f>UPPER(LEFT(TRIM(Data!B36),1)) &amp; MID(TRIM(Data!B36),2,50)</f>
        <v>Skydliaukės</v>
      </c>
      <c r="C34" s="168" t="str">
        <f>Data!C36</f>
        <v>C73</v>
      </c>
      <c r="D34" s="169">
        <f>Data!DX36</f>
        <v>3516</v>
      </c>
      <c r="E34" s="169">
        <f>Data!DY36</f>
        <v>2463</v>
      </c>
      <c r="F34" s="169">
        <f>Data!DZ36</f>
        <v>1258</v>
      </c>
      <c r="G34" s="169">
        <f>Data!EA36</f>
        <v>3770</v>
      </c>
      <c r="H34" s="64"/>
    </row>
    <row r="35" spans="1:8" ht="12" customHeight="1">
      <c r="A35" s="62"/>
      <c r="B35" s="144" t="str">
        <f>UPPER(LEFT(TRIM(Data!B37),1)) &amp; MID(TRIM(Data!B37),2,50)</f>
        <v>Kitų endokrininių liaukų</v>
      </c>
      <c r="C35" s="144" t="str">
        <f>Data!C37</f>
        <v>C74-C75</v>
      </c>
      <c r="D35" s="163">
        <f>Data!DX37</f>
        <v>71</v>
      </c>
      <c r="E35" s="163">
        <f>Data!DY37</f>
        <v>51</v>
      </c>
      <c r="F35" s="163">
        <f>Data!DZ37</f>
        <v>30</v>
      </c>
      <c r="G35" s="163">
        <f>Data!EA37</f>
        <v>78</v>
      </c>
      <c r="H35" s="64"/>
    </row>
    <row r="36" spans="1:8" ht="12" customHeight="1">
      <c r="A36" s="62"/>
      <c r="B36" s="139" t="str">
        <f>UPPER(LEFT(TRIM(Data!B38),1)) &amp; MID(TRIM(Data!B38),2,50)</f>
        <v>Nepatikslintos lokalizacijos</v>
      </c>
      <c r="C36" s="168" t="str">
        <f>Data!C38</f>
        <v>C76-C80</v>
      </c>
      <c r="D36" s="169">
        <f>Data!DX38</f>
        <v>206</v>
      </c>
      <c r="E36" s="169">
        <f>Data!DY38</f>
        <v>131</v>
      </c>
      <c r="F36" s="169">
        <f>Data!DZ38</f>
        <v>70</v>
      </c>
      <c r="G36" s="169">
        <f>Data!EA38</f>
        <v>258</v>
      </c>
      <c r="H36" s="64"/>
    </row>
    <row r="37" spans="1:8" ht="12" customHeight="1">
      <c r="A37" s="62"/>
      <c r="B37" s="144" t="str">
        <f>UPPER(LEFT(TRIM(Data!B39),1)) &amp; MID(TRIM(Data!B39),2,50)</f>
        <v>Hodžkino limfomos</v>
      </c>
      <c r="C37" s="144" t="str">
        <f>Data!C39</f>
        <v>C81</v>
      </c>
      <c r="D37" s="163">
        <f>Data!DX39</f>
        <v>643</v>
      </c>
      <c r="E37" s="163">
        <f>Data!DY39</f>
        <v>519</v>
      </c>
      <c r="F37" s="163">
        <f>Data!DZ39</f>
        <v>359</v>
      </c>
      <c r="G37" s="163">
        <f>Data!EA39</f>
        <v>668</v>
      </c>
      <c r="H37" s="64"/>
    </row>
    <row r="38" spans="1:8" ht="12" customHeight="1">
      <c r="A38" s="62"/>
      <c r="B38" s="139" t="str">
        <f>UPPER(LEFT(TRIM(Data!B40),1)) &amp; MID(TRIM(Data!B40),2,50)</f>
        <v>Ne Hodžkino limfomos</v>
      </c>
      <c r="C38" s="168" t="str">
        <f>Data!C40</f>
        <v>C82-C85</v>
      </c>
      <c r="D38" s="169">
        <f>Data!DX40</f>
        <v>1020</v>
      </c>
      <c r="E38" s="169">
        <f>Data!DY40</f>
        <v>593</v>
      </c>
      <c r="F38" s="169">
        <f>Data!DZ40</f>
        <v>277</v>
      </c>
      <c r="G38" s="169">
        <f>Data!EA40</f>
        <v>1139</v>
      </c>
      <c r="H38" s="64"/>
    </row>
    <row r="39" spans="1:8" ht="12" customHeight="1">
      <c r="A39" s="62"/>
      <c r="B39" s="144" t="str">
        <f>UPPER(LEFT(TRIM(Data!B41),1)) &amp; MID(TRIM(Data!B41),2,50)</f>
        <v>Mielominės ligos</v>
      </c>
      <c r="C39" s="144" t="str">
        <f>Data!C41</f>
        <v>C90</v>
      </c>
      <c r="D39" s="163">
        <f>Data!DX41</f>
        <v>284</v>
      </c>
      <c r="E39" s="163">
        <f>Data!DY41</f>
        <v>131</v>
      </c>
      <c r="F39" s="163">
        <f>Data!DZ41</f>
        <v>46</v>
      </c>
      <c r="G39" s="163">
        <f>Data!EA41</f>
        <v>334</v>
      </c>
      <c r="H39" s="64"/>
    </row>
    <row r="40" spans="1:8" ht="12" customHeight="1">
      <c r="A40" s="62"/>
      <c r="B40" s="139" t="str">
        <f>UPPER(LEFT(TRIM(Data!B42),1)) &amp; MID(TRIM(Data!B42),2,50)</f>
        <v>Leukemijos</v>
      </c>
      <c r="C40" s="168" t="str">
        <f>Data!C42</f>
        <v>C91-C95</v>
      </c>
      <c r="D40" s="169">
        <f>Data!DX42</f>
        <v>1061</v>
      </c>
      <c r="E40" s="169">
        <f>Data!DY42</f>
        <v>656</v>
      </c>
      <c r="F40" s="169">
        <f>Data!DZ42</f>
        <v>324</v>
      </c>
      <c r="G40" s="169">
        <f>Data!EA42</f>
        <v>1189</v>
      </c>
      <c r="H40" s="64"/>
    </row>
    <row r="41" spans="1:8" ht="12" customHeight="1">
      <c r="A41" s="62"/>
      <c r="B41" s="144" t="str">
        <f>UPPER(LEFT(TRIM(Data!B43),1)) &amp; MID(TRIM(Data!B43),2,50)</f>
        <v>Kiti limfinio, kraujodaros audinių</v>
      </c>
      <c r="C41" s="144" t="str">
        <f>Data!C43</f>
        <v>C88, C96</v>
      </c>
      <c r="D41" s="163">
        <f>Data!DX43</f>
        <v>32</v>
      </c>
      <c r="E41" s="163">
        <f>Data!DY43</f>
        <v>22</v>
      </c>
      <c r="F41" s="163">
        <f>Data!DZ43</f>
        <v>14</v>
      </c>
      <c r="G41" s="163">
        <f>Data!EA43</f>
        <v>35</v>
      </c>
      <c r="H41" s="64"/>
    </row>
    <row r="42" spans="1:8" ht="22.5" customHeight="1">
      <c r="A42" s="62"/>
      <c r="B42" s="104"/>
      <c r="C42" s="114"/>
      <c r="D42" s="115"/>
      <c r="E42" s="115"/>
      <c r="F42" s="115"/>
      <c r="G42" s="115"/>
      <c r="H42" s="64"/>
    </row>
    <row r="43" spans="1:8" ht="11.25" customHeight="1">
      <c r="A43" s="62"/>
      <c r="B43" s="91" t="str">
        <f>UPPER(LEFT(TRIM(Data!B44),1)) &amp; MID(TRIM(Data!B44),2,50)</f>
        <v>Melanoma in situ</v>
      </c>
      <c r="C43" s="91" t="str">
        <f>Data!C44</f>
        <v>D03</v>
      </c>
      <c r="D43" s="108">
        <f>Data!DX44</f>
        <v>159</v>
      </c>
      <c r="E43" s="108">
        <f>Data!DY44</f>
        <v>71</v>
      </c>
      <c r="F43" s="108">
        <f>Data!DZ44</f>
        <v>23</v>
      </c>
      <c r="G43" s="108">
        <f>Data!EA44</f>
        <v>183</v>
      </c>
      <c r="H43" s="64"/>
    </row>
    <row r="44" spans="1:8" ht="11.25" customHeight="1">
      <c r="A44" s="62"/>
      <c r="B44" s="99" t="str">
        <f>UPPER(LEFT(TRIM(Data!B45),1)) &amp; MID(TRIM(Data!B45),2,50)</f>
        <v>Krūties navikai in situ</v>
      </c>
      <c r="C44" s="103" t="str">
        <f>Data!C45</f>
        <v>D05</v>
      </c>
      <c r="D44" s="113">
        <f>Data!DX45</f>
        <v>517</v>
      </c>
      <c r="E44" s="113">
        <f>Data!DY45</f>
        <v>262</v>
      </c>
      <c r="F44" s="113">
        <f>Data!DZ45</f>
        <v>93</v>
      </c>
      <c r="G44" s="113">
        <f>Data!EA45</f>
        <v>595</v>
      </c>
      <c r="H44" s="64"/>
    </row>
    <row r="45" spans="1:8" ht="11.25" customHeight="1">
      <c r="A45" s="62"/>
      <c r="B45" s="97" t="str">
        <f>UPPER(LEFT(TRIM(Data!B46),1)) &amp; MID(TRIM(Data!B46),2,50)</f>
        <v>Gimdos kaklelio in situ</v>
      </c>
      <c r="C45" s="97" t="str">
        <f>Data!C46</f>
        <v>D06</v>
      </c>
      <c r="D45" s="116">
        <f>Data!DX46</f>
        <v>5091</v>
      </c>
      <c r="E45" s="116">
        <f>Data!DY46</f>
        <v>2519</v>
      </c>
      <c r="F45" s="116">
        <f>Data!DZ46</f>
        <v>374</v>
      </c>
      <c r="G45" s="116">
        <f>Data!EA46</f>
        <v>5793</v>
      </c>
      <c r="H45" s="64"/>
    </row>
    <row r="46" spans="1:8" ht="11.25" customHeight="1">
      <c r="A46" s="62"/>
      <c r="B46" s="99" t="str">
        <f>UPPER(LEFT(TRIM(Data!B47),1)) &amp; MID(TRIM(Data!B47),2,50)</f>
        <v>Šlapimo pūslės in situ</v>
      </c>
      <c r="C46" s="103" t="str">
        <f>Data!C47</f>
        <v>D09.0</v>
      </c>
      <c r="D46" s="113">
        <f>Data!DX47</f>
        <v>189</v>
      </c>
      <c r="E46" s="113">
        <f>Data!DY47</f>
        <v>88</v>
      </c>
      <c r="F46" s="113">
        <f>Data!DZ47</f>
        <v>13</v>
      </c>
      <c r="G46" s="113">
        <f>Data!EA47</f>
        <v>222</v>
      </c>
      <c r="H46" s="64"/>
    </row>
    <row r="47" spans="1:8" ht="11.25" customHeight="1">
      <c r="A47" s="62"/>
      <c r="B47" s="97" t="str">
        <f>UPPER(LEFT(TRIM(Data!B48),1)) &amp; MID(TRIM(Data!B48),2,50)</f>
        <v>Nervų sistemos gerybiniai navikai</v>
      </c>
      <c r="C47" s="97" t="str">
        <f>Data!C48</f>
        <v>D32, D33</v>
      </c>
      <c r="D47" s="116">
        <f>Data!DX48</f>
        <v>165</v>
      </c>
      <c r="E47" s="116">
        <f>Data!DY48</f>
        <v>27</v>
      </c>
      <c r="F47" s="116">
        <f>Data!DZ48</f>
        <v>18</v>
      </c>
      <c r="G47" s="116">
        <f>Data!EA48</f>
        <v>245</v>
      </c>
      <c r="H47" s="64"/>
    </row>
    <row r="48" spans="1:8" ht="11.25" customHeight="1">
      <c r="A48" s="62"/>
      <c r="B48" s="99" t="str">
        <f>UPPER(LEFT(TRIM(Data!B49),1)) &amp; MID(TRIM(Data!B49),2,50)</f>
        <v>Kiaušidžių</v>
      </c>
      <c r="C48" s="103" t="str">
        <f>Data!C49</f>
        <v>D39.1</v>
      </c>
      <c r="D48" s="113">
        <f>Data!DX49</f>
        <v>361</v>
      </c>
      <c r="E48" s="113">
        <f>Data!DY49</f>
        <v>168</v>
      </c>
      <c r="F48" s="113">
        <f>Data!DZ49</f>
        <v>48</v>
      </c>
      <c r="G48" s="113">
        <f>Data!EA49</f>
        <v>395</v>
      </c>
      <c r="H48" s="64"/>
    </row>
    <row r="49" spans="1:8" ht="11.25" customHeight="1">
      <c r="A49" s="62"/>
      <c r="B49" s="97" t="str">
        <f>UPPER(LEFT(TRIM(Data!B50),1)) &amp; MID(TRIM(Data!B50),2,50)</f>
        <v>Kiti nervų sistemos</v>
      </c>
      <c r="C49" s="97" t="str">
        <f>Data!C50</f>
        <v>D42, D43</v>
      </c>
      <c r="D49" s="116">
        <f>Data!DX50</f>
        <v>45</v>
      </c>
      <c r="E49" s="116">
        <f>Data!DY50</f>
        <v>16</v>
      </c>
      <c r="F49" s="116">
        <f>Data!DZ50</f>
        <v>7</v>
      </c>
      <c r="G49" s="116">
        <f>Data!EA50</f>
        <v>60</v>
      </c>
      <c r="H49" s="64"/>
    </row>
    <row r="50" spans="1:8" ht="11.25" customHeight="1">
      <c r="A50" s="62"/>
      <c r="B50" s="99" t="str">
        <f>UPPER(LEFT(TRIM(Data!B51),1)) &amp; MID(TRIM(Data!B51),2,50)</f>
        <v>Limfinio ir kraujodaros audinių</v>
      </c>
      <c r="C50" s="103" t="str">
        <f>Data!C51</f>
        <v>D45-D47</v>
      </c>
      <c r="D50" s="113">
        <f>Data!DX51</f>
        <v>911</v>
      </c>
      <c r="E50" s="113">
        <f>Data!DY51</f>
        <v>365</v>
      </c>
      <c r="F50" s="113">
        <f>Data!DZ51</f>
        <v>45</v>
      </c>
      <c r="G50" s="113">
        <f>Data!EA51</f>
        <v>1052</v>
      </c>
      <c r="H50" s="64"/>
    </row>
    <row r="51" spans="1:8">
      <c r="A51" s="64"/>
      <c r="B51" s="64"/>
      <c r="C51" s="64"/>
      <c r="D51" s="64"/>
      <c r="E51" s="64"/>
      <c r="F51" s="64"/>
      <c r="G51" s="64"/>
      <c r="H51" s="64"/>
    </row>
    <row r="52" spans="1:8">
      <c r="A52" s="64"/>
      <c r="B52" s="64"/>
      <c r="C52" s="64"/>
      <c r="D52" s="64"/>
      <c r="E52" s="64"/>
      <c r="F52" s="64"/>
      <c r="G52" s="64"/>
      <c r="H52" s="64"/>
    </row>
  </sheetData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9" tint="0.39997558519241921"/>
  </sheetPr>
  <dimension ref="A1:U39"/>
  <sheetViews>
    <sheetView zoomScaleNormal="100" workbookViewId="0">
      <selection activeCell="D1" sqref="D1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5" width="18.7109375" customWidth="1"/>
    <col min="6" max="6" width="3.28515625" customWidth="1"/>
    <col min="7" max="15" width="0.85546875" customWidth="1"/>
  </cols>
  <sheetData>
    <row r="1" spans="1:21" ht="15">
      <c r="A1" s="29"/>
      <c r="B1" s="562" t="s">
        <v>402</v>
      </c>
      <c r="C1" s="562"/>
      <c r="D1" s="562"/>
      <c r="E1" s="562"/>
      <c r="F1" s="30"/>
    </row>
    <row r="2" spans="1:21" ht="12.75" customHeight="1">
      <c r="A2" s="29"/>
      <c r="B2" s="554" t="str">
        <f>"Vyrų reliatyvus išgyvenamumas  " &amp; GrafikaiSerg!A1 &amp; " metais."</f>
        <v>Vyrų reliatyvus išgyvenamumas  2013 metais.</v>
      </c>
      <c r="C2" s="554"/>
      <c r="D2" s="553" t="s">
        <v>656</v>
      </c>
      <c r="E2" s="553"/>
      <c r="F2" s="30"/>
    </row>
    <row r="3" spans="1:21" ht="12.75" customHeight="1">
      <c r="A3" s="29"/>
      <c r="B3" s="61" t="s">
        <v>657</v>
      </c>
      <c r="C3" s="55"/>
      <c r="D3" s="29"/>
      <c r="E3" s="29"/>
      <c r="F3" s="30"/>
    </row>
    <row r="4" spans="1:21" ht="26.1" customHeight="1" thickBot="1">
      <c r="A4" s="29"/>
      <c r="B4" s="172" t="s">
        <v>242</v>
      </c>
      <c r="C4" s="172" t="s">
        <v>243</v>
      </c>
      <c r="D4" s="174" t="s">
        <v>419</v>
      </c>
      <c r="E4" s="174" t="s">
        <v>420</v>
      </c>
      <c r="F4" s="30"/>
      <c r="P4" s="358" t="s">
        <v>441</v>
      </c>
      <c r="Q4" s="358"/>
      <c r="R4" s="120"/>
      <c r="S4" s="120"/>
      <c r="T4" s="120"/>
      <c r="U4" s="120"/>
    </row>
    <row r="5" spans="1:21" ht="12" customHeight="1" thickTop="1">
      <c r="A5" s="29"/>
      <c r="B5" s="123" t="str">
        <f>UPPER(LEFT(TRIM(Data!B6),1)) &amp; MID(TRIM(Data!B6),2,50)</f>
        <v>Lūpos</v>
      </c>
      <c r="C5" s="175" t="str">
        <f>Data!C6</f>
        <v>C00</v>
      </c>
      <c r="D5" s="382" t="s">
        <v>551</v>
      </c>
      <c r="E5" s="379" t="s">
        <v>552</v>
      </c>
      <c r="F5" s="30"/>
      <c r="P5" s="308">
        <v>25</v>
      </c>
      <c r="Q5" s="359"/>
      <c r="R5" s="121"/>
      <c r="S5" s="122"/>
      <c r="T5" s="120"/>
    </row>
    <row r="6" spans="1:21" ht="12" customHeight="1">
      <c r="A6" s="29"/>
      <c r="B6" s="145" t="str">
        <f>UPPER(LEFT(TRIM(Data!B7),1)) &amp; MID(TRIM(Data!B7),2,50)</f>
        <v>Burnos ertmės ir ryklės</v>
      </c>
      <c r="C6" s="145" t="str">
        <f>Data!C7</f>
        <v>C01-C14</v>
      </c>
      <c r="D6" s="382" t="s">
        <v>490</v>
      </c>
      <c r="E6" s="379" t="s">
        <v>508</v>
      </c>
      <c r="F6" s="30"/>
      <c r="P6" s="308">
        <v>234</v>
      </c>
      <c r="Q6" s="359"/>
      <c r="R6" s="121"/>
      <c r="S6" s="122"/>
      <c r="T6" s="120"/>
    </row>
    <row r="7" spans="1:21" ht="12" customHeight="1">
      <c r="A7" s="29"/>
      <c r="B7" s="123" t="str">
        <f>UPPER(LEFT(TRIM(Data!B8),1)) &amp; MID(TRIM(Data!B8),2,50)</f>
        <v>Stemplės</v>
      </c>
      <c r="C7" s="175" t="str">
        <f>Data!C8</f>
        <v>C15</v>
      </c>
      <c r="D7" s="382" t="s">
        <v>491</v>
      </c>
      <c r="E7" s="379" t="s">
        <v>509</v>
      </c>
      <c r="F7" s="30"/>
      <c r="P7" s="308">
        <v>133</v>
      </c>
      <c r="Q7" s="359"/>
      <c r="R7" s="121"/>
      <c r="S7" s="122"/>
      <c r="T7" s="120"/>
    </row>
    <row r="8" spans="1:21" ht="12" customHeight="1">
      <c r="A8" s="29"/>
      <c r="B8" s="145" t="str">
        <f>UPPER(LEFT(TRIM(Data!B9),1)) &amp; MID(TRIM(Data!B9),2,50)</f>
        <v>Skrandžio</v>
      </c>
      <c r="C8" s="145" t="str">
        <f>Data!C9</f>
        <v>C16</v>
      </c>
      <c r="D8" s="382" t="s">
        <v>492</v>
      </c>
      <c r="E8" s="379" t="s">
        <v>510</v>
      </c>
      <c r="F8" s="30"/>
      <c r="P8" s="308">
        <v>476</v>
      </c>
      <c r="Q8" s="359"/>
      <c r="R8" s="121"/>
      <c r="S8" s="122"/>
      <c r="T8" s="120"/>
    </row>
    <row r="9" spans="1:21" ht="12" customHeight="1">
      <c r="A9" s="29"/>
      <c r="B9" s="123" t="str">
        <f>UPPER(LEFT(TRIM(Data!B10),1)) &amp; MID(TRIM(Data!B10),2,50)</f>
        <v>Gaubtinės žarnos</v>
      </c>
      <c r="C9" s="175" t="str">
        <f>Data!C10</f>
        <v>C18</v>
      </c>
      <c r="D9" s="382" t="s">
        <v>493</v>
      </c>
      <c r="E9" s="379" t="s">
        <v>511</v>
      </c>
      <c r="F9" s="30"/>
      <c r="P9" s="308">
        <v>284</v>
      </c>
      <c r="Q9" s="359"/>
      <c r="R9" s="121"/>
      <c r="S9" s="122"/>
      <c r="T9" s="120"/>
    </row>
    <row r="10" spans="1:21" ht="12" customHeight="1">
      <c r="A10" s="29"/>
      <c r="B10" s="145" t="str">
        <f>UPPER(LEFT(TRIM(Data!B11),1)) &amp; MID(TRIM(Data!B11),2,50)</f>
        <v>Tiesiosios žarnos, išangės</v>
      </c>
      <c r="C10" s="145" t="str">
        <f>Data!C11</f>
        <v>C19-C21</v>
      </c>
      <c r="D10" s="382" t="s">
        <v>494</v>
      </c>
      <c r="E10" s="379" t="s">
        <v>512</v>
      </c>
      <c r="F10" s="30"/>
      <c r="P10" s="308">
        <v>328</v>
      </c>
      <c r="Q10" s="359"/>
      <c r="R10" s="121"/>
      <c r="S10" s="122"/>
      <c r="T10" s="120"/>
    </row>
    <row r="11" spans="1:21" ht="12" customHeight="1">
      <c r="A11" s="29"/>
      <c r="B11" s="123" t="str">
        <f>UPPER(LEFT(TRIM(Data!B12),1)) &amp; MID(TRIM(Data!B12),2,50)</f>
        <v>Kepenų</v>
      </c>
      <c r="C11" s="175" t="str">
        <f>Data!C12</f>
        <v>C22</v>
      </c>
      <c r="D11" s="382" t="s">
        <v>495</v>
      </c>
      <c r="E11" s="379" t="s">
        <v>513</v>
      </c>
      <c r="F11" s="30"/>
      <c r="P11" s="308">
        <v>91</v>
      </c>
      <c r="Q11" s="359"/>
      <c r="R11" s="121"/>
      <c r="S11" s="122"/>
      <c r="T11" s="120"/>
    </row>
    <row r="12" spans="1:21" ht="12" customHeight="1">
      <c r="A12" s="29"/>
      <c r="B12" s="145" t="str">
        <f>UPPER(LEFT(TRIM(Data!B13),1)) &amp; MID(TRIM(Data!B13),2,50)</f>
        <v>Tulžies pūslės, ekstrahepatinių takų</v>
      </c>
      <c r="C12" s="145" t="str">
        <f>Data!C13</f>
        <v>C23, C24</v>
      </c>
      <c r="D12" s="382" t="s">
        <v>553</v>
      </c>
      <c r="E12" s="379" t="s">
        <v>449</v>
      </c>
      <c r="F12" s="30"/>
      <c r="P12" s="308">
        <v>33</v>
      </c>
      <c r="Q12" s="359"/>
      <c r="R12" s="121"/>
      <c r="S12" s="122"/>
      <c r="T12" s="120"/>
    </row>
    <row r="13" spans="1:21" ht="12" customHeight="1">
      <c r="A13" s="29"/>
      <c r="B13" s="123" t="str">
        <f>UPPER(LEFT(TRIM(Data!B14),1)) &amp; MID(TRIM(Data!B14),2,50)</f>
        <v>Kasos</v>
      </c>
      <c r="C13" s="175" t="str">
        <f>Data!C14</f>
        <v>C25</v>
      </c>
      <c r="D13" s="382" t="s">
        <v>497</v>
      </c>
      <c r="E13" s="379" t="s">
        <v>515</v>
      </c>
      <c r="F13" s="30"/>
      <c r="P13" s="308">
        <v>200</v>
      </c>
      <c r="Q13" s="359"/>
      <c r="R13" s="121"/>
      <c r="S13" s="122"/>
      <c r="T13" s="120"/>
    </row>
    <row r="14" spans="1:21" ht="12" customHeight="1">
      <c r="A14" s="29"/>
      <c r="B14" s="145" t="str">
        <f>UPPER(LEFT(TRIM(Data!B15),1)) &amp; MID(TRIM(Data!B15),2,50)</f>
        <v>Kitų virškinimo sistemos organų</v>
      </c>
      <c r="C14" s="145" t="str">
        <f>Data!C15</f>
        <v>C17, C26, C48</v>
      </c>
      <c r="D14" s="382" t="s">
        <v>554</v>
      </c>
      <c r="E14" s="379" t="s">
        <v>555</v>
      </c>
      <c r="F14" s="30"/>
      <c r="P14" s="308">
        <v>26</v>
      </c>
      <c r="Q14" s="359"/>
      <c r="R14" s="121"/>
      <c r="S14" s="122"/>
      <c r="T14" s="120"/>
    </row>
    <row r="15" spans="1:21" ht="12" customHeight="1">
      <c r="A15" s="29"/>
      <c r="B15" s="123" t="str">
        <f>UPPER(LEFT(TRIM(Data!B16),1)) &amp; MID(TRIM(Data!B16),2,50)</f>
        <v>Nosies ertmės, vid.ausies ir ančių</v>
      </c>
      <c r="C15" s="175" t="str">
        <f>Data!C16</f>
        <v>C30, C31</v>
      </c>
      <c r="D15" s="382" t="s">
        <v>556</v>
      </c>
      <c r="E15" s="379" t="s">
        <v>557</v>
      </c>
      <c r="F15" s="30"/>
      <c r="P15" s="308">
        <v>14</v>
      </c>
      <c r="Q15" s="359"/>
      <c r="R15" s="121"/>
      <c r="S15" s="122"/>
      <c r="T15" s="120"/>
    </row>
    <row r="16" spans="1:21" ht="12" customHeight="1">
      <c r="A16" s="29"/>
      <c r="B16" s="145" t="str">
        <f>UPPER(LEFT(TRIM(Data!B17),1)) &amp; MID(TRIM(Data!B17),2,50)</f>
        <v>Gerklų</v>
      </c>
      <c r="C16" s="145" t="str">
        <f>Data!C17</f>
        <v>C32</v>
      </c>
      <c r="D16" s="382" t="s">
        <v>500</v>
      </c>
      <c r="E16" s="379" t="s">
        <v>518</v>
      </c>
      <c r="F16" s="30"/>
      <c r="P16" s="308">
        <v>188</v>
      </c>
      <c r="Q16" s="359"/>
      <c r="R16" s="121"/>
      <c r="S16" s="122"/>
      <c r="T16" s="120"/>
    </row>
    <row r="17" spans="1:20" ht="12" customHeight="1">
      <c r="A17" s="29"/>
      <c r="B17" s="123" t="str">
        <f>UPPER(LEFT(TRIM(Data!B18),1)) &amp; MID(TRIM(Data!B18),2,50)</f>
        <v>Plaučių, trachėjos, bronchų</v>
      </c>
      <c r="C17" s="175" t="str">
        <f>Data!C18</f>
        <v>C33, C34</v>
      </c>
      <c r="D17" s="382" t="s">
        <v>501</v>
      </c>
      <c r="E17" s="379" t="s">
        <v>519</v>
      </c>
      <c r="F17" s="30"/>
      <c r="P17" s="308">
        <v>1052</v>
      </c>
      <c r="Q17" s="359"/>
      <c r="R17" s="121"/>
      <c r="S17" s="122"/>
      <c r="T17" s="120"/>
    </row>
    <row r="18" spans="1:20" ht="12" customHeight="1">
      <c r="A18" s="29"/>
      <c r="B18" s="145" t="str">
        <f>UPPER(LEFT(TRIM(Data!B19),1)) &amp; MID(TRIM(Data!B19),2,50)</f>
        <v>Kitų kvėpavimo sistemos organų</v>
      </c>
      <c r="C18" s="145" t="str">
        <f>Data!C19</f>
        <v>C37-C39</v>
      </c>
      <c r="D18" s="382" t="s">
        <v>558</v>
      </c>
      <c r="E18" s="379" t="s">
        <v>559</v>
      </c>
      <c r="F18" s="30"/>
      <c r="P18" s="308">
        <v>8</v>
      </c>
      <c r="Q18" s="359"/>
      <c r="R18" s="121"/>
      <c r="S18" s="122"/>
      <c r="T18" s="120"/>
    </row>
    <row r="19" spans="1:20" ht="12" customHeight="1">
      <c r="A19" s="29"/>
      <c r="B19" s="123" t="str">
        <f>UPPER(LEFT(TRIM(Data!B20),1)) &amp; MID(TRIM(Data!B20),2,50)</f>
        <v>Kaulų ir jungiamojo audinio</v>
      </c>
      <c r="C19" s="175" t="str">
        <f>Data!C20</f>
        <v>C40-C41, C45-C47, C49</v>
      </c>
      <c r="D19" s="382" t="s">
        <v>560</v>
      </c>
      <c r="E19" s="379" t="s">
        <v>561</v>
      </c>
      <c r="F19" s="30"/>
      <c r="P19" s="308">
        <v>56</v>
      </c>
      <c r="Q19" s="359"/>
      <c r="R19" s="121"/>
      <c r="S19" s="122"/>
      <c r="T19" s="120"/>
    </row>
    <row r="20" spans="1:20" ht="12" customHeight="1">
      <c r="A20" s="29"/>
      <c r="B20" s="145" t="str">
        <f>UPPER(LEFT(TRIM(Data!B21),1)) &amp; MID(TRIM(Data!B21),2,50)</f>
        <v>Odos melanoma</v>
      </c>
      <c r="C20" s="145" t="str">
        <f>Data!C21</f>
        <v>C43</v>
      </c>
      <c r="D20" s="382" t="s">
        <v>504</v>
      </c>
      <c r="E20" s="379" t="s">
        <v>522</v>
      </c>
      <c r="F20" s="30"/>
      <c r="P20" s="308">
        <v>80</v>
      </c>
      <c r="Q20" s="359"/>
      <c r="R20" s="121"/>
      <c r="S20" s="122"/>
      <c r="T20" s="120"/>
    </row>
    <row r="21" spans="1:20" ht="12" customHeight="1">
      <c r="A21" s="29"/>
      <c r="B21" s="123" t="str">
        <f>UPPER(LEFT(TRIM(Data!B23),1)) &amp; MID(TRIM(Data!B23),2,50)</f>
        <v>Krūties</v>
      </c>
      <c r="C21" s="175" t="str">
        <f>Data!C23</f>
        <v>C50</v>
      </c>
      <c r="D21" s="382" t="s">
        <v>562</v>
      </c>
      <c r="E21" s="379" t="s">
        <v>450</v>
      </c>
      <c r="F21" s="30"/>
      <c r="O21" s="33" t="s">
        <v>440</v>
      </c>
      <c r="P21" s="308">
        <v>12</v>
      </c>
      <c r="Q21" s="359"/>
      <c r="R21" s="121"/>
      <c r="S21" s="122"/>
      <c r="T21" s="120"/>
    </row>
    <row r="22" spans="1:20" ht="12" customHeight="1">
      <c r="A22" s="29"/>
      <c r="B22" s="145" t="str">
        <f>UPPER(LEFT(TRIM(Data!B28),1)) &amp; MID(TRIM(Data!B28),2,50)</f>
        <v>Priešinės liaukos</v>
      </c>
      <c r="C22" s="145" t="str">
        <f>Data!C28</f>
        <v>C61</v>
      </c>
      <c r="D22" s="382" t="s">
        <v>505</v>
      </c>
      <c r="E22" s="379" t="s">
        <v>505</v>
      </c>
      <c r="F22" s="30"/>
      <c r="O22" s="33" t="s">
        <v>440</v>
      </c>
      <c r="P22" s="308">
        <v>3502</v>
      </c>
      <c r="Q22" s="359"/>
      <c r="R22" s="121"/>
      <c r="S22" s="122"/>
      <c r="T22" s="120"/>
    </row>
    <row r="23" spans="1:20" ht="12" customHeight="1">
      <c r="A23" s="29"/>
      <c r="B23" s="123" t="str">
        <f>UPPER(LEFT(TRIM(Data!B29),1)) &amp; MID(TRIM(Data!B29),2,50)</f>
        <v>Sėklidžių</v>
      </c>
      <c r="C23" s="175" t="str">
        <f>Data!C29</f>
        <v>C62</v>
      </c>
      <c r="D23" s="382" t="s">
        <v>565</v>
      </c>
      <c r="E23" s="379" t="s">
        <v>566</v>
      </c>
      <c r="F23" s="30"/>
      <c r="P23" s="308">
        <v>34</v>
      </c>
      <c r="Q23" s="359"/>
      <c r="R23" s="121"/>
      <c r="S23" s="122"/>
      <c r="T23" s="120"/>
    </row>
    <row r="24" spans="1:20" ht="12" customHeight="1">
      <c r="A24" s="29"/>
      <c r="B24" s="145" t="str">
        <f>UPPER(LEFT(TRIM(Data!B30),1)) &amp; MID(TRIM(Data!B30),2,50)</f>
        <v>Kitų lyties organų</v>
      </c>
      <c r="C24" s="145" t="s">
        <v>416</v>
      </c>
      <c r="D24" s="382" t="s">
        <v>567</v>
      </c>
      <c r="E24" s="379" t="s">
        <v>568</v>
      </c>
      <c r="F24" s="30"/>
      <c r="P24" s="308">
        <v>23</v>
      </c>
      <c r="Q24" s="359"/>
      <c r="R24" s="121"/>
      <c r="S24" s="122"/>
      <c r="T24" s="120"/>
    </row>
    <row r="25" spans="1:20" ht="12" customHeight="1">
      <c r="A25" s="29"/>
      <c r="B25" s="123" t="str">
        <f>UPPER(LEFT(TRIM(Data!B31),1)) &amp; MID(TRIM(Data!B31),2,50)</f>
        <v>Inkstų</v>
      </c>
      <c r="C25" s="175" t="str">
        <f>Data!C31</f>
        <v>C64</v>
      </c>
      <c r="D25" s="382" t="s">
        <v>525</v>
      </c>
      <c r="E25" s="379" t="s">
        <v>538</v>
      </c>
      <c r="F25" s="30"/>
      <c r="P25" s="308">
        <v>318</v>
      </c>
      <c r="Q25" s="359"/>
      <c r="R25" s="121"/>
      <c r="S25" s="122"/>
      <c r="T25" s="120"/>
    </row>
    <row r="26" spans="1:20" ht="12" customHeight="1">
      <c r="A26" s="29"/>
      <c r="B26" s="145" t="str">
        <f>UPPER(LEFT(TRIM(Data!B32),1)) &amp; MID(TRIM(Data!B32),2,50)</f>
        <v>Šlapimo pūslės</v>
      </c>
      <c r="C26" s="145" t="str">
        <f>Data!C32</f>
        <v>C67</v>
      </c>
      <c r="D26" s="382" t="s">
        <v>526</v>
      </c>
      <c r="E26" s="379" t="s">
        <v>539</v>
      </c>
      <c r="F26" s="30"/>
      <c r="P26" s="308">
        <v>240</v>
      </c>
      <c r="Q26" s="359"/>
      <c r="R26" s="121"/>
      <c r="S26" s="122"/>
      <c r="T26" s="120"/>
    </row>
    <row r="27" spans="1:20" ht="12" customHeight="1">
      <c r="A27" s="29"/>
      <c r="B27" s="123" t="str">
        <f>UPPER(LEFT(TRIM(Data!B33),1)) &amp; MID(TRIM(Data!B33),2,50)</f>
        <v>Kitų šlapimą išskiriančių organų</v>
      </c>
      <c r="C27" s="175" t="str">
        <f>Data!C33</f>
        <v>C65, C66, C68</v>
      </c>
      <c r="D27" s="382" t="s">
        <v>563</v>
      </c>
      <c r="E27" s="379" t="s">
        <v>564</v>
      </c>
      <c r="F27" s="30"/>
      <c r="P27" s="308">
        <v>9</v>
      </c>
      <c r="Q27" s="359"/>
      <c r="R27" s="121"/>
      <c r="S27" s="122"/>
      <c r="T27" s="120"/>
    </row>
    <row r="28" spans="1:20" ht="12" customHeight="1">
      <c r="A28" s="29"/>
      <c r="B28" s="145" t="str">
        <f>UPPER(LEFT(TRIM(Data!B34),1)) &amp; MID(TRIM(Data!B34),2,50)</f>
        <v>Akių</v>
      </c>
      <c r="C28" s="145" t="str">
        <f>Data!C34</f>
        <v>C69</v>
      </c>
      <c r="D28" s="382" t="s">
        <v>569</v>
      </c>
      <c r="E28" s="379" t="s">
        <v>570</v>
      </c>
      <c r="F28" s="30"/>
      <c r="P28" s="308">
        <v>15</v>
      </c>
      <c r="Q28" s="359"/>
      <c r="R28" s="121"/>
      <c r="S28" s="122"/>
      <c r="T28" s="120"/>
    </row>
    <row r="29" spans="1:20" ht="12" customHeight="1">
      <c r="A29" s="29"/>
      <c r="B29" s="123" t="str">
        <f>UPPER(LEFT(TRIM(Data!B35),1)) &amp; MID(TRIM(Data!B35),2,50)</f>
        <v>Smegenų</v>
      </c>
      <c r="C29" s="175" t="str">
        <f>Data!C35</f>
        <v>C70-C72</v>
      </c>
      <c r="D29" s="382" t="s">
        <v>529</v>
      </c>
      <c r="E29" s="379" t="s">
        <v>542</v>
      </c>
      <c r="F29" s="30"/>
      <c r="P29" s="308">
        <v>105</v>
      </c>
      <c r="Q29" s="359"/>
      <c r="R29" s="121"/>
      <c r="S29" s="122"/>
      <c r="T29" s="120"/>
    </row>
    <row r="30" spans="1:20" ht="12" customHeight="1">
      <c r="A30" s="29"/>
      <c r="B30" s="145" t="str">
        <f>UPPER(LEFT(TRIM(Data!B36),1)) &amp; MID(TRIM(Data!B36),2,50)</f>
        <v>Skydliaukės</v>
      </c>
      <c r="C30" s="145" t="str">
        <f>Data!C36</f>
        <v>C73</v>
      </c>
      <c r="D30" s="382" t="s">
        <v>530</v>
      </c>
      <c r="E30" s="379" t="s">
        <v>543</v>
      </c>
      <c r="F30" s="30"/>
      <c r="P30" s="308">
        <v>39</v>
      </c>
      <c r="Q30" s="359"/>
      <c r="R30" s="121"/>
      <c r="S30" s="122"/>
      <c r="T30" s="120"/>
    </row>
    <row r="31" spans="1:20" ht="12" customHeight="1">
      <c r="A31" s="29"/>
      <c r="B31" s="123" t="str">
        <f>UPPER(LEFT(TRIM(Data!B37),1)) &amp; MID(TRIM(Data!B37),2,50)</f>
        <v>Kitų endokrininių liaukų</v>
      </c>
      <c r="C31" s="175" t="str">
        <f>Data!C37</f>
        <v>C74-C75</v>
      </c>
      <c r="D31" s="382" t="s">
        <v>571</v>
      </c>
      <c r="E31" s="379" t="s">
        <v>448</v>
      </c>
      <c r="F31" s="30"/>
      <c r="P31" s="308">
        <v>13</v>
      </c>
      <c r="Q31" s="359"/>
      <c r="R31" s="121"/>
      <c r="S31" s="122"/>
      <c r="T31" s="120"/>
    </row>
    <row r="32" spans="1:20" ht="12" customHeight="1">
      <c r="A32" s="29"/>
      <c r="B32" s="145" t="str">
        <f>UPPER(LEFT(TRIM(Data!B38),1)) &amp; MID(TRIM(Data!B38),2,50)</f>
        <v>Nepatikslintos lokalizacijos</v>
      </c>
      <c r="C32" s="145" t="str">
        <f>Data!C38</f>
        <v>C76-C80</v>
      </c>
      <c r="D32" s="382" t="s">
        <v>532</v>
      </c>
      <c r="E32" s="379" t="s">
        <v>545</v>
      </c>
      <c r="F32" s="30"/>
      <c r="P32" s="308">
        <v>158</v>
      </c>
      <c r="Q32" s="359"/>
      <c r="R32" s="121"/>
      <c r="S32" s="122"/>
      <c r="T32" s="120"/>
    </row>
    <row r="33" spans="1:21" ht="12" customHeight="1">
      <c r="A33" s="29"/>
      <c r="B33" s="123" t="str">
        <f>UPPER(LEFT(TRIM(Data!B39),1)) &amp; MID(TRIM(Data!B39),2,50)</f>
        <v>Hodžkino limfomos</v>
      </c>
      <c r="C33" s="175" t="str">
        <f>Data!C39</f>
        <v>C81</v>
      </c>
      <c r="D33" s="382" t="s">
        <v>572</v>
      </c>
      <c r="E33" s="379" t="s">
        <v>573</v>
      </c>
      <c r="F33" s="30"/>
      <c r="P33" s="308">
        <v>29</v>
      </c>
      <c r="Q33" s="359"/>
      <c r="R33" s="121"/>
      <c r="S33" s="122"/>
      <c r="T33" s="120"/>
    </row>
    <row r="34" spans="1:21" ht="12" customHeight="1">
      <c r="A34" s="29"/>
      <c r="B34" s="145" t="str">
        <f>UPPER(LEFT(TRIM(Data!B40),1)) &amp; MID(TRIM(Data!B40),2,50)</f>
        <v>Ne Hodžkino limfomos</v>
      </c>
      <c r="C34" s="145" t="str">
        <f>Data!C40</f>
        <v>C82-C85</v>
      </c>
      <c r="D34" s="382" t="s">
        <v>534</v>
      </c>
      <c r="E34" s="379" t="s">
        <v>547</v>
      </c>
      <c r="F34" s="30"/>
      <c r="P34" s="308">
        <v>116</v>
      </c>
      <c r="Q34" s="359"/>
      <c r="R34" s="121"/>
      <c r="S34" s="122"/>
      <c r="T34" s="120"/>
    </row>
    <row r="35" spans="1:21" ht="12" customHeight="1">
      <c r="A35" s="29"/>
      <c r="B35" s="123" t="str">
        <f>UPPER(LEFT(TRIM(Data!B41),1)) &amp; MID(TRIM(Data!B41),2,50)</f>
        <v>Mielominės ligos</v>
      </c>
      <c r="C35" s="175" t="str">
        <f>Data!C41</f>
        <v>C90</v>
      </c>
      <c r="D35" s="382" t="s">
        <v>535</v>
      </c>
      <c r="E35" s="379" t="s">
        <v>548</v>
      </c>
      <c r="F35" s="30"/>
      <c r="P35" s="308">
        <v>49</v>
      </c>
      <c r="Q35" s="359"/>
      <c r="R35" s="121"/>
      <c r="S35" s="122"/>
      <c r="T35" s="120"/>
    </row>
    <row r="36" spans="1:21" ht="12" customHeight="1">
      <c r="A36" s="29"/>
      <c r="B36" s="145" t="str">
        <f>UPPER(LEFT(TRIM(Data!B42),1)) &amp; MID(TRIM(Data!B42),2,50)</f>
        <v>Leukemijos</v>
      </c>
      <c r="C36" s="145" t="str">
        <f>Data!C42</f>
        <v>C91-C95</v>
      </c>
      <c r="D36" s="382" t="s">
        <v>536</v>
      </c>
      <c r="E36" s="379" t="s">
        <v>549</v>
      </c>
      <c r="F36" s="30"/>
      <c r="P36" s="308">
        <v>177</v>
      </c>
      <c r="Q36" s="359"/>
      <c r="R36" s="121"/>
      <c r="S36" s="122"/>
      <c r="T36" s="120"/>
    </row>
    <row r="37" spans="1:21" ht="12" customHeight="1">
      <c r="A37" s="29"/>
      <c r="B37" s="123" t="str">
        <f>UPPER(LEFT(TRIM(Data!B43),1)) &amp; MID(TRIM(Data!B43),2,50)</f>
        <v>Kiti limfinio, kraujodaros audinių</v>
      </c>
      <c r="C37" s="175" t="str">
        <f>Data!C43</f>
        <v>C88, C96</v>
      </c>
      <c r="D37" s="382" t="s">
        <v>450</v>
      </c>
      <c r="E37" s="379" t="s">
        <v>451</v>
      </c>
      <c r="F37" s="30"/>
      <c r="P37" s="308">
        <v>2</v>
      </c>
      <c r="Q37" s="359"/>
      <c r="R37" s="121"/>
      <c r="S37" s="122"/>
      <c r="T37" s="120"/>
    </row>
    <row r="38" spans="1:21">
      <c r="A38" s="30"/>
      <c r="B38" s="30"/>
      <c r="C38" s="30"/>
      <c r="D38" s="30"/>
      <c r="E38" s="30"/>
      <c r="F38" s="30"/>
      <c r="R38" s="120"/>
      <c r="S38" s="120"/>
      <c r="T38" s="120"/>
      <c r="U38" s="120"/>
    </row>
    <row r="39" spans="1:21">
      <c r="A39" s="30"/>
      <c r="B39" s="55" t="s">
        <v>632</v>
      </c>
      <c r="C39" s="30"/>
      <c r="D39" s="30"/>
      <c r="E39" s="30"/>
      <c r="F39" s="30"/>
      <c r="R39" s="120"/>
      <c r="S39" s="120"/>
      <c r="T39" s="120"/>
      <c r="U39" s="120"/>
    </row>
  </sheetData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9" tint="0.39997558519241921"/>
  </sheetPr>
  <dimension ref="A1:Q41"/>
  <sheetViews>
    <sheetView zoomScaleNormal="100" workbookViewId="0">
      <selection activeCell="B1" sqref="B1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5" width="18.7109375" customWidth="1"/>
    <col min="6" max="6" width="3.28515625" customWidth="1"/>
    <col min="7" max="11" width="0.85546875" customWidth="1"/>
  </cols>
  <sheetData>
    <row r="1" spans="1:17" ht="15">
      <c r="A1" s="62"/>
      <c r="B1" s="564" t="s">
        <v>402</v>
      </c>
      <c r="C1" s="564"/>
      <c r="D1" s="564"/>
      <c r="E1" s="491"/>
      <c r="F1" s="64"/>
    </row>
    <row r="2" spans="1:17" ht="12.75" customHeight="1">
      <c r="A2" s="62"/>
      <c r="B2" s="485" t="str">
        <f>"Moterų reliatyvus išgyvenamumas  " &amp; GrafikaiSerg!A1 &amp; " metais."</f>
        <v>Moterų reliatyvus išgyvenamumas  2013 metais.</v>
      </c>
      <c r="C2" s="485"/>
      <c r="D2" s="489" t="s">
        <v>656</v>
      </c>
      <c r="E2" s="489"/>
      <c r="F2" s="64"/>
    </row>
    <row r="3" spans="1:17" ht="12.75" customHeight="1">
      <c r="A3" s="62"/>
      <c r="B3" s="66" t="s">
        <v>658</v>
      </c>
      <c r="C3" s="65"/>
      <c r="D3" s="62"/>
      <c r="E3" s="62"/>
      <c r="F3" s="64"/>
    </row>
    <row r="4" spans="1:17" ht="26.1" customHeight="1" thickBot="1">
      <c r="A4" s="62"/>
      <c r="B4" s="172" t="s">
        <v>242</v>
      </c>
      <c r="C4" s="172" t="s">
        <v>243</v>
      </c>
      <c r="D4" s="174" t="s">
        <v>419</v>
      </c>
      <c r="E4" s="174" t="s">
        <v>420</v>
      </c>
      <c r="F4" s="64"/>
      <c r="L4" s="214"/>
      <c r="M4" s="120"/>
      <c r="N4" s="120"/>
      <c r="O4" s="120"/>
      <c r="P4" s="120"/>
      <c r="Q4" s="120"/>
    </row>
    <row r="5" spans="1:17" ht="12" customHeight="1" thickTop="1">
      <c r="A5" s="62"/>
      <c r="B5" s="123" t="str">
        <f>UPPER(LEFT(TRIM(Data!B6),1)) &amp; MID(TRIM(Data!B6),2,50)</f>
        <v>Lūpos</v>
      </c>
      <c r="C5" s="175" t="str">
        <f>Data!C6</f>
        <v>C00</v>
      </c>
      <c r="D5" s="176" t="s">
        <v>607</v>
      </c>
      <c r="E5" s="176" t="s">
        <v>608</v>
      </c>
      <c r="F5" s="64"/>
      <c r="L5" s="308">
        <v>9</v>
      </c>
      <c r="M5" s="121"/>
      <c r="N5" s="122"/>
      <c r="O5" s="120"/>
    </row>
    <row r="6" spans="1:17" ht="12" customHeight="1">
      <c r="A6" s="62"/>
      <c r="B6" s="145" t="str">
        <f>UPPER(LEFT(TRIM(Data!B7),1)) &amp; MID(TRIM(Data!B7),2,50)</f>
        <v>Burnos ertmės ir ryklės</v>
      </c>
      <c r="C6" s="145" t="str">
        <f>Data!C7</f>
        <v>C01-C14</v>
      </c>
      <c r="D6" s="176" t="s">
        <v>609</v>
      </c>
      <c r="E6" s="176" t="s">
        <v>610</v>
      </c>
      <c r="F6" s="64"/>
      <c r="L6" s="308">
        <v>55</v>
      </c>
      <c r="M6" s="121"/>
      <c r="N6" s="122"/>
      <c r="O6" s="120"/>
    </row>
    <row r="7" spans="1:17" ht="12" customHeight="1">
      <c r="A7" s="62"/>
      <c r="B7" s="123" t="str">
        <f>UPPER(LEFT(TRIM(Data!B8),1)) &amp; MID(TRIM(Data!B8),2,50)</f>
        <v>Stemplės</v>
      </c>
      <c r="C7" s="175" t="str">
        <f>Data!C8</f>
        <v>C15</v>
      </c>
      <c r="D7" s="176" t="s">
        <v>611</v>
      </c>
      <c r="E7" s="176" t="s">
        <v>612</v>
      </c>
      <c r="F7" s="64"/>
      <c r="L7" s="308">
        <v>27</v>
      </c>
      <c r="M7" s="121"/>
      <c r="N7" s="122"/>
      <c r="O7" s="120"/>
    </row>
    <row r="8" spans="1:17" ht="12" customHeight="1">
      <c r="A8" s="62"/>
      <c r="B8" s="145" t="str">
        <f>UPPER(LEFT(TRIM(Data!B9),1)) &amp; MID(TRIM(Data!B9),2,50)</f>
        <v>Skrandžio</v>
      </c>
      <c r="C8" s="145" t="str">
        <f>Data!C9</f>
        <v>C16</v>
      </c>
      <c r="D8" s="176" t="s">
        <v>550</v>
      </c>
      <c r="E8" s="176" t="s">
        <v>574</v>
      </c>
      <c r="F8" s="64"/>
      <c r="L8" s="308">
        <v>315</v>
      </c>
      <c r="M8" s="121"/>
      <c r="N8" s="122"/>
      <c r="O8" s="120"/>
    </row>
    <row r="9" spans="1:17" ht="12" customHeight="1">
      <c r="A9" s="62"/>
      <c r="B9" s="123" t="str">
        <f>UPPER(LEFT(TRIM(Data!B10),1)) &amp; MID(TRIM(Data!B10),2,50)</f>
        <v>Gaubtinės žarnos</v>
      </c>
      <c r="C9" s="175" t="str">
        <f>Data!C10</f>
        <v>C18</v>
      </c>
      <c r="D9" s="176" t="s">
        <v>575</v>
      </c>
      <c r="E9" s="176" t="s">
        <v>548</v>
      </c>
      <c r="F9" s="64"/>
      <c r="L9" s="308">
        <v>346</v>
      </c>
      <c r="M9" s="121"/>
      <c r="N9" s="122"/>
      <c r="O9" s="120"/>
    </row>
    <row r="10" spans="1:17" ht="12" customHeight="1">
      <c r="A10" s="62"/>
      <c r="B10" s="145" t="str">
        <f>UPPER(LEFT(TRIM(Data!B11),1)) &amp; MID(TRIM(Data!B11),2,50)</f>
        <v>Tiesiosios žarnos, išangės</v>
      </c>
      <c r="C10" s="145" t="str">
        <f>Data!C11</f>
        <v>C19-C21</v>
      </c>
      <c r="D10" s="176" t="s">
        <v>526</v>
      </c>
      <c r="E10" s="176" t="s">
        <v>576</v>
      </c>
      <c r="F10" s="64"/>
      <c r="L10" s="308">
        <v>279</v>
      </c>
      <c r="M10" s="121"/>
      <c r="N10" s="122"/>
      <c r="O10" s="120"/>
    </row>
    <row r="11" spans="1:17" ht="12" customHeight="1">
      <c r="A11" s="62"/>
      <c r="B11" s="123" t="str">
        <f>UPPER(LEFT(TRIM(Data!B12),1)) &amp; MID(TRIM(Data!B12),2,50)</f>
        <v>Kepenų</v>
      </c>
      <c r="C11" s="175" t="str">
        <f>Data!C12</f>
        <v>C22</v>
      </c>
      <c r="D11" s="176" t="s">
        <v>613</v>
      </c>
      <c r="E11" s="176" t="s">
        <v>614</v>
      </c>
      <c r="F11" s="64"/>
      <c r="L11" s="308">
        <v>34</v>
      </c>
      <c r="M11" s="121"/>
      <c r="N11" s="122"/>
      <c r="O11" s="120"/>
    </row>
    <row r="12" spans="1:17" ht="12" customHeight="1">
      <c r="A12" s="62"/>
      <c r="B12" s="145" t="str">
        <f>UPPER(LEFT(TRIM(Data!B13),1)) &amp; MID(TRIM(Data!B13),2,50)</f>
        <v>Tulžies pūslės, ekstrahepatinių takų</v>
      </c>
      <c r="C12" s="145" t="str">
        <f>Data!C13</f>
        <v>C23, C24</v>
      </c>
      <c r="D12" s="176" t="s">
        <v>577</v>
      </c>
      <c r="E12" s="176" t="s">
        <v>578</v>
      </c>
      <c r="F12" s="64"/>
      <c r="L12" s="308">
        <v>53</v>
      </c>
      <c r="M12" s="121"/>
      <c r="N12" s="122"/>
      <c r="O12" s="120"/>
    </row>
    <row r="13" spans="1:17" ht="12" customHeight="1">
      <c r="A13" s="62"/>
      <c r="B13" s="123" t="str">
        <f>UPPER(LEFT(TRIM(Data!B14),1)) &amp; MID(TRIM(Data!B14),2,50)</f>
        <v>Kasos</v>
      </c>
      <c r="C13" s="175" t="str">
        <f>Data!C14</f>
        <v>C25</v>
      </c>
      <c r="D13" s="176" t="s">
        <v>579</v>
      </c>
      <c r="E13" s="176" t="s">
        <v>580</v>
      </c>
      <c r="F13" s="64"/>
      <c r="L13" s="308">
        <v>162</v>
      </c>
      <c r="M13" s="121"/>
      <c r="N13" s="122"/>
      <c r="O13" s="120"/>
    </row>
    <row r="14" spans="1:17" ht="12" customHeight="1">
      <c r="A14" s="62"/>
      <c r="B14" s="145" t="str">
        <f>UPPER(LEFT(TRIM(Data!B15),1)) &amp; MID(TRIM(Data!B15),2,50)</f>
        <v>Kitų virškinimo sistemos organų</v>
      </c>
      <c r="C14" s="145" t="str">
        <f>Data!C15</f>
        <v>C17, C26, C48</v>
      </c>
      <c r="D14" s="176" t="s">
        <v>615</v>
      </c>
      <c r="E14" s="176" t="s">
        <v>616</v>
      </c>
      <c r="F14" s="64"/>
      <c r="L14" s="308">
        <v>31</v>
      </c>
      <c r="M14" s="121"/>
      <c r="N14" s="122"/>
      <c r="O14" s="120"/>
    </row>
    <row r="15" spans="1:17" ht="12" customHeight="1">
      <c r="A15" s="62"/>
      <c r="B15" s="123" t="str">
        <f>UPPER(LEFT(TRIM(Data!B16),1)) &amp; MID(TRIM(Data!B16),2,50)</f>
        <v>Nosies ertmės, vid.ausies ir ančių</v>
      </c>
      <c r="C15" s="175" t="str">
        <f>Data!C16</f>
        <v>C30, C31</v>
      </c>
      <c r="D15" s="176" t="s">
        <v>617</v>
      </c>
      <c r="E15" s="176" t="s">
        <v>618</v>
      </c>
      <c r="F15" s="64"/>
      <c r="L15" s="308">
        <v>7</v>
      </c>
      <c r="M15" s="121"/>
      <c r="N15" s="122"/>
      <c r="O15" s="120"/>
    </row>
    <row r="16" spans="1:17" ht="12" customHeight="1">
      <c r="A16" s="62"/>
      <c r="B16" s="145" t="str">
        <f>UPPER(LEFT(TRIM(Data!B17),1)) &amp; MID(TRIM(Data!B17),2,50)</f>
        <v>Gerklų</v>
      </c>
      <c r="C16" s="145" t="str">
        <f>Data!C17</f>
        <v>C32</v>
      </c>
      <c r="D16" s="176" t="s">
        <v>619</v>
      </c>
      <c r="E16" s="176" t="s">
        <v>620</v>
      </c>
      <c r="F16" s="64"/>
      <c r="L16" s="308">
        <v>13</v>
      </c>
      <c r="M16" s="121"/>
      <c r="N16" s="122"/>
      <c r="O16" s="120"/>
    </row>
    <row r="17" spans="1:15" ht="12" customHeight="1">
      <c r="A17" s="62"/>
      <c r="B17" s="123" t="str">
        <f>UPPER(LEFT(TRIM(Data!B18),1)) &amp; MID(TRIM(Data!B18),2,50)</f>
        <v>Plaučių, trachėjos, bronchų</v>
      </c>
      <c r="C17" s="175" t="str">
        <f>Data!C18</f>
        <v>C33, C34</v>
      </c>
      <c r="D17" s="176" t="s">
        <v>581</v>
      </c>
      <c r="E17" s="176" t="s">
        <v>582</v>
      </c>
      <c r="F17" s="64"/>
      <c r="L17" s="308">
        <v>179</v>
      </c>
      <c r="M17" s="121"/>
      <c r="N17" s="122"/>
      <c r="O17" s="120"/>
    </row>
    <row r="18" spans="1:15" ht="12" customHeight="1">
      <c r="A18" s="62"/>
      <c r="B18" s="145" t="str">
        <f>UPPER(LEFT(TRIM(Data!B19),1)) &amp; MID(TRIM(Data!B19),2,50)</f>
        <v>Kitų kvėpavimo sistemos organų</v>
      </c>
      <c r="C18" s="145" t="str">
        <f>Data!C19</f>
        <v>C37-C39</v>
      </c>
      <c r="D18" s="176" t="s">
        <v>621</v>
      </c>
      <c r="E18" s="176" t="s">
        <v>622</v>
      </c>
      <c r="F18" s="64"/>
      <c r="L18" s="308">
        <v>6</v>
      </c>
      <c r="M18" s="121"/>
      <c r="N18" s="122"/>
      <c r="O18" s="120"/>
    </row>
    <row r="19" spans="1:15" ht="12" customHeight="1">
      <c r="A19" s="62"/>
      <c r="B19" s="123" t="str">
        <f>UPPER(LEFT(TRIM(Data!B20),1)) &amp; MID(TRIM(Data!B20),2,50)</f>
        <v>Kaulų ir jungiamojo audinio</v>
      </c>
      <c r="C19" s="175" t="str">
        <f>Data!C20</f>
        <v>C40-C41, C45-C47, C49</v>
      </c>
      <c r="D19" s="176" t="s">
        <v>535</v>
      </c>
      <c r="E19" s="176" t="s">
        <v>583</v>
      </c>
      <c r="F19" s="64"/>
      <c r="L19" s="308">
        <v>48</v>
      </c>
      <c r="M19" s="121"/>
      <c r="N19" s="122"/>
      <c r="O19" s="120"/>
    </row>
    <row r="20" spans="1:15" ht="12" customHeight="1">
      <c r="A20" s="62"/>
      <c r="B20" s="145" t="str">
        <f>UPPER(LEFT(TRIM(Data!B21),1)) &amp; MID(TRIM(Data!B21),2,50)</f>
        <v>Odos melanoma</v>
      </c>
      <c r="C20" s="145" t="str">
        <f>Data!C21</f>
        <v>C43</v>
      </c>
      <c r="D20" s="176" t="s">
        <v>584</v>
      </c>
      <c r="E20" s="176" t="s">
        <v>585</v>
      </c>
      <c r="F20" s="64"/>
      <c r="J20" s="211"/>
      <c r="K20" s="211"/>
      <c r="L20" s="308">
        <v>161</v>
      </c>
      <c r="M20" s="121"/>
      <c r="N20" s="122"/>
      <c r="O20" s="120"/>
    </row>
    <row r="21" spans="1:15" ht="12" customHeight="1">
      <c r="A21" s="62"/>
      <c r="B21" s="123" t="str">
        <f>UPPER(LEFT(TRIM(Data!B23),1)) &amp; MID(TRIM(Data!B23),2,50)</f>
        <v>Krūties</v>
      </c>
      <c r="C21" s="175" t="str">
        <f>Data!C23</f>
        <v>C50</v>
      </c>
      <c r="D21" s="176" t="s">
        <v>586</v>
      </c>
      <c r="E21" s="176" t="s">
        <v>507</v>
      </c>
      <c r="F21" s="64"/>
      <c r="J21" s="211"/>
      <c r="K21" s="563" t="s">
        <v>440</v>
      </c>
      <c r="L21" s="308">
        <v>1241</v>
      </c>
      <c r="M21" s="121"/>
      <c r="N21" s="122"/>
      <c r="O21" s="120"/>
    </row>
    <row r="22" spans="1:15" ht="12" customHeight="1">
      <c r="A22" s="62"/>
      <c r="B22" s="145" t="str">
        <f>UPPER(LEFT(TRIM(Data!B24),1)) &amp; MID(TRIM(Data!B24),2,50)</f>
        <v>Vulvos</v>
      </c>
      <c r="C22" s="145" t="str">
        <f>Data!C24</f>
        <v>C51</v>
      </c>
      <c r="D22" s="176" t="s">
        <v>587</v>
      </c>
      <c r="E22" s="176" t="s">
        <v>588</v>
      </c>
      <c r="F22" s="64"/>
      <c r="J22" s="211"/>
      <c r="K22" s="211"/>
      <c r="L22" s="308">
        <v>46</v>
      </c>
      <c r="M22" s="121"/>
      <c r="N22" s="122"/>
      <c r="O22" s="120"/>
    </row>
    <row r="23" spans="1:15" ht="12" customHeight="1">
      <c r="A23" s="62"/>
      <c r="B23" s="123" t="str">
        <f>UPPER(LEFT(TRIM(Data!B25),1)) &amp; MID(TRIM(Data!B25),2,50)</f>
        <v>Gimdos kaklelio</v>
      </c>
      <c r="C23" s="175" t="str">
        <f>Data!C25</f>
        <v>C53</v>
      </c>
      <c r="D23" s="176" t="s">
        <v>589</v>
      </c>
      <c r="E23" s="176" t="s">
        <v>590</v>
      </c>
      <c r="F23" s="64"/>
      <c r="J23" s="211"/>
      <c r="K23" s="211"/>
      <c r="L23" s="308">
        <v>446</v>
      </c>
      <c r="M23" s="121"/>
      <c r="N23" s="122"/>
      <c r="O23" s="120"/>
    </row>
    <row r="24" spans="1:15" ht="12" customHeight="1">
      <c r="A24" s="62"/>
      <c r="B24" s="145" t="str">
        <f>UPPER(LEFT(TRIM(Data!B26),1)) &amp; MID(TRIM(Data!B26),2,50)</f>
        <v>Gimdos kūno</v>
      </c>
      <c r="C24" s="145" t="str">
        <f>Data!C26</f>
        <v>C54, C55</v>
      </c>
      <c r="D24" s="176" t="s">
        <v>591</v>
      </c>
      <c r="E24" s="176" t="s">
        <v>592</v>
      </c>
      <c r="F24" s="64"/>
      <c r="J24" s="211"/>
      <c r="K24" s="211"/>
      <c r="L24" s="308">
        <v>493</v>
      </c>
      <c r="M24" s="121"/>
      <c r="N24" s="122"/>
      <c r="O24" s="120"/>
    </row>
    <row r="25" spans="1:15" ht="12" customHeight="1">
      <c r="A25" s="62"/>
      <c r="B25" s="123" t="str">
        <f>UPPER(LEFT(TRIM(Data!B27),1)) &amp; MID(TRIM(Data!B27),2,50)</f>
        <v>Kiaušidžių</v>
      </c>
      <c r="C25" s="175" t="str">
        <f>Data!C27</f>
        <v>C56</v>
      </c>
      <c r="D25" s="176" t="s">
        <v>593</v>
      </c>
      <c r="E25" s="176" t="s">
        <v>594</v>
      </c>
      <c r="F25" s="64"/>
      <c r="J25" s="211"/>
      <c r="K25" s="211"/>
      <c r="L25" s="308">
        <v>365</v>
      </c>
      <c r="M25" s="121"/>
      <c r="N25" s="122"/>
      <c r="O25" s="120"/>
    </row>
    <row r="26" spans="1:15" ht="12" customHeight="1">
      <c r="A26" s="62"/>
      <c r="B26" s="145" t="str">
        <f>UPPER(LEFT(TRIM(Data!B30),1)) &amp; MID(TRIM(Data!B30),2,50)</f>
        <v>Kitų lyties organų</v>
      </c>
      <c r="C26" s="145" t="s">
        <v>417</v>
      </c>
      <c r="D26" s="176" t="s">
        <v>623</v>
      </c>
      <c r="E26" s="176" t="s">
        <v>624</v>
      </c>
      <c r="F26" s="64"/>
      <c r="J26" s="211"/>
      <c r="K26" s="563" t="s">
        <v>440</v>
      </c>
      <c r="L26" s="308">
        <v>14</v>
      </c>
      <c r="M26" s="121"/>
      <c r="N26" s="122"/>
      <c r="O26" s="120"/>
    </row>
    <row r="27" spans="1:15" ht="12" customHeight="1">
      <c r="A27" s="62"/>
      <c r="B27" s="123" t="str">
        <f>UPPER(LEFT(TRIM(Data!B31),1)) &amp; MID(TRIM(Data!B31),2,50)</f>
        <v>Inkstų</v>
      </c>
      <c r="C27" s="175" t="str">
        <f>Data!C31</f>
        <v>C64</v>
      </c>
      <c r="D27" s="176" t="s">
        <v>589</v>
      </c>
      <c r="E27" s="176" t="s">
        <v>524</v>
      </c>
      <c r="F27" s="64"/>
      <c r="J27" s="211"/>
      <c r="K27" s="211"/>
      <c r="L27" s="308">
        <v>283</v>
      </c>
      <c r="M27" s="121"/>
      <c r="N27" s="122"/>
      <c r="O27" s="120"/>
    </row>
    <row r="28" spans="1:15" ht="12" customHeight="1">
      <c r="A28" s="62"/>
      <c r="B28" s="145" t="str">
        <f>UPPER(LEFT(TRIM(Data!B32),1)) &amp; MID(TRIM(Data!B32),2,50)</f>
        <v>Šlapimo pūslės</v>
      </c>
      <c r="C28" s="145" t="str">
        <f>Data!C32</f>
        <v>C67</v>
      </c>
      <c r="D28" s="176" t="s">
        <v>595</v>
      </c>
      <c r="E28" s="176" t="s">
        <v>596</v>
      </c>
      <c r="F28" s="64"/>
      <c r="J28" s="211"/>
      <c r="K28" s="211"/>
      <c r="L28" s="308">
        <v>83</v>
      </c>
      <c r="M28" s="121"/>
      <c r="N28" s="122"/>
      <c r="O28" s="120"/>
    </row>
    <row r="29" spans="1:15" ht="12" customHeight="1">
      <c r="A29" s="62"/>
      <c r="B29" s="123" t="str">
        <f>UPPER(LEFT(TRIM(Data!B33),1)) &amp; MID(TRIM(Data!B33),2,50)</f>
        <v>Kitų šlapimą išskiriančių organų</v>
      </c>
      <c r="C29" s="175" t="str">
        <f>Data!C33</f>
        <v>C65, C66, C68</v>
      </c>
      <c r="D29" s="176" t="s">
        <v>625</v>
      </c>
      <c r="E29" s="176" t="s">
        <v>557</v>
      </c>
      <c r="F29" s="64"/>
      <c r="L29" s="308">
        <v>14</v>
      </c>
      <c r="M29" s="121"/>
      <c r="N29" s="122"/>
      <c r="O29" s="120"/>
    </row>
    <row r="30" spans="1:15" ht="12" customHeight="1">
      <c r="A30" s="62"/>
      <c r="B30" s="145" t="str">
        <f>UPPER(LEFT(TRIM(Data!B34),1)) &amp; MID(TRIM(Data!B34),2,50)</f>
        <v>Akių</v>
      </c>
      <c r="C30" s="145" t="str">
        <f>Data!C34</f>
        <v>C69</v>
      </c>
      <c r="D30" s="176" t="s">
        <v>450</v>
      </c>
      <c r="E30" s="176" t="s">
        <v>626</v>
      </c>
      <c r="F30" s="64"/>
      <c r="L30" s="308">
        <v>11</v>
      </c>
      <c r="M30" s="121"/>
      <c r="N30" s="122"/>
      <c r="O30" s="120"/>
    </row>
    <row r="31" spans="1:15" ht="12" customHeight="1">
      <c r="A31" s="62"/>
      <c r="B31" s="123" t="str">
        <f>UPPER(LEFT(TRIM(Data!B35),1)) &amp; MID(TRIM(Data!B35),2,50)</f>
        <v>Smegenų</v>
      </c>
      <c r="C31" s="175" t="str">
        <f>Data!C35</f>
        <v>C70-C72</v>
      </c>
      <c r="D31" s="176" t="s">
        <v>597</v>
      </c>
      <c r="E31" s="176" t="s">
        <v>542</v>
      </c>
      <c r="F31" s="64"/>
      <c r="L31" s="308">
        <v>106</v>
      </c>
      <c r="M31" s="121"/>
      <c r="N31" s="122"/>
      <c r="O31" s="120"/>
    </row>
    <row r="32" spans="1:15" ht="12" customHeight="1">
      <c r="A32" s="62"/>
      <c r="B32" s="145" t="str">
        <f>UPPER(LEFT(TRIM(Data!B36),1)) &amp; MID(TRIM(Data!B36),2,50)</f>
        <v>Skydliaukės</v>
      </c>
      <c r="C32" s="145" t="str">
        <f>Data!C36</f>
        <v>C73</v>
      </c>
      <c r="D32" s="176" t="s">
        <v>598</v>
      </c>
      <c r="E32" s="176" t="s">
        <v>599</v>
      </c>
      <c r="F32" s="64"/>
      <c r="L32" s="308">
        <v>262</v>
      </c>
      <c r="M32" s="121"/>
      <c r="N32" s="122"/>
      <c r="O32" s="120"/>
    </row>
    <row r="33" spans="1:17" ht="12" customHeight="1">
      <c r="A33" s="62"/>
      <c r="B33" s="123" t="str">
        <f>UPPER(LEFT(TRIM(Data!B37),1)) &amp; MID(TRIM(Data!B37),2,50)</f>
        <v>Kitų endokrininių liaukų</v>
      </c>
      <c r="C33" s="175" t="str">
        <f>Data!C37</f>
        <v>C74-C75</v>
      </c>
      <c r="D33" s="176" t="s">
        <v>627</v>
      </c>
      <c r="E33" s="176" t="s">
        <v>628</v>
      </c>
      <c r="F33" s="64"/>
      <c r="L33" s="308">
        <v>6</v>
      </c>
      <c r="M33" s="121"/>
      <c r="N33" s="122"/>
      <c r="O33" s="120"/>
    </row>
    <row r="34" spans="1:17" ht="12" customHeight="1">
      <c r="A34" s="62"/>
      <c r="B34" s="145" t="str">
        <f>UPPER(LEFT(TRIM(Data!B38),1)) &amp; MID(TRIM(Data!B38),2,50)</f>
        <v>Nepatikslintos lokalizacijos</v>
      </c>
      <c r="C34" s="145" t="str">
        <f>Data!C38</f>
        <v>C76-C80</v>
      </c>
      <c r="D34" s="176" t="s">
        <v>600</v>
      </c>
      <c r="E34" s="176" t="s">
        <v>599</v>
      </c>
      <c r="F34" s="64"/>
      <c r="L34" s="308">
        <v>134</v>
      </c>
      <c r="M34" s="121"/>
      <c r="N34" s="122"/>
      <c r="O34" s="120"/>
    </row>
    <row r="35" spans="1:17" ht="12" customHeight="1">
      <c r="A35" s="62"/>
      <c r="B35" s="123" t="str">
        <f>UPPER(LEFT(TRIM(Data!B39),1)) &amp; MID(TRIM(Data!B39),2,50)</f>
        <v>Hodžkino limfomos</v>
      </c>
      <c r="C35" s="175" t="str">
        <f>Data!C39</f>
        <v>C81</v>
      </c>
      <c r="D35" s="176" t="s">
        <v>629</v>
      </c>
      <c r="E35" s="176" t="s">
        <v>630</v>
      </c>
      <c r="F35" s="64"/>
      <c r="L35" s="308">
        <v>28</v>
      </c>
      <c r="M35" s="121"/>
      <c r="N35" s="122"/>
      <c r="O35" s="120"/>
    </row>
    <row r="36" spans="1:17" ht="12" customHeight="1">
      <c r="A36" s="62"/>
      <c r="B36" s="145" t="str">
        <f>UPPER(LEFT(TRIM(Data!B40),1)) &amp; MID(TRIM(Data!B40),2,50)</f>
        <v>Ne Hodžkino limfomos</v>
      </c>
      <c r="C36" s="145" t="str">
        <f>Data!C40</f>
        <v>C82-C85</v>
      </c>
      <c r="D36" s="176" t="s">
        <v>601</v>
      </c>
      <c r="E36" s="176" t="s">
        <v>602</v>
      </c>
      <c r="F36" s="64"/>
      <c r="L36" s="308">
        <v>140</v>
      </c>
      <c r="M36" s="121"/>
      <c r="N36" s="122"/>
      <c r="O36" s="120"/>
    </row>
    <row r="37" spans="1:17" ht="12" customHeight="1">
      <c r="A37" s="62"/>
      <c r="B37" s="123" t="str">
        <f>UPPER(LEFT(TRIM(Data!B41),1)) &amp; MID(TRIM(Data!B41),2,50)</f>
        <v>Mielominės ligos</v>
      </c>
      <c r="C37" s="175" t="str">
        <f>Data!C41</f>
        <v>C90</v>
      </c>
      <c r="D37" s="176" t="s">
        <v>603</v>
      </c>
      <c r="E37" s="176" t="s">
        <v>604</v>
      </c>
      <c r="F37" s="64"/>
      <c r="L37" s="308">
        <v>73</v>
      </c>
      <c r="M37" s="121"/>
      <c r="N37" s="122"/>
      <c r="O37" s="120"/>
    </row>
    <row r="38" spans="1:17" ht="12" customHeight="1">
      <c r="A38" s="62"/>
      <c r="B38" s="145" t="str">
        <f>UPPER(LEFT(TRIM(Data!B42),1)) &amp; MID(TRIM(Data!B42),2,50)</f>
        <v>Leukemijos</v>
      </c>
      <c r="C38" s="145" t="str">
        <f>Data!C42</f>
        <v>C91-C95</v>
      </c>
      <c r="D38" s="176" t="s">
        <v>605</v>
      </c>
      <c r="E38" s="176" t="s">
        <v>606</v>
      </c>
      <c r="F38" s="64"/>
      <c r="L38" s="308">
        <v>165</v>
      </c>
      <c r="M38" s="121"/>
      <c r="N38" s="122"/>
      <c r="O38" s="120"/>
    </row>
    <row r="39" spans="1:17" ht="12" customHeight="1">
      <c r="A39" s="62"/>
      <c r="B39" s="123" t="str">
        <f>UPPER(LEFT(TRIM(Data!B43),1)) &amp; MID(TRIM(Data!B43),2,50)</f>
        <v>Kiti limfinio, kraujodaros audinių</v>
      </c>
      <c r="C39" s="175" t="str">
        <f>Data!C43</f>
        <v>C88, C96</v>
      </c>
      <c r="D39" s="176" t="s">
        <v>450</v>
      </c>
      <c r="E39" s="176" t="s">
        <v>631</v>
      </c>
      <c r="F39" s="64"/>
      <c r="L39" s="308">
        <v>3</v>
      </c>
      <c r="M39" s="121"/>
      <c r="N39" s="122"/>
      <c r="O39" s="120"/>
    </row>
    <row r="40" spans="1:17">
      <c r="A40" s="64"/>
      <c r="B40" s="64"/>
      <c r="C40" s="64"/>
      <c r="D40" s="64"/>
      <c r="E40" s="64"/>
      <c r="F40" s="64"/>
      <c r="L40" s="308"/>
      <c r="M40" s="120"/>
      <c r="O40" s="120"/>
      <c r="P40" s="120"/>
      <c r="Q40" s="120"/>
    </row>
    <row r="41" spans="1:17">
      <c r="A41" s="64"/>
      <c r="B41" s="65" t="s">
        <v>632</v>
      </c>
      <c r="C41" s="64"/>
      <c r="D41" s="64"/>
      <c r="E41" s="64"/>
      <c r="F41" s="64"/>
    </row>
  </sheetData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39997558519241921"/>
  </sheetPr>
  <dimension ref="A1:BC41"/>
  <sheetViews>
    <sheetView workbookViewId="0">
      <pane xSplit="1" topLeftCell="Y1" activePane="topRight" state="frozen"/>
      <selection activeCell="DV55" sqref="DV55"/>
      <selection pane="topRight" activeCell="AR6" sqref="AR6"/>
    </sheetView>
  </sheetViews>
  <sheetFormatPr defaultRowHeight="12.75"/>
  <cols>
    <col min="1" max="1" width="6.42578125" bestFit="1" customWidth="1"/>
    <col min="2" max="33" width="7.140625" bestFit="1" customWidth="1"/>
    <col min="34" max="35" width="8" bestFit="1" customWidth="1"/>
    <col min="36" max="36" width="9" bestFit="1" customWidth="1"/>
    <col min="37" max="42" width="8" bestFit="1" customWidth="1"/>
    <col min="43" max="54" width="7.140625" bestFit="1" customWidth="1"/>
  </cols>
  <sheetData>
    <row r="1" spans="1:55" ht="15">
      <c r="A1" s="35"/>
      <c r="B1" s="36" t="s">
        <v>268</v>
      </c>
      <c r="C1" s="36" t="s">
        <v>269</v>
      </c>
      <c r="D1" s="36" t="s">
        <v>270</v>
      </c>
      <c r="E1" s="36" t="s">
        <v>271</v>
      </c>
      <c r="F1" s="36" t="s">
        <v>272</v>
      </c>
      <c r="G1" s="36" t="s">
        <v>273</v>
      </c>
      <c r="H1" s="36" t="s">
        <v>274</v>
      </c>
      <c r="I1" s="36" t="s">
        <v>275</v>
      </c>
      <c r="J1" s="36" t="s">
        <v>276</v>
      </c>
      <c r="K1" s="36" t="s">
        <v>277</v>
      </c>
      <c r="L1" s="36" t="s">
        <v>278</v>
      </c>
      <c r="M1" s="37" t="s">
        <v>279</v>
      </c>
      <c r="N1" s="37" t="s">
        <v>280</v>
      </c>
      <c r="O1" s="37" t="s">
        <v>281</v>
      </c>
      <c r="P1" s="37" t="s">
        <v>282</v>
      </c>
      <c r="Q1" s="38" t="s">
        <v>283</v>
      </c>
      <c r="R1" s="37" t="s">
        <v>284</v>
      </c>
      <c r="S1" s="37" t="s">
        <v>285</v>
      </c>
      <c r="T1" s="37" t="s">
        <v>286</v>
      </c>
      <c r="U1" s="37" t="s">
        <v>287</v>
      </c>
      <c r="V1" s="37" t="s">
        <v>288</v>
      </c>
      <c r="W1" s="37" t="s">
        <v>289</v>
      </c>
      <c r="X1" s="37" t="s">
        <v>290</v>
      </c>
      <c r="Y1" s="37" t="s">
        <v>291</v>
      </c>
      <c r="Z1" s="37" t="s">
        <v>292</v>
      </c>
      <c r="AA1" s="37" t="s">
        <v>293</v>
      </c>
      <c r="AB1" s="37" t="s">
        <v>294</v>
      </c>
      <c r="AC1" s="37" t="s">
        <v>295</v>
      </c>
      <c r="AD1" s="37" t="s">
        <v>296</v>
      </c>
      <c r="AE1" s="37" t="s">
        <v>297</v>
      </c>
      <c r="AF1" s="35" t="s">
        <v>298</v>
      </c>
      <c r="AG1" s="35" t="s">
        <v>299</v>
      </c>
      <c r="AH1" s="35" t="s">
        <v>359</v>
      </c>
      <c r="AI1" s="35" t="s">
        <v>360</v>
      </c>
      <c r="AJ1" s="35" t="s">
        <v>361</v>
      </c>
      <c r="AK1" s="362" t="s">
        <v>362</v>
      </c>
      <c r="AL1" s="362" t="s">
        <v>363</v>
      </c>
      <c r="AM1" s="362" t="s">
        <v>364</v>
      </c>
      <c r="AN1" s="362" t="s">
        <v>365</v>
      </c>
      <c r="AO1" s="362" t="s">
        <v>366</v>
      </c>
      <c r="AP1" s="362" t="s">
        <v>367</v>
      </c>
      <c r="AQ1" s="35" t="s">
        <v>368</v>
      </c>
      <c r="AR1" s="35" t="s">
        <v>369</v>
      </c>
      <c r="AS1" s="35" t="s">
        <v>370</v>
      </c>
      <c r="AT1" s="35" t="s">
        <v>371</v>
      </c>
      <c r="AU1" s="35" t="s">
        <v>372</v>
      </c>
      <c r="AV1" s="35" t="s">
        <v>373</v>
      </c>
      <c r="AW1" s="35" t="s">
        <v>374</v>
      </c>
      <c r="AX1" s="35" t="s">
        <v>375</v>
      </c>
      <c r="AY1" s="35" t="s">
        <v>376</v>
      </c>
      <c r="AZ1" s="35" t="s">
        <v>377</v>
      </c>
      <c r="BA1" s="35" t="s">
        <v>378</v>
      </c>
      <c r="BB1" s="35" t="s">
        <v>379</v>
      </c>
      <c r="BC1" s="35"/>
    </row>
    <row r="2" spans="1:55">
      <c r="A2" s="39" t="s">
        <v>300</v>
      </c>
      <c r="B2" s="40">
        <v>131689</v>
      </c>
      <c r="C2" s="40">
        <v>130513</v>
      </c>
      <c r="D2" s="40">
        <v>132187</v>
      </c>
      <c r="E2" s="40">
        <v>133787</v>
      </c>
      <c r="F2" s="40">
        <v>134384</v>
      </c>
      <c r="G2" s="40">
        <v>136546</v>
      </c>
      <c r="H2" s="40">
        <v>139483</v>
      </c>
      <c r="I2" s="40">
        <v>142298</v>
      </c>
      <c r="J2" s="40">
        <v>145516</v>
      </c>
      <c r="K2" s="40">
        <v>149183</v>
      </c>
      <c r="L2" s="40">
        <v>150799</v>
      </c>
      <c r="M2" s="41">
        <v>150617</v>
      </c>
      <c r="N2" s="41">
        <v>148814</v>
      </c>
      <c r="O2" s="41">
        <v>147085</v>
      </c>
      <c r="P2" s="41">
        <v>143802</v>
      </c>
      <c r="Q2" s="41">
        <v>140232</v>
      </c>
      <c r="R2" s="41">
        <v>134845</v>
      </c>
      <c r="S2" s="41">
        <v>127701</v>
      </c>
      <c r="T2" s="41">
        <v>120033</v>
      </c>
      <c r="U2" s="41">
        <v>111826</v>
      </c>
      <c r="V2" s="41">
        <v>104175</v>
      </c>
      <c r="W2" s="41">
        <v>99348</v>
      </c>
      <c r="X2" s="41">
        <v>96699</v>
      </c>
      <c r="Y2" s="42">
        <v>91119</v>
      </c>
      <c r="Z2" s="42">
        <v>87942</v>
      </c>
      <c r="AA2" s="42">
        <v>84468</v>
      </c>
      <c r="AB2" s="42">
        <v>81183</v>
      </c>
      <c r="AC2" s="42">
        <v>78571</v>
      </c>
      <c r="AD2" s="40">
        <v>77556</v>
      </c>
      <c r="AE2" s="40">
        <v>78012</v>
      </c>
      <c r="AF2" s="27">
        <v>79685</v>
      </c>
      <c r="AG2" s="27">
        <v>82395</v>
      </c>
      <c r="AH2" s="292">
        <v>84750</v>
      </c>
      <c r="AI2" s="33">
        <v>86409</v>
      </c>
      <c r="AJ2" s="301">
        <v>76990</v>
      </c>
      <c r="AK2" s="363">
        <v>77450</v>
      </c>
      <c r="AL2" s="363">
        <v>77249</v>
      </c>
      <c r="AM2" s="364">
        <v>77411</v>
      </c>
      <c r="AN2" s="364">
        <v>77507</v>
      </c>
      <c r="AO2" s="364">
        <v>76849</v>
      </c>
      <c r="AP2" s="364">
        <v>76159</v>
      </c>
    </row>
    <row r="3" spans="1:55">
      <c r="A3" s="39" t="s">
        <v>301</v>
      </c>
      <c r="B3" s="40">
        <v>139284</v>
      </c>
      <c r="C3" s="40">
        <v>138175</v>
      </c>
      <c r="D3" s="40">
        <v>137947</v>
      </c>
      <c r="E3" s="40">
        <v>136594</v>
      </c>
      <c r="F3" s="40">
        <v>134240</v>
      </c>
      <c r="G3" s="40">
        <v>133266</v>
      </c>
      <c r="H3" s="40">
        <v>133212</v>
      </c>
      <c r="I3" s="40">
        <v>133845</v>
      </c>
      <c r="J3" s="40">
        <v>134632</v>
      </c>
      <c r="K3" s="40">
        <v>135502</v>
      </c>
      <c r="L3" s="40">
        <v>137771</v>
      </c>
      <c r="M3" s="41">
        <v>139411</v>
      </c>
      <c r="N3" s="41">
        <v>141882</v>
      </c>
      <c r="O3" s="41">
        <v>143708</v>
      </c>
      <c r="P3" s="41">
        <v>147043</v>
      </c>
      <c r="Q3" s="41">
        <v>148045</v>
      </c>
      <c r="R3" s="41">
        <v>145569</v>
      </c>
      <c r="S3" s="41">
        <v>143129</v>
      </c>
      <c r="T3" s="41">
        <v>141301</v>
      </c>
      <c r="U3" s="41">
        <v>138265</v>
      </c>
      <c r="V3" s="41">
        <v>135836</v>
      </c>
      <c r="W3" s="41">
        <v>131807</v>
      </c>
      <c r="X3" s="41">
        <v>125674</v>
      </c>
      <c r="Y3" s="42">
        <v>115144</v>
      </c>
      <c r="Z3" s="42">
        <v>107047</v>
      </c>
      <c r="AA3" s="42">
        <v>100870</v>
      </c>
      <c r="AB3" s="42">
        <v>96934</v>
      </c>
      <c r="AC3" s="42">
        <v>93701</v>
      </c>
      <c r="AD3" s="40">
        <v>90119</v>
      </c>
      <c r="AE3" s="40">
        <v>86417</v>
      </c>
      <c r="AF3" s="27">
        <v>82973</v>
      </c>
      <c r="AG3" s="27">
        <v>79779</v>
      </c>
      <c r="AH3" s="292">
        <v>76712</v>
      </c>
      <c r="AI3" s="33">
        <v>74832</v>
      </c>
      <c r="AJ3" s="301">
        <v>69031</v>
      </c>
      <c r="AK3" s="363">
        <v>69004</v>
      </c>
      <c r="AL3" s="363">
        <v>69932</v>
      </c>
      <c r="AM3" s="364">
        <v>71269</v>
      </c>
      <c r="AN3" s="364">
        <v>72451</v>
      </c>
      <c r="AO3" s="364">
        <v>73539</v>
      </c>
      <c r="AP3" s="364">
        <v>74063</v>
      </c>
    </row>
    <row r="4" spans="1:55">
      <c r="A4" s="39" t="s">
        <v>302</v>
      </c>
      <c r="B4" s="40">
        <v>138704</v>
      </c>
      <c r="C4" s="40">
        <v>138153</v>
      </c>
      <c r="D4" s="40">
        <v>137712</v>
      </c>
      <c r="E4" s="40">
        <v>139032</v>
      </c>
      <c r="F4" s="40">
        <v>142269</v>
      </c>
      <c r="G4" s="40">
        <v>142998</v>
      </c>
      <c r="H4" s="40">
        <v>141744</v>
      </c>
      <c r="I4" s="40">
        <v>139379</v>
      </c>
      <c r="J4" s="40">
        <v>136783</v>
      </c>
      <c r="K4" s="40">
        <v>134640</v>
      </c>
      <c r="L4" s="40">
        <v>133388</v>
      </c>
      <c r="M4" s="41">
        <v>133157</v>
      </c>
      <c r="N4" s="41">
        <v>133254</v>
      </c>
      <c r="O4" s="41">
        <v>133581</v>
      </c>
      <c r="P4" s="41">
        <v>133109</v>
      </c>
      <c r="Q4" s="41">
        <v>132767</v>
      </c>
      <c r="R4" s="41">
        <v>134517</v>
      </c>
      <c r="S4" s="41">
        <v>136206</v>
      </c>
      <c r="T4" s="41">
        <v>137883</v>
      </c>
      <c r="U4" s="41">
        <v>141197</v>
      </c>
      <c r="V4" s="41">
        <v>143146</v>
      </c>
      <c r="W4" s="41">
        <v>142025</v>
      </c>
      <c r="X4" s="41">
        <v>140714</v>
      </c>
      <c r="Y4" s="42">
        <v>138516</v>
      </c>
      <c r="Z4" s="42">
        <v>136193</v>
      </c>
      <c r="AA4" s="42">
        <v>133112</v>
      </c>
      <c r="AB4" s="42">
        <v>128086</v>
      </c>
      <c r="AC4" s="42">
        <v>121430</v>
      </c>
      <c r="AD4" s="40">
        <v>113914</v>
      </c>
      <c r="AE4" s="40">
        <v>106035</v>
      </c>
      <c r="AF4" s="27">
        <v>99395</v>
      </c>
      <c r="AG4" s="27">
        <v>95329</v>
      </c>
      <c r="AH4" s="292">
        <v>91644</v>
      </c>
      <c r="AI4" s="33">
        <v>87294</v>
      </c>
      <c r="AJ4" s="301">
        <v>80024</v>
      </c>
      <c r="AK4" s="363">
        <v>75796</v>
      </c>
      <c r="AL4" s="363">
        <v>72002</v>
      </c>
      <c r="AM4" s="364">
        <v>68846</v>
      </c>
      <c r="AN4" s="364">
        <v>66827</v>
      </c>
      <c r="AO4" s="364">
        <v>65887</v>
      </c>
      <c r="AP4" s="364">
        <v>65878</v>
      </c>
    </row>
    <row r="5" spans="1:55">
      <c r="A5" s="39" t="s">
        <v>303</v>
      </c>
      <c r="B5" s="40">
        <v>155199</v>
      </c>
      <c r="C5" s="40">
        <v>154891</v>
      </c>
      <c r="D5" s="40">
        <v>148766</v>
      </c>
      <c r="E5" s="40">
        <v>147251</v>
      </c>
      <c r="F5" s="40">
        <v>144185</v>
      </c>
      <c r="G5" s="40">
        <v>141939</v>
      </c>
      <c r="H5" s="40">
        <v>142305</v>
      </c>
      <c r="I5" s="40">
        <v>142741</v>
      </c>
      <c r="J5" s="40">
        <v>143935</v>
      </c>
      <c r="K5" s="40">
        <v>145026</v>
      </c>
      <c r="L5" s="40">
        <v>145335</v>
      </c>
      <c r="M5" s="41">
        <v>145358</v>
      </c>
      <c r="N5" s="41">
        <v>142451</v>
      </c>
      <c r="O5" s="41">
        <v>137971</v>
      </c>
      <c r="P5" s="41">
        <v>135002</v>
      </c>
      <c r="Q5" s="41">
        <v>131537</v>
      </c>
      <c r="R5" s="41">
        <v>129826</v>
      </c>
      <c r="S5" s="41">
        <v>128542</v>
      </c>
      <c r="T5" s="41">
        <v>128079</v>
      </c>
      <c r="U5" s="41">
        <v>127145</v>
      </c>
      <c r="V5" s="41">
        <v>127491</v>
      </c>
      <c r="W5" s="41">
        <v>130080</v>
      </c>
      <c r="X5" s="41">
        <v>132781</v>
      </c>
      <c r="Y5" s="42">
        <v>136538</v>
      </c>
      <c r="Z5" s="42">
        <v>140686</v>
      </c>
      <c r="AA5" s="42">
        <v>141389</v>
      </c>
      <c r="AB5" s="42">
        <v>140302</v>
      </c>
      <c r="AC5" s="42">
        <v>139080</v>
      </c>
      <c r="AD5" s="40">
        <v>136998</v>
      </c>
      <c r="AE5" s="40">
        <v>134401</v>
      </c>
      <c r="AF5" s="27">
        <v>131324</v>
      </c>
      <c r="AG5" s="27">
        <v>126232</v>
      </c>
      <c r="AH5" s="292">
        <v>118623</v>
      </c>
      <c r="AI5" s="33">
        <v>110176</v>
      </c>
      <c r="AJ5" s="301">
        <v>99735</v>
      </c>
      <c r="AK5" s="363">
        <v>93604</v>
      </c>
      <c r="AL5" s="363">
        <v>89285</v>
      </c>
      <c r="AM5" s="364">
        <v>85448</v>
      </c>
      <c r="AN5" s="364">
        <v>81035</v>
      </c>
      <c r="AO5" s="364">
        <v>76378</v>
      </c>
      <c r="AP5" s="364">
        <v>72171</v>
      </c>
    </row>
    <row r="6" spans="1:55">
      <c r="A6" s="39" t="s">
        <v>304</v>
      </c>
      <c r="B6" s="40">
        <v>134427</v>
      </c>
      <c r="C6" s="40">
        <v>138589</v>
      </c>
      <c r="D6" s="40">
        <v>142873</v>
      </c>
      <c r="E6" s="40">
        <v>146824</v>
      </c>
      <c r="F6" s="40">
        <v>151795</v>
      </c>
      <c r="G6" s="40">
        <v>152980</v>
      </c>
      <c r="H6" s="40">
        <v>150473</v>
      </c>
      <c r="I6" s="40">
        <v>148188</v>
      </c>
      <c r="J6" s="40">
        <v>145729</v>
      </c>
      <c r="K6" s="40">
        <v>143986</v>
      </c>
      <c r="L6" s="40">
        <v>143847</v>
      </c>
      <c r="M6" s="41">
        <v>143617</v>
      </c>
      <c r="N6" s="41">
        <v>143222</v>
      </c>
      <c r="O6" s="41">
        <v>144801</v>
      </c>
      <c r="P6" s="41">
        <v>144958</v>
      </c>
      <c r="Q6" s="41">
        <v>144602</v>
      </c>
      <c r="R6" s="41">
        <v>143642</v>
      </c>
      <c r="S6" s="41">
        <v>138577</v>
      </c>
      <c r="T6" s="41">
        <v>132385</v>
      </c>
      <c r="U6" s="41">
        <v>127740</v>
      </c>
      <c r="V6" s="41">
        <v>123260</v>
      </c>
      <c r="W6" s="41">
        <v>120542</v>
      </c>
      <c r="X6" s="41">
        <v>119383</v>
      </c>
      <c r="Y6" s="42">
        <v>119120</v>
      </c>
      <c r="Z6" s="42">
        <v>121864</v>
      </c>
      <c r="AA6" s="42">
        <v>124841</v>
      </c>
      <c r="AB6" s="42">
        <v>127662</v>
      </c>
      <c r="AC6" s="42">
        <v>130233</v>
      </c>
      <c r="AD6" s="40">
        <v>133973</v>
      </c>
      <c r="AE6" s="40">
        <v>137683</v>
      </c>
      <c r="AF6" s="27">
        <v>138913</v>
      </c>
      <c r="AG6" s="27">
        <v>137593</v>
      </c>
      <c r="AH6" s="292">
        <v>133182</v>
      </c>
      <c r="AI6" s="33">
        <v>127001</v>
      </c>
      <c r="AJ6" s="301">
        <v>110229</v>
      </c>
      <c r="AK6" s="363">
        <v>110043</v>
      </c>
      <c r="AL6" s="363">
        <v>108219</v>
      </c>
      <c r="AM6" s="364">
        <v>103455</v>
      </c>
      <c r="AN6" s="364">
        <v>96853</v>
      </c>
      <c r="AO6" s="364">
        <v>89369</v>
      </c>
      <c r="AP6" s="364">
        <v>83286</v>
      </c>
    </row>
    <row r="7" spans="1:55">
      <c r="A7" s="39" t="s">
        <v>305</v>
      </c>
      <c r="B7" s="40">
        <v>122359</v>
      </c>
      <c r="C7" s="40">
        <v>122601</v>
      </c>
      <c r="D7" s="40">
        <v>123687</v>
      </c>
      <c r="E7" s="40">
        <v>124593</v>
      </c>
      <c r="F7" s="40">
        <v>126931</v>
      </c>
      <c r="G7" s="40">
        <v>132500</v>
      </c>
      <c r="H7" s="40">
        <v>139275</v>
      </c>
      <c r="I7" s="40">
        <v>145125</v>
      </c>
      <c r="J7" s="40">
        <v>150983</v>
      </c>
      <c r="K7" s="40">
        <v>155503</v>
      </c>
      <c r="L7" s="40">
        <v>157345</v>
      </c>
      <c r="M7" s="41">
        <v>157465</v>
      </c>
      <c r="N7" s="41">
        <v>156652</v>
      </c>
      <c r="O7" s="41">
        <v>152730</v>
      </c>
      <c r="P7" s="41">
        <v>148762</v>
      </c>
      <c r="Q7" s="41">
        <v>145060</v>
      </c>
      <c r="R7" s="41">
        <v>141023</v>
      </c>
      <c r="S7" s="41">
        <v>138731</v>
      </c>
      <c r="T7" s="41">
        <v>138489</v>
      </c>
      <c r="U7" s="41">
        <v>136483</v>
      </c>
      <c r="V7" s="41">
        <v>134216</v>
      </c>
      <c r="W7" s="41">
        <v>131123</v>
      </c>
      <c r="X7" s="41">
        <v>125562</v>
      </c>
      <c r="Y7" s="42">
        <v>119109</v>
      </c>
      <c r="Z7" s="42">
        <v>116209</v>
      </c>
      <c r="AA7" s="42">
        <v>114649</v>
      </c>
      <c r="AB7" s="42">
        <v>113937</v>
      </c>
      <c r="AC7" s="42">
        <v>113898</v>
      </c>
      <c r="AD7" s="40">
        <v>114921</v>
      </c>
      <c r="AE7" s="40">
        <v>116592</v>
      </c>
      <c r="AF7" s="27">
        <v>119267</v>
      </c>
      <c r="AG7" s="27">
        <v>122511</v>
      </c>
      <c r="AH7" s="292">
        <v>121939</v>
      </c>
      <c r="AI7" s="33">
        <v>120249</v>
      </c>
      <c r="AJ7" s="301">
        <v>98582</v>
      </c>
      <c r="AK7" s="363">
        <v>99495</v>
      </c>
      <c r="AL7" s="363">
        <v>99919</v>
      </c>
      <c r="AM7" s="364">
        <v>100471</v>
      </c>
      <c r="AN7" s="364">
        <v>100254</v>
      </c>
      <c r="AO7" s="364">
        <v>98882</v>
      </c>
      <c r="AP7" s="364">
        <v>97886</v>
      </c>
    </row>
    <row r="8" spans="1:55">
      <c r="A8" s="39" t="s">
        <v>306</v>
      </c>
      <c r="B8" s="40">
        <v>105596</v>
      </c>
      <c r="C8" s="40">
        <v>106365</v>
      </c>
      <c r="D8" s="40">
        <v>111848</v>
      </c>
      <c r="E8" s="40">
        <v>114676</v>
      </c>
      <c r="F8" s="40">
        <v>117623</v>
      </c>
      <c r="G8" s="40">
        <v>119595</v>
      </c>
      <c r="H8" s="40">
        <v>120797</v>
      </c>
      <c r="I8" s="40">
        <v>122413</v>
      </c>
      <c r="J8" s="40">
        <v>124516</v>
      </c>
      <c r="K8" s="40">
        <v>128021</v>
      </c>
      <c r="L8" s="40">
        <v>134101</v>
      </c>
      <c r="M8" s="41">
        <v>137975</v>
      </c>
      <c r="N8" s="41">
        <v>143073</v>
      </c>
      <c r="O8" s="41">
        <v>148057</v>
      </c>
      <c r="P8" s="41">
        <v>152745</v>
      </c>
      <c r="Q8" s="41">
        <v>153104</v>
      </c>
      <c r="R8" s="41">
        <v>150725</v>
      </c>
      <c r="S8" s="41">
        <v>148538</v>
      </c>
      <c r="T8" s="41">
        <v>143757</v>
      </c>
      <c r="U8" s="41">
        <v>138967</v>
      </c>
      <c r="V8" s="41">
        <v>134916</v>
      </c>
      <c r="W8" s="41">
        <v>130351</v>
      </c>
      <c r="X8" s="41">
        <v>127451</v>
      </c>
      <c r="Y8" s="42">
        <v>126013</v>
      </c>
      <c r="Z8" s="42">
        <v>124929</v>
      </c>
      <c r="AA8" s="42">
        <v>124028</v>
      </c>
      <c r="AB8" s="42">
        <v>121916</v>
      </c>
      <c r="AC8" s="42">
        <v>118658</v>
      </c>
      <c r="AD8" s="40">
        <v>115356</v>
      </c>
      <c r="AE8" s="40">
        <v>112497</v>
      </c>
      <c r="AF8" s="27">
        <v>110606</v>
      </c>
      <c r="AG8" s="27">
        <v>109666</v>
      </c>
      <c r="AH8" s="292">
        <v>107082</v>
      </c>
      <c r="AI8" s="33">
        <v>104308</v>
      </c>
      <c r="AJ8" s="301">
        <v>89229</v>
      </c>
      <c r="AK8" s="363">
        <v>88515</v>
      </c>
      <c r="AL8" s="363">
        <v>89381</v>
      </c>
      <c r="AM8" s="364">
        <v>90329</v>
      </c>
      <c r="AN8" s="364">
        <v>91092</v>
      </c>
      <c r="AO8" s="364">
        <v>92555</v>
      </c>
      <c r="AP8" s="364">
        <v>94487</v>
      </c>
    </row>
    <row r="9" spans="1:55">
      <c r="A9" s="39" t="s">
        <v>307</v>
      </c>
      <c r="B9" s="40">
        <v>115754</v>
      </c>
      <c r="C9" s="40">
        <v>114105</v>
      </c>
      <c r="D9" s="40">
        <v>108874</v>
      </c>
      <c r="E9" s="40">
        <v>105106</v>
      </c>
      <c r="F9" s="40">
        <v>101487</v>
      </c>
      <c r="G9" s="40">
        <v>100748</v>
      </c>
      <c r="H9" s="40">
        <v>104287</v>
      </c>
      <c r="I9" s="40">
        <v>108997</v>
      </c>
      <c r="J9" s="40">
        <v>112887</v>
      </c>
      <c r="K9" s="40">
        <v>117027</v>
      </c>
      <c r="L9" s="40">
        <v>119862</v>
      </c>
      <c r="M9" s="41">
        <v>120021</v>
      </c>
      <c r="N9" s="41">
        <v>120510</v>
      </c>
      <c r="O9" s="41">
        <v>121083</v>
      </c>
      <c r="P9" s="41">
        <v>122368</v>
      </c>
      <c r="Q9" s="41">
        <v>124919</v>
      </c>
      <c r="R9" s="41">
        <v>129807</v>
      </c>
      <c r="S9" s="41">
        <v>133359</v>
      </c>
      <c r="T9" s="41">
        <v>137300</v>
      </c>
      <c r="U9" s="41">
        <v>140927</v>
      </c>
      <c r="V9" s="41">
        <v>141406</v>
      </c>
      <c r="W9" s="41">
        <v>139519</v>
      </c>
      <c r="X9" s="41">
        <v>137654</v>
      </c>
      <c r="Y9" s="42">
        <v>132721</v>
      </c>
      <c r="Z9" s="42">
        <v>128491</v>
      </c>
      <c r="AA9" s="42">
        <v>125521</v>
      </c>
      <c r="AB9" s="42">
        <v>123574</v>
      </c>
      <c r="AC9" s="42">
        <v>122660</v>
      </c>
      <c r="AD9" s="40">
        <v>121992</v>
      </c>
      <c r="AE9" s="40">
        <v>121482</v>
      </c>
      <c r="AF9" s="27">
        <v>120051</v>
      </c>
      <c r="AG9" s="27">
        <v>117120</v>
      </c>
      <c r="AH9" s="292">
        <v>111838</v>
      </c>
      <c r="AI9" s="33">
        <v>105960</v>
      </c>
      <c r="AJ9" s="301">
        <v>93818</v>
      </c>
      <c r="AK9" s="363">
        <v>91233</v>
      </c>
      <c r="AL9" s="363">
        <v>89203</v>
      </c>
      <c r="AM9" s="364">
        <v>87159</v>
      </c>
      <c r="AN9" s="364">
        <v>84845</v>
      </c>
      <c r="AO9" s="364">
        <v>83296</v>
      </c>
      <c r="AP9" s="364">
        <v>84162</v>
      </c>
    </row>
    <row r="10" spans="1:55">
      <c r="A10" s="39" t="s">
        <v>308</v>
      </c>
      <c r="B10" s="40">
        <v>110705</v>
      </c>
      <c r="C10" s="40">
        <v>111581</v>
      </c>
      <c r="D10" s="40">
        <v>111234</v>
      </c>
      <c r="E10" s="40">
        <v>110933</v>
      </c>
      <c r="F10" s="40">
        <v>110958</v>
      </c>
      <c r="G10" s="40">
        <v>110252</v>
      </c>
      <c r="H10" s="40">
        <v>107508</v>
      </c>
      <c r="I10" s="40">
        <v>105156</v>
      </c>
      <c r="J10" s="40">
        <v>103157</v>
      </c>
      <c r="K10" s="40">
        <v>100353</v>
      </c>
      <c r="L10" s="40">
        <v>99844</v>
      </c>
      <c r="M10" s="41">
        <v>100794</v>
      </c>
      <c r="N10" s="41">
        <v>105683</v>
      </c>
      <c r="O10" s="41">
        <v>107651</v>
      </c>
      <c r="P10" s="41">
        <v>110498</v>
      </c>
      <c r="Q10" s="41">
        <v>112163</v>
      </c>
      <c r="R10" s="41">
        <v>111324</v>
      </c>
      <c r="S10" s="41">
        <v>110886</v>
      </c>
      <c r="T10" s="41">
        <v>110743</v>
      </c>
      <c r="U10" s="41">
        <v>111632</v>
      </c>
      <c r="V10" s="41">
        <v>114182</v>
      </c>
      <c r="W10" s="41">
        <v>119125</v>
      </c>
      <c r="X10" s="41">
        <v>122545</v>
      </c>
      <c r="Y10" s="42">
        <v>129145</v>
      </c>
      <c r="Z10" s="42">
        <v>131903</v>
      </c>
      <c r="AA10" s="42">
        <v>132515</v>
      </c>
      <c r="AB10" s="42">
        <v>132120</v>
      </c>
      <c r="AC10" s="42">
        <v>130812</v>
      </c>
      <c r="AD10" s="40">
        <v>127707</v>
      </c>
      <c r="AE10" s="40">
        <v>124128</v>
      </c>
      <c r="AF10" s="27">
        <v>121285</v>
      </c>
      <c r="AG10" s="27">
        <v>118973</v>
      </c>
      <c r="AH10" s="292">
        <v>116057</v>
      </c>
      <c r="AI10" s="33">
        <v>113564</v>
      </c>
      <c r="AJ10" s="301">
        <v>103082</v>
      </c>
      <c r="AK10" s="363">
        <v>101097</v>
      </c>
      <c r="AL10" s="363">
        <v>98505</v>
      </c>
      <c r="AM10" s="364">
        <v>95371</v>
      </c>
      <c r="AN10" s="364">
        <v>91787</v>
      </c>
      <c r="AO10" s="364">
        <v>88936</v>
      </c>
      <c r="AP10" s="364">
        <v>87514</v>
      </c>
    </row>
    <row r="11" spans="1:55">
      <c r="A11" s="39" t="s">
        <v>309</v>
      </c>
      <c r="B11" s="40">
        <v>107906</v>
      </c>
      <c r="C11" s="40">
        <v>107206</v>
      </c>
      <c r="D11" s="40">
        <v>105553</v>
      </c>
      <c r="E11" s="40">
        <v>105519</v>
      </c>
      <c r="F11" s="40">
        <v>105673</v>
      </c>
      <c r="G11" s="40">
        <v>105352</v>
      </c>
      <c r="H11" s="40">
        <v>105801</v>
      </c>
      <c r="I11" s="40">
        <v>106279</v>
      </c>
      <c r="J11" s="40">
        <v>106407</v>
      </c>
      <c r="K11" s="40">
        <v>107433</v>
      </c>
      <c r="L11" s="40">
        <v>107830</v>
      </c>
      <c r="M11" s="41">
        <v>106998</v>
      </c>
      <c r="N11" s="41">
        <v>103321</v>
      </c>
      <c r="O11" s="41">
        <v>102159</v>
      </c>
      <c r="P11" s="41">
        <v>97309</v>
      </c>
      <c r="Q11" s="41">
        <v>93484</v>
      </c>
      <c r="R11" s="41">
        <v>93266</v>
      </c>
      <c r="S11" s="41">
        <v>96694</v>
      </c>
      <c r="T11" s="41">
        <v>97755</v>
      </c>
      <c r="U11" s="41">
        <v>99864</v>
      </c>
      <c r="V11" s="41">
        <v>102062</v>
      </c>
      <c r="W11" s="41">
        <v>101870</v>
      </c>
      <c r="X11" s="41">
        <v>102059</v>
      </c>
      <c r="Y11" s="42">
        <v>103898</v>
      </c>
      <c r="Z11" s="42">
        <v>105276</v>
      </c>
      <c r="AA11" s="42">
        <v>109308</v>
      </c>
      <c r="AB11" s="42">
        <v>114284</v>
      </c>
      <c r="AC11" s="42">
        <v>118387</v>
      </c>
      <c r="AD11" s="40">
        <v>122108</v>
      </c>
      <c r="AE11" s="40">
        <v>125204</v>
      </c>
      <c r="AF11" s="27">
        <v>126530</v>
      </c>
      <c r="AG11" s="27">
        <v>125649</v>
      </c>
      <c r="AH11" s="292">
        <v>122560</v>
      </c>
      <c r="AI11" s="33">
        <v>118502</v>
      </c>
      <c r="AJ11" s="301">
        <v>105353</v>
      </c>
      <c r="AK11" s="363">
        <v>102448</v>
      </c>
      <c r="AL11" s="363">
        <v>100503</v>
      </c>
      <c r="AM11" s="364">
        <v>98989</v>
      </c>
      <c r="AN11" s="364">
        <v>97939</v>
      </c>
      <c r="AO11" s="364">
        <v>97258</v>
      </c>
      <c r="AP11" s="364">
        <v>96589</v>
      </c>
    </row>
    <row r="12" spans="1:55">
      <c r="A12" s="39" t="s">
        <v>310</v>
      </c>
      <c r="B12" s="40">
        <v>84101</v>
      </c>
      <c r="C12" s="40">
        <v>87402</v>
      </c>
      <c r="D12" s="40">
        <v>94474</v>
      </c>
      <c r="E12" s="40">
        <v>98561</v>
      </c>
      <c r="F12" s="40">
        <v>100484</v>
      </c>
      <c r="G12" s="40">
        <v>100520</v>
      </c>
      <c r="H12" s="40">
        <v>99503</v>
      </c>
      <c r="I12" s="40">
        <v>98863</v>
      </c>
      <c r="J12" s="40">
        <v>99564</v>
      </c>
      <c r="K12" s="40">
        <v>100088</v>
      </c>
      <c r="L12" s="40">
        <v>100190</v>
      </c>
      <c r="M12" s="41">
        <v>100568</v>
      </c>
      <c r="N12" s="41">
        <v>101418</v>
      </c>
      <c r="O12" s="41">
        <v>100388</v>
      </c>
      <c r="P12" s="41">
        <v>100635</v>
      </c>
      <c r="Q12" s="41">
        <v>100733</v>
      </c>
      <c r="R12" s="41">
        <v>98142</v>
      </c>
      <c r="S12" s="41">
        <v>93812</v>
      </c>
      <c r="T12" s="41">
        <v>92059</v>
      </c>
      <c r="U12" s="41">
        <v>87257</v>
      </c>
      <c r="V12" s="41">
        <v>83760</v>
      </c>
      <c r="W12" s="41">
        <v>83723</v>
      </c>
      <c r="X12" s="41">
        <v>87031</v>
      </c>
      <c r="Y12" s="42">
        <v>89979</v>
      </c>
      <c r="Z12" s="42">
        <v>92622</v>
      </c>
      <c r="AA12" s="42">
        <v>94035</v>
      </c>
      <c r="AB12" s="42">
        <v>94596</v>
      </c>
      <c r="AC12" s="42">
        <v>95480</v>
      </c>
      <c r="AD12" s="40">
        <v>96408</v>
      </c>
      <c r="AE12" s="40">
        <v>97963</v>
      </c>
      <c r="AF12" s="27">
        <v>101005</v>
      </c>
      <c r="AG12" s="27">
        <v>105478</v>
      </c>
      <c r="AH12" s="292">
        <v>109092</v>
      </c>
      <c r="AI12" s="33">
        <v>111931</v>
      </c>
      <c r="AJ12" s="301">
        <v>110854</v>
      </c>
      <c r="AK12" s="363">
        <v>110413</v>
      </c>
      <c r="AL12" s="363">
        <v>108547</v>
      </c>
      <c r="AM12" s="364">
        <v>105736</v>
      </c>
      <c r="AN12" s="364">
        <v>102118</v>
      </c>
      <c r="AO12" s="364">
        <v>98901</v>
      </c>
      <c r="AP12" s="364">
        <v>96903</v>
      </c>
    </row>
    <row r="13" spans="1:55">
      <c r="A13" s="39" t="s">
        <v>311</v>
      </c>
      <c r="B13" s="40">
        <v>60847</v>
      </c>
      <c r="C13" s="40">
        <v>63598</v>
      </c>
      <c r="D13" s="40">
        <v>67907</v>
      </c>
      <c r="E13" s="40">
        <v>69849</v>
      </c>
      <c r="F13" s="40">
        <v>73121</v>
      </c>
      <c r="G13" s="40">
        <v>77818</v>
      </c>
      <c r="H13" s="40">
        <v>82626</v>
      </c>
      <c r="I13" s="40">
        <v>87040</v>
      </c>
      <c r="J13" s="40">
        <v>90800</v>
      </c>
      <c r="K13" s="40">
        <v>92896</v>
      </c>
      <c r="L13" s="40">
        <v>93234</v>
      </c>
      <c r="M13" s="41">
        <v>93259</v>
      </c>
      <c r="N13" s="41">
        <v>92514</v>
      </c>
      <c r="O13" s="41">
        <v>91767</v>
      </c>
      <c r="P13" s="41">
        <v>92482</v>
      </c>
      <c r="Q13" s="41">
        <v>91379</v>
      </c>
      <c r="R13" s="41">
        <v>90701</v>
      </c>
      <c r="S13" s="41">
        <v>90327</v>
      </c>
      <c r="T13" s="41">
        <v>88468</v>
      </c>
      <c r="U13" s="41">
        <v>88337</v>
      </c>
      <c r="V13" s="41">
        <v>88525</v>
      </c>
      <c r="W13" s="41">
        <v>86610</v>
      </c>
      <c r="X13" s="41">
        <v>83126</v>
      </c>
      <c r="Y13" s="42">
        <v>80498</v>
      </c>
      <c r="Z13" s="42">
        <v>76702</v>
      </c>
      <c r="AA13" s="42">
        <v>75393</v>
      </c>
      <c r="AB13" s="42">
        <v>76908</v>
      </c>
      <c r="AC13" s="42">
        <v>78988</v>
      </c>
      <c r="AD13" s="40">
        <v>81111</v>
      </c>
      <c r="AE13" s="40">
        <v>83635</v>
      </c>
      <c r="AF13" s="27">
        <v>85009</v>
      </c>
      <c r="AG13" s="27">
        <v>85279</v>
      </c>
      <c r="AH13" s="292">
        <v>85512</v>
      </c>
      <c r="AI13" s="33">
        <v>86312</v>
      </c>
      <c r="AJ13" s="301">
        <v>84799</v>
      </c>
      <c r="AK13" s="363">
        <v>88386</v>
      </c>
      <c r="AL13" s="363">
        <v>92698</v>
      </c>
      <c r="AM13" s="364">
        <v>96361</v>
      </c>
      <c r="AN13" s="364">
        <v>99625</v>
      </c>
      <c r="AO13" s="364">
        <v>101800</v>
      </c>
      <c r="AP13" s="364">
        <v>101970</v>
      </c>
    </row>
    <row r="14" spans="1:55">
      <c r="A14" s="39" t="s">
        <v>312</v>
      </c>
      <c r="B14" s="40">
        <v>41747</v>
      </c>
      <c r="C14" s="40">
        <v>40881</v>
      </c>
      <c r="D14" s="40">
        <v>41555</v>
      </c>
      <c r="E14" s="40">
        <v>44365</v>
      </c>
      <c r="F14" s="40">
        <v>48516</v>
      </c>
      <c r="G14" s="40">
        <v>53710</v>
      </c>
      <c r="H14" s="40">
        <v>57954</v>
      </c>
      <c r="I14" s="40">
        <v>60810</v>
      </c>
      <c r="J14" s="40">
        <v>63114</v>
      </c>
      <c r="K14" s="40">
        <v>66588</v>
      </c>
      <c r="L14" s="40">
        <v>71097</v>
      </c>
      <c r="M14" s="41">
        <v>73963</v>
      </c>
      <c r="N14" s="41">
        <v>77091</v>
      </c>
      <c r="O14" s="41">
        <v>80598</v>
      </c>
      <c r="P14" s="41">
        <v>82427</v>
      </c>
      <c r="Q14" s="41">
        <v>82479</v>
      </c>
      <c r="R14" s="41">
        <v>80952</v>
      </c>
      <c r="S14" s="41">
        <v>79606</v>
      </c>
      <c r="T14" s="41">
        <v>78715</v>
      </c>
      <c r="U14" s="41">
        <v>78901</v>
      </c>
      <c r="V14" s="41">
        <v>77986</v>
      </c>
      <c r="W14" s="41">
        <v>77634</v>
      </c>
      <c r="X14" s="41">
        <v>77947</v>
      </c>
      <c r="Y14" s="42">
        <v>76957</v>
      </c>
      <c r="Z14" s="42">
        <v>77035</v>
      </c>
      <c r="AA14" s="42">
        <v>76416</v>
      </c>
      <c r="AB14" s="42">
        <v>74504</v>
      </c>
      <c r="AC14" s="42">
        <v>72710</v>
      </c>
      <c r="AD14" s="40">
        <v>70354</v>
      </c>
      <c r="AE14" s="40">
        <v>67188</v>
      </c>
      <c r="AF14" s="27">
        <v>65493</v>
      </c>
      <c r="AG14" s="27">
        <v>66373</v>
      </c>
      <c r="AH14" s="292">
        <v>68120</v>
      </c>
      <c r="AI14" s="33">
        <v>70147</v>
      </c>
      <c r="AJ14" s="301">
        <v>71597</v>
      </c>
      <c r="AK14" s="363">
        <v>72515</v>
      </c>
      <c r="AL14" s="363">
        <v>72507</v>
      </c>
      <c r="AM14" s="364">
        <v>72856</v>
      </c>
      <c r="AN14" s="364">
        <v>73748</v>
      </c>
      <c r="AO14" s="364">
        <v>75612</v>
      </c>
      <c r="AP14" s="364">
        <v>79287</v>
      </c>
    </row>
    <row r="15" spans="1:55">
      <c r="A15" s="39" t="s">
        <v>160</v>
      </c>
      <c r="B15" s="40">
        <v>47089</v>
      </c>
      <c r="C15" s="40">
        <v>44191</v>
      </c>
      <c r="D15" s="40">
        <v>42421</v>
      </c>
      <c r="E15" s="40">
        <v>40314</v>
      </c>
      <c r="F15" s="40">
        <v>37660</v>
      </c>
      <c r="G15" s="40">
        <v>35175</v>
      </c>
      <c r="H15" s="40">
        <v>34056</v>
      </c>
      <c r="I15" s="40">
        <v>35150</v>
      </c>
      <c r="J15" s="40">
        <v>37956</v>
      </c>
      <c r="K15" s="40">
        <v>41765</v>
      </c>
      <c r="L15" s="40">
        <v>46501</v>
      </c>
      <c r="M15" s="41">
        <v>49370</v>
      </c>
      <c r="N15" s="41">
        <v>52171</v>
      </c>
      <c r="O15" s="41">
        <v>54051</v>
      </c>
      <c r="P15" s="41">
        <v>55738</v>
      </c>
      <c r="Q15" s="41">
        <v>58769</v>
      </c>
      <c r="R15" s="41">
        <v>61707</v>
      </c>
      <c r="S15" s="41">
        <v>63501</v>
      </c>
      <c r="T15" s="41">
        <v>65929</v>
      </c>
      <c r="U15" s="41">
        <v>67325</v>
      </c>
      <c r="V15" s="41">
        <v>67544</v>
      </c>
      <c r="W15" s="41">
        <v>66737</v>
      </c>
      <c r="X15" s="41">
        <v>65921</v>
      </c>
      <c r="Y15" s="42">
        <v>65888</v>
      </c>
      <c r="Z15" s="42">
        <v>65601</v>
      </c>
      <c r="AA15" s="42">
        <v>65100</v>
      </c>
      <c r="AB15" s="42">
        <v>65092</v>
      </c>
      <c r="AC15" s="42">
        <v>64870</v>
      </c>
      <c r="AD15" s="40">
        <v>64237</v>
      </c>
      <c r="AE15" s="40">
        <v>64004</v>
      </c>
      <c r="AF15" s="27">
        <v>63470</v>
      </c>
      <c r="AG15" s="27">
        <v>61659</v>
      </c>
      <c r="AH15" s="292">
        <v>59993</v>
      </c>
      <c r="AI15" s="33">
        <v>58303</v>
      </c>
      <c r="AJ15" s="301">
        <v>54690</v>
      </c>
      <c r="AK15" s="363">
        <v>53668</v>
      </c>
      <c r="AL15" s="363">
        <v>55181</v>
      </c>
      <c r="AM15" s="364">
        <v>57241</v>
      </c>
      <c r="AN15" s="364">
        <v>58819</v>
      </c>
      <c r="AO15" s="364">
        <v>60687</v>
      </c>
      <c r="AP15" s="364">
        <v>61795</v>
      </c>
    </row>
    <row r="16" spans="1:55">
      <c r="A16" s="39" t="s">
        <v>313</v>
      </c>
      <c r="B16" s="40">
        <v>49450</v>
      </c>
      <c r="C16" s="40">
        <v>51350</v>
      </c>
      <c r="D16" s="40">
        <v>47678</v>
      </c>
      <c r="E16" s="40">
        <v>44759</v>
      </c>
      <c r="F16" s="40">
        <v>41376</v>
      </c>
      <c r="G16" s="40">
        <v>37447</v>
      </c>
      <c r="H16" s="40">
        <v>34991</v>
      </c>
      <c r="I16" s="40">
        <v>33879</v>
      </c>
      <c r="J16" s="40">
        <v>32244</v>
      </c>
      <c r="K16" s="40">
        <v>30277</v>
      </c>
      <c r="L16" s="40">
        <v>28392</v>
      </c>
      <c r="M16" s="41">
        <v>27515</v>
      </c>
      <c r="N16" s="41">
        <v>27418</v>
      </c>
      <c r="O16" s="41">
        <v>29364</v>
      </c>
      <c r="P16" s="41">
        <v>31922</v>
      </c>
      <c r="Q16" s="41">
        <v>35178</v>
      </c>
      <c r="R16" s="41">
        <v>38615</v>
      </c>
      <c r="S16" s="41">
        <v>40355</v>
      </c>
      <c r="T16" s="41">
        <v>41489</v>
      </c>
      <c r="U16" s="41">
        <v>42520</v>
      </c>
      <c r="V16" s="41">
        <v>44825</v>
      </c>
      <c r="W16" s="41">
        <v>47370</v>
      </c>
      <c r="X16" s="41">
        <v>49110</v>
      </c>
      <c r="Y16" s="42">
        <v>51824</v>
      </c>
      <c r="Z16" s="42">
        <v>53028</v>
      </c>
      <c r="AA16" s="42">
        <v>52893</v>
      </c>
      <c r="AB16" s="42">
        <v>52466</v>
      </c>
      <c r="AC16" s="42">
        <v>52044</v>
      </c>
      <c r="AD16" s="40">
        <v>51849</v>
      </c>
      <c r="AE16" s="40">
        <v>51658</v>
      </c>
      <c r="AF16" s="27">
        <v>51264</v>
      </c>
      <c r="AG16" s="27">
        <v>51206</v>
      </c>
      <c r="AH16" s="292">
        <v>50996</v>
      </c>
      <c r="AI16" s="33">
        <v>50583</v>
      </c>
      <c r="AJ16" s="301">
        <v>52108</v>
      </c>
      <c r="AK16" s="363">
        <v>51266</v>
      </c>
      <c r="AL16" s="363">
        <v>49232</v>
      </c>
      <c r="AM16" s="364">
        <v>47318</v>
      </c>
      <c r="AN16" s="364">
        <v>45571</v>
      </c>
      <c r="AO16" s="364">
        <v>43738</v>
      </c>
      <c r="AP16" s="364">
        <v>43113</v>
      </c>
    </row>
    <row r="17" spans="1:54">
      <c r="A17" s="39" t="s">
        <v>314</v>
      </c>
      <c r="B17" s="40">
        <v>26623</v>
      </c>
      <c r="C17" s="40">
        <v>27057</v>
      </c>
      <c r="D17" s="40">
        <v>28689</v>
      </c>
      <c r="E17" s="40">
        <v>29750</v>
      </c>
      <c r="F17" s="40">
        <v>32038</v>
      </c>
      <c r="G17" s="40">
        <v>34439</v>
      </c>
      <c r="H17" s="40">
        <v>34899</v>
      </c>
      <c r="I17" s="40">
        <v>33511</v>
      </c>
      <c r="J17" s="40">
        <v>31876</v>
      </c>
      <c r="K17" s="40">
        <v>30007</v>
      </c>
      <c r="L17" s="40">
        <v>28118</v>
      </c>
      <c r="M17" s="41">
        <v>24878</v>
      </c>
      <c r="N17" s="41">
        <v>24712</v>
      </c>
      <c r="O17" s="41">
        <v>23717</v>
      </c>
      <c r="P17" s="41">
        <v>22542</v>
      </c>
      <c r="Q17" s="41">
        <v>20664</v>
      </c>
      <c r="R17" s="41">
        <v>19257</v>
      </c>
      <c r="S17" s="41">
        <v>19017</v>
      </c>
      <c r="T17" s="41">
        <v>20394</v>
      </c>
      <c r="U17" s="41">
        <v>22043</v>
      </c>
      <c r="V17" s="41">
        <v>24304</v>
      </c>
      <c r="W17" s="41">
        <v>26806</v>
      </c>
      <c r="X17" s="41">
        <v>28133</v>
      </c>
      <c r="Y17" s="42">
        <v>28831</v>
      </c>
      <c r="Z17" s="42">
        <v>31055</v>
      </c>
      <c r="AA17" s="42">
        <v>33042</v>
      </c>
      <c r="AB17" s="42">
        <v>34436</v>
      </c>
      <c r="AC17" s="42">
        <v>35702</v>
      </c>
      <c r="AD17" s="40">
        <v>37185</v>
      </c>
      <c r="AE17" s="40">
        <v>37794</v>
      </c>
      <c r="AF17" s="27">
        <v>37880</v>
      </c>
      <c r="AG17" s="27">
        <v>37717</v>
      </c>
      <c r="AH17" s="292">
        <v>37379</v>
      </c>
      <c r="AI17" s="33">
        <v>37441</v>
      </c>
      <c r="AJ17" s="301">
        <v>38873</v>
      </c>
      <c r="AK17" s="363">
        <v>39045</v>
      </c>
      <c r="AL17" s="363">
        <v>39442</v>
      </c>
      <c r="AM17" s="364">
        <v>39525</v>
      </c>
      <c r="AN17" s="364">
        <v>39230</v>
      </c>
      <c r="AO17" s="364">
        <v>38969</v>
      </c>
      <c r="AP17" s="364">
        <v>38305</v>
      </c>
    </row>
    <row r="18" spans="1:54">
      <c r="A18" s="39" t="s">
        <v>315</v>
      </c>
      <c r="B18" s="40">
        <v>13716</v>
      </c>
      <c r="C18" s="40">
        <v>13813</v>
      </c>
      <c r="D18" s="40">
        <v>13757</v>
      </c>
      <c r="E18" s="40">
        <v>14301</v>
      </c>
      <c r="F18" s="40">
        <v>14943</v>
      </c>
      <c r="G18" s="40">
        <v>15639</v>
      </c>
      <c r="H18" s="40">
        <v>16460</v>
      </c>
      <c r="I18" s="40">
        <v>17119</v>
      </c>
      <c r="J18" s="40">
        <v>17929</v>
      </c>
      <c r="K18" s="40">
        <v>19315</v>
      </c>
      <c r="L18" s="40">
        <v>20287</v>
      </c>
      <c r="M18" s="41">
        <v>23118</v>
      </c>
      <c r="N18" s="41">
        <v>22006</v>
      </c>
      <c r="O18" s="41">
        <v>20721</v>
      </c>
      <c r="P18" s="41">
        <v>19091</v>
      </c>
      <c r="Q18" s="41">
        <v>17220</v>
      </c>
      <c r="R18" s="41">
        <v>14945</v>
      </c>
      <c r="S18" s="41">
        <v>14487</v>
      </c>
      <c r="T18" s="41">
        <v>13748</v>
      </c>
      <c r="U18" s="41">
        <v>13052</v>
      </c>
      <c r="V18" s="41">
        <v>12015</v>
      </c>
      <c r="W18" s="41">
        <v>11336</v>
      </c>
      <c r="X18" s="41">
        <v>11389</v>
      </c>
      <c r="Y18" s="42">
        <v>12311</v>
      </c>
      <c r="Z18" s="42">
        <v>14261</v>
      </c>
      <c r="AA18" s="42">
        <v>15849</v>
      </c>
      <c r="AB18" s="42">
        <v>16631</v>
      </c>
      <c r="AC18" s="42">
        <v>16898</v>
      </c>
      <c r="AD18" s="40">
        <v>17475</v>
      </c>
      <c r="AE18" s="40">
        <v>18378</v>
      </c>
      <c r="AF18" s="27">
        <v>19687</v>
      </c>
      <c r="AG18" s="27">
        <v>20889</v>
      </c>
      <c r="AH18" s="292">
        <v>22054</v>
      </c>
      <c r="AI18" s="33">
        <v>23082</v>
      </c>
      <c r="AJ18" s="301">
        <v>24864</v>
      </c>
      <c r="AK18" s="363">
        <v>25056</v>
      </c>
      <c r="AL18" s="363">
        <v>24969</v>
      </c>
      <c r="AM18" s="364">
        <v>24886</v>
      </c>
      <c r="AN18" s="364">
        <v>25177</v>
      </c>
      <c r="AO18" s="364">
        <v>25477</v>
      </c>
      <c r="AP18" s="364">
        <v>25699</v>
      </c>
    </row>
    <row r="19" spans="1:54">
      <c r="A19" s="39" t="s">
        <v>316</v>
      </c>
      <c r="B19" s="40">
        <v>8468</v>
      </c>
      <c r="C19" s="40">
        <v>8773</v>
      </c>
      <c r="D19" s="40">
        <v>9098</v>
      </c>
      <c r="E19" s="40">
        <v>9135</v>
      </c>
      <c r="F19" s="40">
        <v>9156</v>
      </c>
      <c r="G19" s="40">
        <v>9314</v>
      </c>
      <c r="H19" s="40">
        <v>9249</v>
      </c>
      <c r="I19" s="40">
        <v>9231</v>
      </c>
      <c r="J19" s="40">
        <v>9480</v>
      </c>
      <c r="K19" s="40">
        <v>9830</v>
      </c>
      <c r="L19" s="40">
        <v>10278</v>
      </c>
      <c r="M19" s="41">
        <v>10869</v>
      </c>
      <c r="N19" s="41">
        <v>11281</v>
      </c>
      <c r="O19" s="41">
        <v>11544</v>
      </c>
      <c r="P19" s="41">
        <v>12329</v>
      </c>
      <c r="Q19" s="41">
        <v>13670</v>
      </c>
      <c r="R19" s="41">
        <v>14509</v>
      </c>
      <c r="S19" s="41">
        <v>13740</v>
      </c>
      <c r="T19" s="41">
        <v>13038</v>
      </c>
      <c r="U19" s="41">
        <v>12360</v>
      </c>
      <c r="V19" s="41">
        <v>12005</v>
      </c>
      <c r="W19" s="41">
        <v>11555</v>
      </c>
      <c r="X19" s="41">
        <v>11122</v>
      </c>
      <c r="Y19" s="42">
        <v>10093</v>
      </c>
      <c r="Z19" s="42">
        <v>10047</v>
      </c>
      <c r="AA19" s="42">
        <v>9567</v>
      </c>
      <c r="AB19" s="42">
        <v>8790</v>
      </c>
      <c r="AC19" s="42">
        <v>8280</v>
      </c>
      <c r="AD19" s="40">
        <v>8544</v>
      </c>
      <c r="AE19" s="40">
        <v>8908</v>
      </c>
      <c r="AF19" s="27">
        <v>9283</v>
      </c>
      <c r="AG19" s="27">
        <v>9651</v>
      </c>
      <c r="AH19" s="292">
        <v>9977</v>
      </c>
      <c r="AI19" s="33">
        <v>10398</v>
      </c>
      <c r="AJ19" s="301">
        <v>12343</v>
      </c>
      <c r="AK19" s="363">
        <v>13409</v>
      </c>
      <c r="AL19" s="363">
        <v>14352</v>
      </c>
      <c r="AM19" s="364">
        <v>15261</v>
      </c>
      <c r="AN19" s="364">
        <v>16019</v>
      </c>
      <c r="AO19" s="364">
        <v>16607</v>
      </c>
      <c r="AP19" s="364">
        <v>17175</v>
      </c>
    </row>
    <row r="20" spans="1:54" ht="15.75">
      <c r="A20" s="39" t="s">
        <v>317</v>
      </c>
      <c r="B20" s="43">
        <v>1593664</v>
      </c>
      <c r="C20" s="43">
        <v>1599244</v>
      </c>
      <c r="D20" s="43">
        <v>1606260</v>
      </c>
      <c r="E20" s="43">
        <v>1615349</v>
      </c>
      <c r="F20" s="43">
        <v>1626839</v>
      </c>
      <c r="G20" s="43">
        <v>1640238</v>
      </c>
      <c r="H20" s="43">
        <v>1654623</v>
      </c>
      <c r="I20" s="43">
        <v>1670024</v>
      </c>
      <c r="J20" s="43">
        <v>1687508</v>
      </c>
      <c r="K20" s="43">
        <v>1707440</v>
      </c>
      <c r="L20" s="43">
        <v>1728219</v>
      </c>
      <c r="M20" s="44">
        <v>1738953</v>
      </c>
      <c r="N20" s="44">
        <v>1747473</v>
      </c>
      <c r="O20" s="44">
        <v>1750976</v>
      </c>
      <c r="P20" s="44">
        <v>1752762</v>
      </c>
      <c r="Q20" s="44">
        <v>1746005</v>
      </c>
      <c r="R20" s="44">
        <v>1733372</v>
      </c>
      <c r="S20" s="44">
        <v>1717208</v>
      </c>
      <c r="T20" s="44">
        <v>1701565</v>
      </c>
      <c r="U20" s="44">
        <v>1685841</v>
      </c>
      <c r="V20" s="44">
        <v>1671654</v>
      </c>
      <c r="W20" s="44">
        <v>1657561</v>
      </c>
      <c r="X20" s="44">
        <v>1644301</v>
      </c>
      <c r="Y20" s="45">
        <v>1627704</v>
      </c>
      <c r="Z20" s="45">
        <v>1620891</v>
      </c>
      <c r="AA20" s="45">
        <v>1612996</v>
      </c>
      <c r="AB20" s="45">
        <v>1603421</v>
      </c>
      <c r="AC20" s="45">
        <v>1592402</v>
      </c>
      <c r="AD20" s="46">
        <v>1581806.5</v>
      </c>
      <c r="AE20" s="47">
        <v>1571979</v>
      </c>
      <c r="AF20" s="47">
        <v>1563120</v>
      </c>
      <c r="AG20" s="47">
        <v>1553499</v>
      </c>
      <c r="AH20" s="293">
        <v>1527510</v>
      </c>
      <c r="AI20" s="34">
        <v>1496492</v>
      </c>
      <c r="AJ20" s="303">
        <v>1376201</v>
      </c>
      <c r="AK20" s="34">
        <v>1362443</v>
      </c>
      <c r="AL20" s="34">
        <v>1351126</v>
      </c>
      <c r="AM20" s="34">
        <v>1337932</v>
      </c>
      <c r="AN20" s="34">
        <v>1320897</v>
      </c>
      <c r="AO20" s="34">
        <v>1304740</v>
      </c>
      <c r="AP20" s="34">
        <v>1296442</v>
      </c>
    </row>
    <row r="21" spans="1:54" ht="15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50"/>
      <c r="N21" s="50"/>
      <c r="O21" s="50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K21" s="365"/>
      <c r="AL21" s="365"/>
      <c r="AM21" s="365"/>
      <c r="AN21" s="365"/>
      <c r="AO21" s="365"/>
      <c r="AP21" s="365"/>
    </row>
    <row r="22" spans="1:54" ht="15">
      <c r="A22" s="35"/>
      <c r="B22" s="36" t="s">
        <v>318</v>
      </c>
      <c r="C22" s="36" t="s">
        <v>319</v>
      </c>
      <c r="D22" s="36" t="s">
        <v>320</v>
      </c>
      <c r="E22" s="36" t="s">
        <v>321</v>
      </c>
      <c r="F22" s="36" t="s">
        <v>322</v>
      </c>
      <c r="G22" s="36" t="s">
        <v>323</v>
      </c>
      <c r="H22" s="36" t="s">
        <v>324</v>
      </c>
      <c r="I22" s="36" t="s">
        <v>325</v>
      </c>
      <c r="J22" s="36" t="s">
        <v>326</v>
      </c>
      <c r="K22" s="36" t="s">
        <v>327</v>
      </c>
      <c r="L22" s="36" t="s">
        <v>328</v>
      </c>
      <c r="M22" s="37" t="s">
        <v>329</v>
      </c>
      <c r="N22" s="37" t="s">
        <v>330</v>
      </c>
      <c r="O22" s="37" t="s">
        <v>331</v>
      </c>
      <c r="P22" s="37" t="s">
        <v>332</v>
      </c>
      <c r="Q22" s="38" t="s">
        <v>333</v>
      </c>
      <c r="R22" s="37" t="s">
        <v>334</v>
      </c>
      <c r="S22" s="37" t="s">
        <v>335</v>
      </c>
      <c r="T22" s="37" t="s">
        <v>336</v>
      </c>
      <c r="U22" s="37" t="s">
        <v>337</v>
      </c>
      <c r="V22" s="37" t="s">
        <v>338</v>
      </c>
      <c r="W22" s="37" t="s">
        <v>339</v>
      </c>
      <c r="X22" s="37" t="s">
        <v>340</v>
      </c>
      <c r="Y22" s="37" t="s">
        <v>341</v>
      </c>
      <c r="Z22" s="37" t="s">
        <v>342</v>
      </c>
      <c r="AA22" s="37" t="s">
        <v>343</v>
      </c>
      <c r="AB22" s="37" t="s">
        <v>344</v>
      </c>
      <c r="AC22" s="37" t="s">
        <v>345</v>
      </c>
      <c r="AD22" s="37" t="s">
        <v>346</v>
      </c>
      <c r="AE22" s="37" t="s">
        <v>347</v>
      </c>
      <c r="AF22" s="35" t="s">
        <v>348</v>
      </c>
      <c r="AG22" s="35" t="s">
        <v>349</v>
      </c>
      <c r="AH22" s="35" t="s">
        <v>380</v>
      </c>
      <c r="AI22" s="35" t="s">
        <v>381</v>
      </c>
      <c r="AJ22" s="35" t="s">
        <v>382</v>
      </c>
      <c r="AK22" s="362" t="s">
        <v>383</v>
      </c>
      <c r="AL22" s="362" t="s">
        <v>384</v>
      </c>
      <c r="AM22" s="362" t="s">
        <v>385</v>
      </c>
      <c r="AN22" s="362" t="s">
        <v>386</v>
      </c>
      <c r="AO22" s="362" t="s">
        <v>387</v>
      </c>
      <c r="AP22" s="362" t="s">
        <v>388</v>
      </c>
      <c r="AQ22" s="35" t="s">
        <v>389</v>
      </c>
      <c r="AR22" s="35" t="s">
        <v>390</v>
      </c>
      <c r="AS22" s="35" t="s">
        <v>391</v>
      </c>
      <c r="AT22" s="35" t="s">
        <v>392</v>
      </c>
      <c r="AU22" s="35" t="s">
        <v>393</v>
      </c>
      <c r="AV22" s="35" t="s">
        <v>394</v>
      </c>
      <c r="AW22" s="35" t="s">
        <v>395</v>
      </c>
      <c r="AX22" s="35" t="s">
        <v>396</v>
      </c>
      <c r="AY22" s="35" t="s">
        <v>397</v>
      </c>
      <c r="AZ22" s="35" t="s">
        <v>398</v>
      </c>
      <c r="BA22" s="35" t="s">
        <v>399</v>
      </c>
      <c r="BB22" s="35" t="s">
        <v>400</v>
      </c>
    </row>
    <row r="23" spans="1:54">
      <c r="A23" s="39" t="s">
        <v>300</v>
      </c>
      <c r="B23" s="40">
        <v>128076</v>
      </c>
      <c r="C23" s="40">
        <v>127963</v>
      </c>
      <c r="D23" s="40">
        <v>127822</v>
      </c>
      <c r="E23" s="40">
        <v>128296</v>
      </c>
      <c r="F23" s="40">
        <v>128539</v>
      </c>
      <c r="G23" s="40">
        <v>130664</v>
      </c>
      <c r="H23" s="40">
        <v>133306</v>
      </c>
      <c r="I23" s="40">
        <v>136077</v>
      </c>
      <c r="J23" s="40">
        <v>139705</v>
      </c>
      <c r="K23" s="40">
        <v>142979</v>
      </c>
      <c r="L23" s="40">
        <v>144409</v>
      </c>
      <c r="M23" s="41">
        <v>144758</v>
      </c>
      <c r="N23" s="41">
        <v>142925</v>
      </c>
      <c r="O23" s="41">
        <v>140651</v>
      </c>
      <c r="P23" s="41">
        <v>137679</v>
      </c>
      <c r="Q23" s="41">
        <v>134065</v>
      </c>
      <c r="R23" s="41">
        <v>128437</v>
      </c>
      <c r="S23" s="41">
        <v>121857</v>
      </c>
      <c r="T23" s="41">
        <v>114334</v>
      </c>
      <c r="U23" s="41">
        <v>106725</v>
      </c>
      <c r="V23" s="41">
        <v>99025</v>
      </c>
      <c r="W23" s="41">
        <v>94192</v>
      </c>
      <c r="X23" s="41">
        <v>91355</v>
      </c>
      <c r="Y23" s="42">
        <v>85744</v>
      </c>
      <c r="Z23" s="42">
        <v>82669</v>
      </c>
      <c r="AA23" s="42">
        <v>79472</v>
      </c>
      <c r="AB23" s="42">
        <v>76607</v>
      </c>
      <c r="AC23" s="42">
        <v>74517</v>
      </c>
      <c r="AD23" s="40">
        <v>73854</v>
      </c>
      <c r="AE23" s="40">
        <v>74472</v>
      </c>
      <c r="AF23" s="27">
        <v>76197</v>
      </c>
      <c r="AG23" s="27">
        <v>78767</v>
      </c>
      <c r="AH23" s="294">
        <v>80949</v>
      </c>
      <c r="AI23" s="33">
        <v>82206</v>
      </c>
      <c r="AJ23" s="301">
        <v>73013</v>
      </c>
      <c r="AK23" s="363">
        <v>73612</v>
      </c>
      <c r="AL23" s="363">
        <v>73541</v>
      </c>
      <c r="AM23" s="33">
        <v>73573</v>
      </c>
      <c r="AN23" s="33">
        <v>73574</v>
      </c>
      <c r="AO23" s="33">
        <v>72886</v>
      </c>
      <c r="AP23" s="33">
        <v>72091</v>
      </c>
    </row>
    <row r="24" spans="1:54">
      <c r="A24" s="39" t="s">
        <v>301</v>
      </c>
      <c r="B24" s="40">
        <v>134874</v>
      </c>
      <c r="C24" s="40">
        <v>134959</v>
      </c>
      <c r="D24" s="40">
        <v>133859</v>
      </c>
      <c r="E24" s="40">
        <v>132882</v>
      </c>
      <c r="F24" s="40">
        <v>130336</v>
      </c>
      <c r="G24" s="40">
        <v>129494</v>
      </c>
      <c r="H24" s="40">
        <v>129232</v>
      </c>
      <c r="I24" s="40">
        <v>129512</v>
      </c>
      <c r="J24" s="40">
        <v>129904</v>
      </c>
      <c r="K24" s="40">
        <v>130663</v>
      </c>
      <c r="L24" s="40">
        <v>132812</v>
      </c>
      <c r="M24" s="41">
        <v>134392</v>
      </c>
      <c r="N24" s="41">
        <v>136778</v>
      </c>
      <c r="O24" s="41">
        <v>139232</v>
      </c>
      <c r="P24" s="41">
        <v>141792</v>
      </c>
      <c r="Q24" s="41">
        <v>142550</v>
      </c>
      <c r="R24" s="41">
        <v>140485</v>
      </c>
      <c r="S24" s="41">
        <v>137791</v>
      </c>
      <c r="T24" s="41">
        <v>135273</v>
      </c>
      <c r="U24" s="41">
        <v>132548</v>
      </c>
      <c r="V24" s="41">
        <v>130005</v>
      </c>
      <c r="W24" s="41">
        <v>125666</v>
      </c>
      <c r="X24" s="41">
        <v>119957</v>
      </c>
      <c r="Y24" s="42">
        <v>110014</v>
      </c>
      <c r="Z24" s="42">
        <v>102013</v>
      </c>
      <c r="AA24" s="42">
        <v>95821</v>
      </c>
      <c r="AB24" s="42">
        <v>91855</v>
      </c>
      <c r="AC24" s="42">
        <v>88516</v>
      </c>
      <c r="AD24" s="40">
        <v>84934</v>
      </c>
      <c r="AE24" s="40">
        <v>81348</v>
      </c>
      <c r="AF24" s="27">
        <v>78141</v>
      </c>
      <c r="AG24" s="27">
        <v>75407</v>
      </c>
      <c r="AH24" s="294">
        <v>72853</v>
      </c>
      <c r="AI24" s="33">
        <v>71239</v>
      </c>
      <c r="AJ24" s="301">
        <v>65809</v>
      </c>
      <c r="AK24" s="363">
        <v>65974</v>
      </c>
      <c r="AL24" s="363">
        <v>66902</v>
      </c>
      <c r="AM24" s="33">
        <v>68112</v>
      </c>
      <c r="AN24" s="33">
        <v>68934</v>
      </c>
      <c r="AO24" s="33">
        <v>69710</v>
      </c>
      <c r="AP24" s="33">
        <v>70403</v>
      </c>
    </row>
    <row r="25" spans="1:54">
      <c r="A25" s="39" t="s">
        <v>302</v>
      </c>
      <c r="B25" s="40">
        <v>134652</v>
      </c>
      <c r="C25" s="40">
        <v>135422</v>
      </c>
      <c r="D25" s="40">
        <v>133849</v>
      </c>
      <c r="E25" s="40">
        <v>135250</v>
      </c>
      <c r="F25" s="40">
        <v>136380</v>
      </c>
      <c r="G25" s="40">
        <v>136171</v>
      </c>
      <c r="H25" s="40">
        <v>135407</v>
      </c>
      <c r="I25" s="40">
        <v>134465</v>
      </c>
      <c r="J25" s="40">
        <v>132698</v>
      </c>
      <c r="K25" s="40">
        <v>130981</v>
      </c>
      <c r="L25" s="40">
        <v>130106</v>
      </c>
      <c r="M25" s="41">
        <v>130046</v>
      </c>
      <c r="N25" s="41">
        <v>129962</v>
      </c>
      <c r="O25" s="41">
        <v>129603</v>
      </c>
      <c r="P25" s="41">
        <v>129009</v>
      </c>
      <c r="Q25" s="41">
        <v>128812</v>
      </c>
      <c r="R25" s="41">
        <v>130127</v>
      </c>
      <c r="S25" s="41">
        <v>131322</v>
      </c>
      <c r="T25" s="41">
        <v>133543</v>
      </c>
      <c r="U25" s="41">
        <v>136236</v>
      </c>
      <c r="V25" s="41">
        <v>137955</v>
      </c>
      <c r="W25" s="41">
        <v>137244</v>
      </c>
      <c r="X25" s="41">
        <v>135591</v>
      </c>
      <c r="Y25" s="42">
        <v>132550</v>
      </c>
      <c r="Z25" s="42">
        <v>130433</v>
      </c>
      <c r="AA25" s="42">
        <v>127128</v>
      </c>
      <c r="AB25" s="42">
        <v>122286</v>
      </c>
      <c r="AC25" s="42">
        <v>116024</v>
      </c>
      <c r="AD25" s="40">
        <v>108881</v>
      </c>
      <c r="AE25" s="40">
        <v>101277</v>
      </c>
      <c r="AF25" s="27">
        <v>94578</v>
      </c>
      <c r="AG25" s="27">
        <v>90441</v>
      </c>
      <c r="AH25" s="294">
        <v>86689</v>
      </c>
      <c r="AI25" s="33">
        <v>82416</v>
      </c>
      <c r="AJ25" s="301">
        <v>75452</v>
      </c>
      <c r="AK25" s="363">
        <v>71497</v>
      </c>
      <c r="AL25" s="363">
        <v>68149</v>
      </c>
      <c r="AM25" s="33">
        <v>65394</v>
      </c>
      <c r="AN25" s="33">
        <v>63642</v>
      </c>
      <c r="AO25" s="33">
        <v>62908</v>
      </c>
      <c r="AP25" s="33">
        <v>63053</v>
      </c>
    </row>
    <row r="26" spans="1:54">
      <c r="A26" s="39" t="s">
        <v>303</v>
      </c>
      <c r="B26" s="40">
        <v>144496</v>
      </c>
      <c r="C26" s="40">
        <v>145230</v>
      </c>
      <c r="D26" s="40">
        <v>140450</v>
      </c>
      <c r="E26" s="40">
        <v>137501</v>
      </c>
      <c r="F26" s="40">
        <v>136204</v>
      </c>
      <c r="G26" s="40">
        <v>134800</v>
      </c>
      <c r="H26" s="40">
        <v>134763</v>
      </c>
      <c r="I26" s="40">
        <v>133850</v>
      </c>
      <c r="J26" s="40">
        <v>134067</v>
      </c>
      <c r="K26" s="40">
        <v>134674</v>
      </c>
      <c r="L26" s="40">
        <v>135292</v>
      </c>
      <c r="M26" s="41">
        <v>135429</v>
      </c>
      <c r="N26" s="41">
        <v>135873</v>
      </c>
      <c r="O26" s="41">
        <v>134250</v>
      </c>
      <c r="P26" s="41">
        <v>131857</v>
      </c>
      <c r="Q26" s="41">
        <v>128881</v>
      </c>
      <c r="R26" s="41">
        <v>127266</v>
      </c>
      <c r="S26" s="41">
        <v>125676</v>
      </c>
      <c r="T26" s="41">
        <v>124458</v>
      </c>
      <c r="U26" s="41">
        <v>123296</v>
      </c>
      <c r="V26" s="41">
        <v>123487</v>
      </c>
      <c r="W26" s="41">
        <v>125403</v>
      </c>
      <c r="X26" s="41">
        <v>127646</v>
      </c>
      <c r="Y26" s="42">
        <v>131282</v>
      </c>
      <c r="Z26" s="42">
        <v>135733</v>
      </c>
      <c r="AA26" s="42">
        <v>136600</v>
      </c>
      <c r="AB26" s="42">
        <v>135213</v>
      </c>
      <c r="AC26" s="42">
        <v>133373</v>
      </c>
      <c r="AD26" s="40">
        <v>131400</v>
      </c>
      <c r="AE26" s="40">
        <v>129194</v>
      </c>
      <c r="AF26" s="27">
        <v>126187</v>
      </c>
      <c r="AG26" s="27">
        <v>121083</v>
      </c>
      <c r="AH26" s="294">
        <v>113451</v>
      </c>
      <c r="AI26" s="33">
        <v>105145</v>
      </c>
      <c r="AJ26" s="301">
        <v>95059</v>
      </c>
      <c r="AK26" s="363">
        <v>88846</v>
      </c>
      <c r="AL26" s="363">
        <v>84512</v>
      </c>
      <c r="AM26" s="33">
        <v>80822</v>
      </c>
      <c r="AN26" s="33">
        <v>76561</v>
      </c>
      <c r="AO26" s="33">
        <v>71998</v>
      </c>
      <c r="AP26" s="33">
        <v>68089</v>
      </c>
    </row>
    <row r="27" spans="1:54">
      <c r="A27" s="39" t="s">
        <v>304</v>
      </c>
      <c r="B27" s="40">
        <v>129102</v>
      </c>
      <c r="C27" s="40">
        <v>133697</v>
      </c>
      <c r="D27" s="40">
        <v>139893</v>
      </c>
      <c r="E27" s="40">
        <v>145226</v>
      </c>
      <c r="F27" s="40">
        <v>150667</v>
      </c>
      <c r="G27" s="40">
        <v>151699</v>
      </c>
      <c r="H27" s="40">
        <v>148745</v>
      </c>
      <c r="I27" s="40">
        <v>145625</v>
      </c>
      <c r="J27" s="40">
        <v>141742</v>
      </c>
      <c r="K27" s="40">
        <v>138394</v>
      </c>
      <c r="L27" s="40">
        <v>136504</v>
      </c>
      <c r="M27" s="41">
        <v>136064</v>
      </c>
      <c r="N27" s="41">
        <v>134591</v>
      </c>
      <c r="O27" s="41">
        <v>135298</v>
      </c>
      <c r="P27" s="41">
        <v>136098</v>
      </c>
      <c r="Q27" s="41">
        <v>136000</v>
      </c>
      <c r="R27" s="41">
        <v>134860</v>
      </c>
      <c r="S27" s="41">
        <v>133280</v>
      </c>
      <c r="T27" s="41">
        <v>129831</v>
      </c>
      <c r="U27" s="41">
        <v>125850</v>
      </c>
      <c r="V27" s="41">
        <v>121858</v>
      </c>
      <c r="W27" s="41">
        <v>119098</v>
      </c>
      <c r="X27" s="41">
        <v>117264</v>
      </c>
      <c r="Y27" s="42">
        <v>115938</v>
      </c>
      <c r="Z27" s="42">
        <v>118034</v>
      </c>
      <c r="AA27" s="42">
        <v>120594</v>
      </c>
      <c r="AB27" s="42">
        <v>122916</v>
      </c>
      <c r="AC27" s="42">
        <v>125498</v>
      </c>
      <c r="AD27" s="40">
        <v>129291</v>
      </c>
      <c r="AE27" s="40">
        <v>132678</v>
      </c>
      <c r="AF27" s="27">
        <v>133889</v>
      </c>
      <c r="AG27" s="27">
        <v>132602</v>
      </c>
      <c r="AH27" s="294">
        <v>127309</v>
      </c>
      <c r="AI27" s="33">
        <v>120503</v>
      </c>
      <c r="AJ27" s="301">
        <v>104570</v>
      </c>
      <c r="AK27" s="363">
        <v>103926</v>
      </c>
      <c r="AL27" s="363">
        <v>101894</v>
      </c>
      <c r="AM27" s="33">
        <v>98060</v>
      </c>
      <c r="AN27" s="33">
        <v>92356</v>
      </c>
      <c r="AO27" s="33">
        <v>84808</v>
      </c>
      <c r="AP27" s="33">
        <v>78417</v>
      </c>
    </row>
    <row r="28" spans="1:54">
      <c r="A28" s="39" t="s">
        <v>305</v>
      </c>
      <c r="B28" s="40">
        <v>122193</v>
      </c>
      <c r="C28" s="40">
        <v>123679</v>
      </c>
      <c r="D28" s="40">
        <v>123458</v>
      </c>
      <c r="E28" s="40">
        <v>125514</v>
      </c>
      <c r="F28" s="40">
        <v>128635</v>
      </c>
      <c r="G28" s="40">
        <v>134211</v>
      </c>
      <c r="H28" s="40">
        <v>140536</v>
      </c>
      <c r="I28" s="40">
        <v>145959</v>
      </c>
      <c r="J28" s="40">
        <v>151264</v>
      </c>
      <c r="K28" s="40">
        <v>154970</v>
      </c>
      <c r="L28" s="40">
        <v>155475</v>
      </c>
      <c r="M28" s="41">
        <v>154641</v>
      </c>
      <c r="N28" s="41">
        <v>151928</v>
      </c>
      <c r="O28" s="41">
        <v>146627</v>
      </c>
      <c r="P28" s="41">
        <v>141673</v>
      </c>
      <c r="Q28" s="41">
        <v>137393</v>
      </c>
      <c r="R28" s="41">
        <v>134382</v>
      </c>
      <c r="S28" s="41">
        <v>131900</v>
      </c>
      <c r="T28" s="41">
        <v>131920</v>
      </c>
      <c r="U28" s="41">
        <v>131783</v>
      </c>
      <c r="V28" s="41">
        <v>130867</v>
      </c>
      <c r="W28" s="41">
        <v>128235</v>
      </c>
      <c r="X28" s="41">
        <v>125278</v>
      </c>
      <c r="Y28" s="42">
        <v>119825</v>
      </c>
      <c r="Z28" s="42">
        <v>116227</v>
      </c>
      <c r="AA28" s="42">
        <v>114110</v>
      </c>
      <c r="AB28" s="42">
        <v>112660</v>
      </c>
      <c r="AC28" s="42">
        <v>111635</v>
      </c>
      <c r="AD28" s="40">
        <v>111210</v>
      </c>
      <c r="AE28" s="40">
        <v>111873</v>
      </c>
      <c r="AF28" s="27">
        <v>113869</v>
      </c>
      <c r="AG28" s="27">
        <v>116722</v>
      </c>
      <c r="AH28" s="294">
        <v>115975</v>
      </c>
      <c r="AI28" s="33">
        <v>113846</v>
      </c>
      <c r="AJ28" s="301">
        <v>94921</v>
      </c>
      <c r="AK28" s="363">
        <v>95057</v>
      </c>
      <c r="AL28" s="363">
        <v>94972</v>
      </c>
      <c r="AM28" s="33">
        <v>95144</v>
      </c>
      <c r="AN28" s="33">
        <v>94383</v>
      </c>
      <c r="AO28" s="33">
        <v>92180</v>
      </c>
      <c r="AP28" s="33">
        <v>90342</v>
      </c>
    </row>
    <row r="29" spans="1:54">
      <c r="A29" s="39" t="s">
        <v>306</v>
      </c>
      <c r="B29" s="40">
        <v>110599</v>
      </c>
      <c r="C29" s="40">
        <v>112989</v>
      </c>
      <c r="D29" s="40">
        <v>116891</v>
      </c>
      <c r="E29" s="40">
        <v>119314</v>
      </c>
      <c r="F29" s="40">
        <v>122326</v>
      </c>
      <c r="G29" s="40">
        <v>123855</v>
      </c>
      <c r="H29" s="40">
        <v>124101</v>
      </c>
      <c r="I29" s="40">
        <v>125111</v>
      </c>
      <c r="J29" s="40">
        <v>127184</v>
      </c>
      <c r="K29" s="40">
        <v>130371</v>
      </c>
      <c r="L29" s="40">
        <v>135884</v>
      </c>
      <c r="M29" s="41">
        <v>139659</v>
      </c>
      <c r="N29" s="41">
        <v>145119</v>
      </c>
      <c r="O29" s="41">
        <v>149956</v>
      </c>
      <c r="P29" s="41">
        <v>153788</v>
      </c>
      <c r="Q29" s="41">
        <v>153660</v>
      </c>
      <c r="R29" s="41">
        <v>150215</v>
      </c>
      <c r="S29" s="41">
        <v>146791</v>
      </c>
      <c r="T29" s="41">
        <v>141499</v>
      </c>
      <c r="U29" s="41">
        <v>136823</v>
      </c>
      <c r="V29" s="41">
        <v>133270</v>
      </c>
      <c r="W29" s="41">
        <v>131071</v>
      </c>
      <c r="X29" s="41">
        <v>128588</v>
      </c>
      <c r="Y29" s="42">
        <v>129264</v>
      </c>
      <c r="Z29" s="42">
        <v>127259</v>
      </c>
      <c r="AA29" s="42">
        <v>125506</v>
      </c>
      <c r="AB29" s="42">
        <v>123344</v>
      </c>
      <c r="AC29" s="42">
        <v>120545</v>
      </c>
      <c r="AD29" s="40">
        <v>116782</v>
      </c>
      <c r="AE29" s="40">
        <v>113354</v>
      </c>
      <c r="AF29" s="27">
        <v>110782</v>
      </c>
      <c r="AG29" s="27">
        <v>108930</v>
      </c>
      <c r="AH29" s="294">
        <v>105113</v>
      </c>
      <c r="AI29" s="33">
        <v>100940</v>
      </c>
      <c r="AJ29" s="301">
        <v>88878</v>
      </c>
      <c r="AK29" s="363">
        <v>87387</v>
      </c>
      <c r="AL29" s="363">
        <v>87211</v>
      </c>
      <c r="AM29" s="33">
        <v>87782</v>
      </c>
      <c r="AN29" s="33">
        <v>88249</v>
      </c>
      <c r="AO29" s="33">
        <v>88539</v>
      </c>
      <c r="AP29" s="33">
        <v>88631</v>
      </c>
    </row>
    <row r="30" spans="1:54">
      <c r="A30" s="39" t="s">
        <v>307</v>
      </c>
      <c r="B30" s="40">
        <v>122956</v>
      </c>
      <c r="C30" s="40">
        <v>123137</v>
      </c>
      <c r="D30" s="40">
        <v>116959</v>
      </c>
      <c r="E30" s="40">
        <v>114201</v>
      </c>
      <c r="F30" s="40">
        <v>110223</v>
      </c>
      <c r="G30" s="40">
        <v>108888</v>
      </c>
      <c r="H30" s="40">
        <v>112406</v>
      </c>
      <c r="I30" s="40">
        <v>116668</v>
      </c>
      <c r="J30" s="40">
        <v>119899</v>
      </c>
      <c r="K30" s="40">
        <v>123746</v>
      </c>
      <c r="L30" s="40">
        <v>125844</v>
      </c>
      <c r="M30" s="41">
        <v>125630</v>
      </c>
      <c r="N30" s="41">
        <v>125159</v>
      </c>
      <c r="O30" s="41">
        <v>125449</v>
      </c>
      <c r="P30" s="41">
        <v>126834</v>
      </c>
      <c r="Q30" s="41">
        <v>129123</v>
      </c>
      <c r="R30" s="41">
        <v>134606</v>
      </c>
      <c r="S30" s="41">
        <v>138820</v>
      </c>
      <c r="T30" s="41">
        <v>143004</v>
      </c>
      <c r="U30" s="41">
        <v>146445</v>
      </c>
      <c r="V30" s="41">
        <v>147174</v>
      </c>
      <c r="W30" s="41">
        <v>144620</v>
      </c>
      <c r="X30" s="41">
        <v>141881</v>
      </c>
      <c r="Y30" s="42">
        <v>136744</v>
      </c>
      <c r="Z30" s="42">
        <v>131845</v>
      </c>
      <c r="AA30" s="42">
        <v>129436</v>
      </c>
      <c r="AB30" s="42">
        <v>127998</v>
      </c>
      <c r="AC30" s="42">
        <v>127206</v>
      </c>
      <c r="AD30" s="40">
        <v>126679</v>
      </c>
      <c r="AE30" s="40">
        <v>125708</v>
      </c>
      <c r="AF30" s="27">
        <v>123448</v>
      </c>
      <c r="AG30" s="27">
        <v>120253</v>
      </c>
      <c r="AH30" s="294">
        <v>115139</v>
      </c>
      <c r="AI30" s="33">
        <v>108931</v>
      </c>
      <c r="AJ30" s="301">
        <v>98840</v>
      </c>
      <c r="AK30" s="363">
        <v>95336</v>
      </c>
      <c r="AL30" s="363">
        <v>92351</v>
      </c>
      <c r="AM30" s="33">
        <v>89193</v>
      </c>
      <c r="AN30" s="33">
        <v>85729</v>
      </c>
      <c r="AO30" s="33">
        <v>82634</v>
      </c>
      <c r="AP30" s="33">
        <v>81260</v>
      </c>
    </row>
    <row r="31" spans="1:54">
      <c r="A31" s="39" t="s">
        <v>308</v>
      </c>
      <c r="B31" s="40">
        <v>124792</v>
      </c>
      <c r="C31" s="40">
        <v>126303</v>
      </c>
      <c r="D31" s="40">
        <v>124222</v>
      </c>
      <c r="E31" s="40">
        <v>122711</v>
      </c>
      <c r="F31" s="40">
        <v>122112</v>
      </c>
      <c r="G31" s="40">
        <v>121100</v>
      </c>
      <c r="H31" s="40">
        <v>117931</v>
      </c>
      <c r="I31" s="40">
        <v>115761</v>
      </c>
      <c r="J31" s="40">
        <v>113886</v>
      </c>
      <c r="K31" s="40">
        <v>110394</v>
      </c>
      <c r="L31" s="40">
        <v>109072</v>
      </c>
      <c r="M31" s="41">
        <v>109822</v>
      </c>
      <c r="N31" s="41">
        <v>115628</v>
      </c>
      <c r="O31" s="41">
        <v>117023</v>
      </c>
      <c r="P31" s="41">
        <v>119863</v>
      </c>
      <c r="Q31" s="41">
        <v>121753</v>
      </c>
      <c r="R31" s="41">
        <v>120627</v>
      </c>
      <c r="S31" s="41">
        <v>119249</v>
      </c>
      <c r="T31" s="41">
        <v>119129</v>
      </c>
      <c r="U31" s="41">
        <v>120138</v>
      </c>
      <c r="V31" s="41">
        <v>122530</v>
      </c>
      <c r="W31" s="41">
        <v>127997</v>
      </c>
      <c r="X31" s="41">
        <v>132165</v>
      </c>
      <c r="Y31" s="42">
        <v>139694</v>
      </c>
      <c r="Z31" s="42">
        <v>141821</v>
      </c>
      <c r="AA31" s="42">
        <v>141961</v>
      </c>
      <c r="AB31" s="42">
        <v>140634</v>
      </c>
      <c r="AC31" s="42">
        <v>138180</v>
      </c>
      <c r="AD31" s="40">
        <v>134094</v>
      </c>
      <c r="AE31" s="40">
        <v>130362</v>
      </c>
      <c r="AF31" s="27">
        <v>127721</v>
      </c>
      <c r="AG31" s="27">
        <v>125667</v>
      </c>
      <c r="AH31" s="294">
        <v>123204</v>
      </c>
      <c r="AI31" s="33">
        <v>120965</v>
      </c>
      <c r="AJ31" s="301">
        <v>110970</v>
      </c>
      <c r="AK31" s="363">
        <v>108432</v>
      </c>
      <c r="AL31" s="363">
        <v>105582</v>
      </c>
      <c r="AM31" s="33">
        <v>102361</v>
      </c>
      <c r="AN31" s="33">
        <v>98134</v>
      </c>
      <c r="AO31" s="33">
        <v>93781</v>
      </c>
      <c r="AP31" s="33">
        <v>90377</v>
      </c>
    </row>
    <row r="32" spans="1:54">
      <c r="A32" s="39" t="s">
        <v>309</v>
      </c>
      <c r="B32" s="40">
        <v>123769</v>
      </c>
      <c r="C32" s="40">
        <v>123774</v>
      </c>
      <c r="D32" s="40">
        <v>121719</v>
      </c>
      <c r="E32" s="40">
        <v>122132</v>
      </c>
      <c r="F32" s="40">
        <v>122471</v>
      </c>
      <c r="G32" s="40">
        <v>121908</v>
      </c>
      <c r="H32" s="40">
        <v>122026</v>
      </c>
      <c r="I32" s="40">
        <v>121781</v>
      </c>
      <c r="J32" s="40">
        <v>120967</v>
      </c>
      <c r="K32" s="40">
        <v>121079</v>
      </c>
      <c r="L32" s="40">
        <v>120745</v>
      </c>
      <c r="M32" s="41">
        <v>119810</v>
      </c>
      <c r="N32" s="41">
        <v>115501</v>
      </c>
      <c r="O32" s="41">
        <v>115138</v>
      </c>
      <c r="P32" s="41">
        <v>110496</v>
      </c>
      <c r="Q32" s="41">
        <v>106010</v>
      </c>
      <c r="R32" s="41">
        <v>106030</v>
      </c>
      <c r="S32" s="41">
        <v>110471</v>
      </c>
      <c r="T32" s="41">
        <v>110925</v>
      </c>
      <c r="U32" s="41">
        <v>113109</v>
      </c>
      <c r="V32" s="41">
        <v>115351</v>
      </c>
      <c r="W32" s="41">
        <v>114460</v>
      </c>
      <c r="X32" s="41">
        <v>113650</v>
      </c>
      <c r="Y32" s="42">
        <v>115607</v>
      </c>
      <c r="Z32" s="42">
        <v>116826</v>
      </c>
      <c r="AA32" s="42">
        <v>121124</v>
      </c>
      <c r="AB32" s="42">
        <v>127029</v>
      </c>
      <c r="AC32" s="42">
        <v>132088</v>
      </c>
      <c r="AD32" s="40">
        <v>136235</v>
      </c>
      <c r="AE32" s="40">
        <v>139294</v>
      </c>
      <c r="AF32" s="27">
        <v>139758</v>
      </c>
      <c r="AG32" s="27">
        <v>137800</v>
      </c>
      <c r="AH32" s="294">
        <v>133388</v>
      </c>
      <c r="AI32" s="33">
        <v>127914</v>
      </c>
      <c r="AJ32" s="301">
        <v>114964</v>
      </c>
      <c r="AK32" s="363">
        <v>112259</v>
      </c>
      <c r="AL32" s="363">
        <v>110249</v>
      </c>
      <c r="AM32" s="33">
        <v>108831</v>
      </c>
      <c r="AN32" s="33">
        <v>107613</v>
      </c>
      <c r="AO32" s="33">
        <v>105727</v>
      </c>
      <c r="AP32" s="33">
        <v>103228</v>
      </c>
    </row>
    <row r="33" spans="1:42">
      <c r="A33" s="39" t="s">
        <v>310</v>
      </c>
      <c r="B33" s="40">
        <v>116664</v>
      </c>
      <c r="C33" s="40">
        <v>119382</v>
      </c>
      <c r="D33" s="40">
        <v>119722</v>
      </c>
      <c r="E33" s="40">
        <v>119950</v>
      </c>
      <c r="F33" s="40">
        <v>120287</v>
      </c>
      <c r="G33" s="40">
        <v>120583</v>
      </c>
      <c r="H33" s="40">
        <v>119784</v>
      </c>
      <c r="I33" s="40">
        <v>119032</v>
      </c>
      <c r="J33" s="40">
        <v>119586</v>
      </c>
      <c r="K33" s="40">
        <v>119836</v>
      </c>
      <c r="L33" s="40">
        <v>119529</v>
      </c>
      <c r="M33" s="41">
        <v>119756</v>
      </c>
      <c r="N33" s="41">
        <v>120168</v>
      </c>
      <c r="O33" s="41">
        <v>118697</v>
      </c>
      <c r="P33" s="41">
        <v>118220</v>
      </c>
      <c r="Q33" s="41">
        <v>118190</v>
      </c>
      <c r="R33" s="41">
        <v>115824</v>
      </c>
      <c r="S33" s="41">
        <v>111040</v>
      </c>
      <c r="T33" s="41">
        <v>110252</v>
      </c>
      <c r="U33" s="41">
        <v>105259</v>
      </c>
      <c r="V33" s="41">
        <v>100401</v>
      </c>
      <c r="W33" s="41">
        <v>99908</v>
      </c>
      <c r="X33" s="41">
        <v>104124</v>
      </c>
      <c r="Y33" s="42">
        <v>106869</v>
      </c>
      <c r="Z33" s="42">
        <v>109576</v>
      </c>
      <c r="AA33" s="42">
        <v>110905</v>
      </c>
      <c r="AB33" s="42">
        <v>110820</v>
      </c>
      <c r="AC33" s="42">
        <v>111332</v>
      </c>
      <c r="AD33" s="40">
        <v>112458</v>
      </c>
      <c r="AE33" s="40">
        <v>114415</v>
      </c>
      <c r="AF33" s="27">
        <v>118199</v>
      </c>
      <c r="AG33" s="27">
        <v>123643</v>
      </c>
      <c r="AH33" s="294">
        <v>127714</v>
      </c>
      <c r="AI33" s="33">
        <v>130511</v>
      </c>
      <c r="AJ33" s="301">
        <v>127045</v>
      </c>
      <c r="AK33" s="363">
        <v>126113</v>
      </c>
      <c r="AL33" s="363">
        <v>123313</v>
      </c>
      <c r="AM33" s="33">
        <v>119456</v>
      </c>
      <c r="AN33" s="33">
        <v>114773</v>
      </c>
      <c r="AO33" s="33">
        <v>110686</v>
      </c>
      <c r="AP33" s="33">
        <v>107987</v>
      </c>
    </row>
    <row r="34" spans="1:42">
      <c r="A34" s="39" t="s">
        <v>311</v>
      </c>
      <c r="B34" s="40">
        <v>89856</v>
      </c>
      <c r="C34" s="40">
        <v>94843</v>
      </c>
      <c r="D34" s="40">
        <v>102997</v>
      </c>
      <c r="E34" s="40">
        <v>107408</v>
      </c>
      <c r="F34" s="40">
        <v>110458</v>
      </c>
      <c r="G34" s="40">
        <v>112795</v>
      </c>
      <c r="H34" s="40">
        <v>115020</v>
      </c>
      <c r="I34" s="40">
        <v>116536</v>
      </c>
      <c r="J34" s="40">
        <v>117434</v>
      </c>
      <c r="K34" s="40">
        <v>118272</v>
      </c>
      <c r="L34" s="40">
        <v>118747</v>
      </c>
      <c r="M34" s="41">
        <v>118238</v>
      </c>
      <c r="N34" s="41">
        <v>117381</v>
      </c>
      <c r="O34" s="41">
        <v>116334</v>
      </c>
      <c r="P34" s="41">
        <v>116844</v>
      </c>
      <c r="Q34" s="41">
        <v>115414</v>
      </c>
      <c r="R34" s="41">
        <v>115053</v>
      </c>
      <c r="S34" s="41">
        <v>114808</v>
      </c>
      <c r="T34" s="41">
        <v>112755</v>
      </c>
      <c r="U34" s="41">
        <v>112085</v>
      </c>
      <c r="V34" s="41">
        <v>112208</v>
      </c>
      <c r="W34" s="41">
        <v>110065</v>
      </c>
      <c r="X34" s="41">
        <v>105597</v>
      </c>
      <c r="Y34" s="42">
        <v>102642</v>
      </c>
      <c r="Z34" s="42">
        <v>97816</v>
      </c>
      <c r="AA34" s="42">
        <v>95621</v>
      </c>
      <c r="AB34" s="42">
        <v>97772</v>
      </c>
      <c r="AC34" s="42">
        <v>100690</v>
      </c>
      <c r="AD34" s="40">
        <v>103170</v>
      </c>
      <c r="AE34" s="40">
        <v>106232</v>
      </c>
      <c r="AF34" s="27">
        <v>107618</v>
      </c>
      <c r="AG34" s="27">
        <v>107302</v>
      </c>
      <c r="AH34" s="294">
        <v>106891</v>
      </c>
      <c r="AI34" s="33">
        <v>107353</v>
      </c>
      <c r="AJ34" s="301">
        <v>104067</v>
      </c>
      <c r="AK34" s="363">
        <v>107867</v>
      </c>
      <c r="AL34" s="363">
        <v>112753</v>
      </c>
      <c r="AM34" s="33">
        <v>116878</v>
      </c>
      <c r="AN34" s="33">
        <v>120314</v>
      </c>
      <c r="AO34" s="33">
        <v>122114</v>
      </c>
      <c r="AP34" s="33">
        <v>121301</v>
      </c>
    </row>
    <row r="35" spans="1:42">
      <c r="A35" s="39" t="s">
        <v>312</v>
      </c>
      <c r="B35" s="40">
        <v>65268</v>
      </c>
      <c r="C35" s="40">
        <v>64253</v>
      </c>
      <c r="D35" s="40">
        <v>63950</v>
      </c>
      <c r="E35" s="40">
        <v>68112</v>
      </c>
      <c r="F35" s="40">
        <v>75097</v>
      </c>
      <c r="G35" s="40">
        <v>83984</v>
      </c>
      <c r="H35" s="40">
        <v>91757</v>
      </c>
      <c r="I35" s="40">
        <v>98042</v>
      </c>
      <c r="J35" s="40">
        <v>103418</v>
      </c>
      <c r="K35" s="40">
        <v>107736</v>
      </c>
      <c r="L35" s="40">
        <v>110741</v>
      </c>
      <c r="M35" s="41">
        <v>112810</v>
      </c>
      <c r="N35" s="41">
        <v>113356</v>
      </c>
      <c r="O35" s="41">
        <v>113762</v>
      </c>
      <c r="P35" s="41">
        <v>113450</v>
      </c>
      <c r="Q35" s="41">
        <v>114095</v>
      </c>
      <c r="R35" s="41">
        <v>111889</v>
      </c>
      <c r="S35" s="41">
        <v>110405</v>
      </c>
      <c r="T35" s="41">
        <v>109090</v>
      </c>
      <c r="U35" s="41">
        <v>109421</v>
      </c>
      <c r="V35" s="41">
        <v>108044</v>
      </c>
      <c r="W35" s="41">
        <v>107757</v>
      </c>
      <c r="X35" s="41">
        <v>107730</v>
      </c>
      <c r="Y35" s="42">
        <v>106465</v>
      </c>
      <c r="Z35" s="42">
        <v>106230</v>
      </c>
      <c r="AA35" s="42">
        <v>105587</v>
      </c>
      <c r="AB35" s="42">
        <v>102982</v>
      </c>
      <c r="AC35" s="42">
        <v>100669</v>
      </c>
      <c r="AD35" s="40">
        <v>98036</v>
      </c>
      <c r="AE35" s="40">
        <v>93961</v>
      </c>
      <c r="AF35" s="27">
        <v>91499</v>
      </c>
      <c r="AG35" s="27">
        <v>93146</v>
      </c>
      <c r="AH35" s="294">
        <v>95950</v>
      </c>
      <c r="AI35" s="33">
        <v>98373</v>
      </c>
      <c r="AJ35" s="301">
        <v>98097</v>
      </c>
      <c r="AK35" s="363">
        <v>98916</v>
      </c>
      <c r="AL35" s="363">
        <v>98061</v>
      </c>
      <c r="AM35" s="33">
        <v>97783</v>
      </c>
      <c r="AN35" s="33">
        <v>98525</v>
      </c>
      <c r="AO35" s="33">
        <v>100172</v>
      </c>
      <c r="AP35" s="33">
        <v>103924</v>
      </c>
    </row>
    <row r="36" spans="1:42">
      <c r="A36" s="39" t="s">
        <v>160</v>
      </c>
      <c r="B36" s="40">
        <v>77992</v>
      </c>
      <c r="C36" s="40">
        <v>77903</v>
      </c>
      <c r="D36" s="40">
        <v>74002</v>
      </c>
      <c r="E36" s="40">
        <v>69647</v>
      </c>
      <c r="F36" s="40">
        <v>64301</v>
      </c>
      <c r="G36" s="40">
        <v>59599</v>
      </c>
      <c r="H36" s="40">
        <v>57466</v>
      </c>
      <c r="I36" s="40">
        <v>58823</v>
      </c>
      <c r="J36" s="40">
        <v>63270</v>
      </c>
      <c r="K36" s="40">
        <v>70075</v>
      </c>
      <c r="L36" s="40">
        <v>78631</v>
      </c>
      <c r="M36" s="41">
        <v>83275</v>
      </c>
      <c r="N36" s="41">
        <v>90116</v>
      </c>
      <c r="O36" s="41">
        <v>95550</v>
      </c>
      <c r="P36" s="41">
        <v>99672</v>
      </c>
      <c r="Q36" s="41">
        <v>101656</v>
      </c>
      <c r="R36" s="41">
        <v>104109</v>
      </c>
      <c r="S36" s="41">
        <v>103994</v>
      </c>
      <c r="T36" s="41">
        <v>104023</v>
      </c>
      <c r="U36" s="41">
        <v>103505</v>
      </c>
      <c r="V36" s="41">
        <v>104295</v>
      </c>
      <c r="W36" s="41">
        <v>102391</v>
      </c>
      <c r="X36" s="41">
        <v>101332</v>
      </c>
      <c r="Y36" s="42">
        <v>101177</v>
      </c>
      <c r="Z36" s="42">
        <v>100847</v>
      </c>
      <c r="AA36" s="42">
        <v>100381</v>
      </c>
      <c r="AB36" s="42">
        <v>100764</v>
      </c>
      <c r="AC36" s="42">
        <v>100692</v>
      </c>
      <c r="AD36" s="40">
        <v>99946</v>
      </c>
      <c r="AE36" s="40">
        <v>99856</v>
      </c>
      <c r="AF36" s="27">
        <v>99434</v>
      </c>
      <c r="AG36" s="27">
        <v>96867</v>
      </c>
      <c r="AH36" s="294">
        <v>94433</v>
      </c>
      <c r="AI36" s="33">
        <v>92032</v>
      </c>
      <c r="AJ36" s="301">
        <v>85141</v>
      </c>
      <c r="AK36" s="363">
        <v>83247</v>
      </c>
      <c r="AL36" s="363">
        <v>85261</v>
      </c>
      <c r="AM36" s="33">
        <v>88018</v>
      </c>
      <c r="AN36" s="33">
        <v>90034</v>
      </c>
      <c r="AO36" s="33">
        <v>92493</v>
      </c>
      <c r="AP36" s="33">
        <v>93449</v>
      </c>
    </row>
    <row r="37" spans="1:42">
      <c r="A37" s="39" t="s">
        <v>313</v>
      </c>
      <c r="B37" s="40">
        <v>66729</v>
      </c>
      <c r="C37" s="40">
        <v>68284</v>
      </c>
      <c r="D37" s="40">
        <v>68281</v>
      </c>
      <c r="E37" s="40">
        <v>68159</v>
      </c>
      <c r="F37" s="40">
        <v>68117</v>
      </c>
      <c r="G37" s="40">
        <v>67955</v>
      </c>
      <c r="H37" s="40">
        <v>67287</v>
      </c>
      <c r="I37" s="40">
        <v>65316</v>
      </c>
      <c r="J37" s="40">
        <v>62062</v>
      </c>
      <c r="K37" s="40">
        <v>57901</v>
      </c>
      <c r="L37" s="40">
        <v>53856</v>
      </c>
      <c r="M37" s="41">
        <v>51863</v>
      </c>
      <c r="N37" s="41">
        <v>50869</v>
      </c>
      <c r="O37" s="41">
        <v>54203</v>
      </c>
      <c r="P37" s="41">
        <v>58940</v>
      </c>
      <c r="Q37" s="41">
        <v>66257</v>
      </c>
      <c r="R37" s="41">
        <v>73494</v>
      </c>
      <c r="S37" s="41">
        <v>79118</v>
      </c>
      <c r="T37" s="41">
        <v>83655</v>
      </c>
      <c r="U37" s="41">
        <v>87080</v>
      </c>
      <c r="V37" s="41">
        <v>89038</v>
      </c>
      <c r="W37" s="41">
        <v>91503</v>
      </c>
      <c r="X37" s="41">
        <v>91700</v>
      </c>
      <c r="Y37" s="42">
        <v>91675</v>
      </c>
      <c r="Z37" s="42">
        <v>92475</v>
      </c>
      <c r="AA37" s="42">
        <v>92262</v>
      </c>
      <c r="AB37" s="42">
        <v>91625</v>
      </c>
      <c r="AC37" s="42">
        <v>91495</v>
      </c>
      <c r="AD37" s="40">
        <v>91634</v>
      </c>
      <c r="AE37" s="40">
        <v>91662</v>
      </c>
      <c r="AF37" s="27">
        <v>91485</v>
      </c>
      <c r="AG37" s="27">
        <v>91692</v>
      </c>
      <c r="AH37" s="294">
        <v>91542</v>
      </c>
      <c r="AI37" s="33">
        <v>91078</v>
      </c>
      <c r="AJ37" s="301">
        <v>91236</v>
      </c>
      <c r="AK37" s="363">
        <v>90066</v>
      </c>
      <c r="AL37" s="363">
        <v>87053</v>
      </c>
      <c r="AM37" s="33">
        <v>84213</v>
      </c>
      <c r="AN37" s="33">
        <v>81512</v>
      </c>
      <c r="AO37" s="33">
        <v>78084</v>
      </c>
      <c r="AP37" s="33">
        <v>76510</v>
      </c>
    </row>
    <row r="38" spans="1:42">
      <c r="A38" s="39" t="s">
        <v>314</v>
      </c>
      <c r="B38" s="40">
        <v>49272</v>
      </c>
      <c r="C38" s="40">
        <v>49912</v>
      </c>
      <c r="D38" s="40">
        <v>50938</v>
      </c>
      <c r="E38" s="40">
        <v>51333</v>
      </c>
      <c r="F38" s="40">
        <v>52033</v>
      </c>
      <c r="G38" s="40">
        <v>52990</v>
      </c>
      <c r="H38" s="40">
        <v>54046</v>
      </c>
      <c r="I38" s="40">
        <v>54840</v>
      </c>
      <c r="J38" s="40">
        <v>55348</v>
      </c>
      <c r="K38" s="40">
        <v>55854</v>
      </c>
      <c r="L38" s="40">
        <v>56055</v>
      </c>
      <c r="M38" s="41">
        <v>55390</v>
      </c>
      <c r="N38" s="41">
        <v>54933</v>
      </c>
      <c r="O38" s="41">
        <v>52077</v>
      </c>
      <c r="P38" s="41">
        <v>49181</v>
      </c>
      <c r="Q38" s="41">
        <v>44733</v>
      </c>
      <c r="R38" s="41">
        <v>41876</v>
      </c>
      <c r="S38" s="41">
        <v>41058</v>
      </c>
      <c r="T38" s="41">
        <v>43776</v>
      </c>
      <c r="U38" s="41">
        <v>47646</v>
      </c>
      <c r="V38" s="41">
        <v>53729</v>
      </c>
      <c r="W38" s="41">
        <v>59691</v>
      </c>
      <c r="X38" s="41">
        <v>64611</v>
      </c>
      <c r="Y38" s="42">
        <v>68903</v>
      </c>
      <c r="Z38" s="42">
        <v>72953</v>
      </c>
      <c r="AA38" s="42">
        <v>75177</v>
      </c>
      <c r="AB38" s="42">
        <v>76332</v>
      </c>
      <c r="AC38" s="42">
        <v>76595</v>
      </c>
      <c r="AD38" s="40">
        <v>77120</v>
      </c>
      <c r="AE38" s="40">
        <v>77756</v>
      </c>
      <c r="AF38" s="27">
        <v>78030</v>
      </c>
      <c r="AG38" s="27">
        <v>77755</v>
      </c>
      <c r="AH38" s="294">
        <v>77729</v>
      </c>
      <c r="AI38" s="33">
        <v>78265</v>
      </c>
      <c r="AJ38" s="301">
        <v>80259</v>
      </c>
      <c r="AK38" s="363">
        <v>80494</v>
      </c>
      <c r="AL38" s="363">
        <v>81043</v>
      </c>
      <c r="AM38" s="33">
        <v>81014</v>
      </c>
      <c r="AN38" s="33">
        <v>80312</v>
      </c>
      <c r="AO38" s="33">
        <v>79817</v>
      </c>
      <c r="AP38" s="33">
        <v>78882</v>
      </c>
    </row>
    <row r="39" spans="1:42">
      <c r="A39" s="39" t="s">
        <v>315</v>
      </c>
      <c r="B39" s="40">
        <v>26015</v>
      </c>
      <c r="C39" s="40">
        <v>27393</v>
      </c>
      <c r="D39" s="40">
        <v>28952</v>
      </c>
      <c r="E39" s="40">
        <v>30355</v>
      </c>
      <c r="F39" s="40">
        <v>32058</v>
      </c>
      <c r="G39" s="40">
        <v>33491</v>
      </c>
      <c r="H39" s="40">
        <v>34315</v>
      </c>
      <c r="I39" s="40">
        <v>34933</v>
      </c>
      <c r="J39" s="40">
        <v>35717</v>
      </c>
      <c r="K39" s="40">
        <v>36582</v>
      </c>
      <c r="L39" s="40">
        <v>37308</v>
      </c>
      <c r="M39" s="41">
        <v>37174</v>
      </c>
      <c r="N39" s="41">
        <v>38196</v>
      </c>
      <c r="O39" s="41">
        <v>38890</v>
      </c>
      <c r="P39" s="41">
        <v>38906</v>
      </c>
      <c r="Q39" s="41">
        <v>39325</v>
      </c>
      <c r="R39" s="41">
        <v>38692</v>
      </c>
      <c r="S39" s="41">
        <v>38083</v>
      </c>
      <c r="T39" s="41">
        <v>35883</v>
      </c>
      <c r="U39" s="41">
        <v>33917</v>
      </c>
      <c r="V39" s="41">
        <v>30769</v>
      </c>
      <c r="W39" s="41">
        <v>29079</v>
      </c>
      <c r="X39" s="41">
        <v>28790</v>
      </c>
      <c r="Y39" s="42">
        <v>31561</v>
      </c>
      <c r="Z39" s="42">
        <v>36840</v>
      </c>
      <c r="AA39" s="42">
        <v>41671</v>
      </c>
      <c r="AB39" s="42">
        <v>45086</v>
      </c>
      <c r="AC39" s="42">
        <v>47668</v>
      </c>
      <c r="AD39" s="40">
        <v>50293</v>
      </c>
      <c r="AE39" s="40">
        <v>52299</v>
      </c>
      <c r="AF39" s="27">
        <v>54269</v>
      </c>
      <c r="AG39" s="27">
        <v>55810</v>
      </c>
      <c r="AH39" s="294">
        <v>56722</v>
      </c>
      <c r="AI39" s="33">
        <v>57481</v>
      </c>
      <c r="AJ39" s="301">
        <v>60258</v>
      </c>
      <c r="AK39" s="363">
        <v>60795</v>
      </c>
      <c r="AL39" s="363">
        <v>60746</v>
      </c>
      <c r="AM39" s="33">
        <v>61046</v>
      </c>
      <c r="AN39" s="33">
        <v>61914</v>
      </c>
      <c r="AO39" s="33">
        <v>62739</v>
      </c>
      <c r="AP39" s="33">
        <v>63214</v>
      </c>
    </row>
    <row r="40" spans="1:42">
      <c r="A40" s="39" t="s">
        <v>316</v>
      </c>
      <c r="B40" s="40">
        <v>18448</v>
      </c>
      <c r="C40" s="40">
        <v>18721</v>
      </c>
      <c r="D40" s="40">
        <v>18974</v>
      </c>
      <c r="E40" s="40">
        <v>19615</v>
      </c>
      <c r="F40" s="40">
        <v>20106</v>
      </c>
      <c r="G40" s="40">
        <v>20764</v>
      </c>
      <c r="H40" s="40">
        <v>21449</v>
      </c>
      <c r="I40" s="40">
        <v>22193</v>
      </c>
      <c r="J40" s="40">
        <v>23249</v>
      </c>
      <c r="K40" s="40">
        <v>24427</v>
      </c>
      <c r="L40" s="40">
        <v>25445</v>
      </c>
      <c r="M40" s="41">
        <v>27092</v>
      </c>
      <c r="N40" s="41">
        <v>27752</v>
      </c>
      <c r="O40" s="41">
        <v>28252</v>
      </c>
      <c r="P40" s="41">
        <v>29235</v>
      </c>
      <c r="Q40" s="41">
        <v>30007</v>
      </c>
      <c r="R40" s="41">
        <v>29952</v>
      </c>
      <c r="S40" s="41">
        <v>30120</v>
      </c>
      <c r="T40" s="41">
        <v>30297</v>
      </c>
      <c r="U40" s="41">
        <v>30306</v>
      </c>
      <c r="V40" s="41">
        <v>30601</v>
      </c>
      <c r="W40" s="41">
        <v>30460</v>
      </c>
      <c r="X40" s="41">
        <v>30514</v>
      </c>
      <c r="Y40" s="42">
        <v>27634</v>
      </c>
      <c r="Z40" s="42">
        <v>28582</v>
      </c>
      <c r="AA40" s="42">
        <v>27853</v>
      </c>
      <c r="AB40" s="42">
        <v>26247</v>
      </c>
      <c r="AC40" s="42">
        <v>25179</v>
      </c>
      <c r="AD40" s="40">
        <v>26258</v>
      </c>
      <c r="AE40" s="40">
        <v>27898</v>
      </c>
      <c r="AF40" s="27">
        <v>29890</v>
      </c>
      <c r="AG40" s="27">
        <v>32069</v>
      </c>
      <c r="AH40" s="294">
        <v>34259</v>
      </c>
      <c r="AI40" s="33">
        <v>36496</v>
      </c>
      <c r="AJ40" s="301">
        <v>42993</v>
      </c>
      <c r="AK40" s="363">
        <v>45422</v>
      </c>
      <c r="AL40" s="363">
        <v>47648</v>
      </c>
      <c r="AM40" s="33">
        <v>49298</v>
      </c>
      <c r="AN40" s="33">
        <v>50775</v>
      </c>
      <c r="AO40" s="33">
        <v>52387</v>
      </c>
      <c r="AP40" s="33">
        <v>53943</v>
      </c>
    </row>
    <row r="41" spans="1:42" ht="15.75">
      <c r="A41" s="39" t="s">
        <v>317</v>
      </c>
      <c r="B41" s="46">
        <v>1785753</v>
      </c>
      <c r="C41" s="46">
        <v>1807844</v>
      </c>
      <c r="D41" s="46">
        <v>1806938</v>
      </c>
      <c r="E41" s="46">
        <v>1817606</v>
      </c>
      <c r="F41" s="46">
        <v>1830350</v>
      </c>
      <c r="G41" s="46">
        <v>1844951</v>
      </c>
      <c r="H41" s="46">
        <v>1859577</v>
      </c>
      <c r="I41" s="46">
        <v>1874524</v>
      </c>
      <c r="J41" s="46">
        <v>1891400</v>
      </c>
      <c r="K41" s="46">
        <v>1908934</v>
      </c>
      <c r="L41" s="46">
        <v>1926455</v>
      </c>
      <c r="M41" s="44">
        <v>1935849</v>
      </c>
      <c r="N41" s="44">
        <v>1946235</v>
      </c>
      <c r="O41" s="44">
        <v>1950992</v>
      </c>
      <c r="P41" s="44">
        <v>1953537</v>
      </c>
      <c r="Q41" s="44">
        <v>1947924</v>
      </c>
      <c r="R41" s="44">
        <v>1937924</v>
      </c>
      <c r="S41" s="44">
        <v>1925783</v>
      </c>
      <c r="T41" s="44">
        <v>1913647</v>
      </c>
      <c r="U41" s="44">
        <v>1902172</v>
      </c>
      <c r="V41" s="44">
        <v>1890607</v>
      </c>
      <c r="W41" s="44">
        <v>1878840</v>
      </c>
      <c r="X41" s="44">
        <v>1867773</v>
      </c>
      <c r="Y41" s="53">
        <v>1853588</v>
      </c>
      <c r="Z41" s="53">
        <v>1848179</v>
      </c>
      <c r="AA41" s="53">
        <v>1841209</v>
      </c>
      <c r="AB41" s="53">
        <v>1832170</v>
      </c>
      <c r="AC41" s="53">
        <v>1821902</v>
      </c>
      <c r="AD41" s="46">
        <v>1812275</v>
      </c>
      <c r="AE41" s="47">
        <v>1803639</v>
      </c>
      <c r="AF41" s="47">
        <v>1794994</v>
      </c>
      <c r="AG41" s="47">
        <v>1785956</v>
      </c>
      <c r="AH41" s="295">
        <v>1759310</v>
      </c>
      <c r="AI41" s="34">
        <v>1725694</v>
      </c>
      <c r="AJ41" s="303">
        <v>1611572</v>
      </c>
      <c r="AK41" s="34">
        <v>1595246</v>
      </c>
      <c r="AL41" s="34">
        <v>1581241</v>
      </c>
      <c r="AM41" s="34">
        <v>1566978</v>
      </c>
      <c r="AN41" s="34">
        <v>1547334</v>
      </c>
      <c r="AO41" s="34">
        <v>1523663</v>
      </c>
      <c r="AP41" s="34">
        <v>1505101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C000"/>
  </sheetPr>
  <dimension ref="A1:AE53"/>
  <sheetViews>
    <sheetView zoomScaleNormal="100" workbookViewId="0">
      <selection activeCell="P3" sqref="P3"/>
    </sheetView>
  </sheetViews>
  <sheetFormatPr defaultRowHeight="12.75"/>
  <cols>
    <col min="1" max="1" width="5.5703125" bestFit="1" customWidth="1"/>
    <col min="2" max="2" width="2.140625" customWidth="1"/>
    <col min="3" max="3" width="13.28515625" bestFit="1" customWidth="1"/>
    <col min="4" max="6" width="7.7109375" customWidth="1"/>
    <col min="7" max="7" width="4.7109375" customWidth="1"/>
    <col min="8" max="8" width="10.7109375" customWidth="1"/>
    <col min="9" max="9" width="7.7109375" customWidth="1"/>
    <col min="10" max="11" width="4.5703125" customWidth="1"/>
    <col min="12" max="12" width="5.28515625" customWidth="1"/>
    <col min="13" max="16" width="7.7109375" customWidth="1"/>
    <col min="17" max="17" width="4.7109375" customWidth="1"/>
    <col min="18" max="18" width="10.7109375" customWidth="1"/>
    <col min="19" max="19" width="7.7109375" customWidth="1"/>
    <col min="20" max="20" width="0.140625" customWidth="1"/>
    <col min="21" max="21" width="4.42578125" customWidth="1"/>
    <col min="22" max="22" width="3.140625" style="211" customWidth="1"/>
    <col min="23" max="25" width="7.7109375" style="211" customWidth="1"/>
    <col min="26" max="26" width="8.5703125" style="211" bestFit="1" customWidth="1"/>
    <col min="27" max="29" width="7.7109375" style="211" customWidth="1"/>
    <col min="30" max="30" width="8.5703125" style="211" bestFit="1" customWidth="1"/>
    <col min="31" max="31" width="7.7109375" style="211" customWidth="1"/>
  </cols>
  <sheetData>
    <row r="1" spans="1:31" ht="20.100000000000001" customHeight="1">
      <c r="A1" s="243">
        <v>2012</v>
      </c>
      <c r="B1" s="243"/>
      <c r="C1" s="243" t="s">
        <v>405</v>
      </c>
      <c r="D1" s="31"/>
      <c r="E1" s="244"/>
      <c r="F1" s="31"/>
      <c r="G1" s="245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409"/>
      <c r="X1" s="409"/>
      <c r="Y1" s="409"/>
      <c r="Z1" s="242"/>
      <c r="AA1" s="409"/>
      <c r="AB1" s="409"/>
      <c r="AC1" s="409"/>
      <c r="AD1" s="31"/>
      <c r="AE1" s="31"/>
    </row>
    <row r="2" spans="1:31" ht="20.100000000000001" customHeight="1" thickBot="1">
      <c r="A2" s="243"/>
      <c r="B2" s="235"/>
      <c r="C2" s="235"/>
      <c r="D2" s="73"/>
      <c r="E2" s="236"/>
      <c r="F2" s="73"/>
      <c r="G2" s="237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31"/>
      <c r="W2" s="215"/>
      <c r="X2" s="215"/>
      <c r="Y2" s="215"/>
      <c r="Z2" s="242"/>
      <c r="AA2" s="215"/>
      <c r="AB2" s="215"/>
      <c r="AC2" s="215"/>
      <c r="AD2" s="31"/>
      <c r="AE2" s="31"/>
    </row>
    <row r="3" spans="1:31" ht="15">
      <c r="A3" s="31"/>
      <c r="B3" s="73"/>
      <c r="C3" s="73"/>
      <c r="D3" s="73"/>
      <c r="E3" s="73"/>
      <c r="F3" s="73"/>
      <c r="G3" s="73"/>
      <c r="H3" s="73"/>
      <c r="I3" s="73"/>
      <c r="J3" s="73"/>
      <c r="K3" s="73"/>
      <c r="L3" s="216"/>
      <c r="M3" s="217"/>
      <c r="N3" s="218"/>
      <c r="O3" s="218"/>
      <c r="P3" s="219">
        <v>2012</v>
      </c>
      <c r="Q3" s="218"/>
      <c r="R3" s="220"/>
      <c r="S3" s="221"/>
      <c r="T3" s="222">
        <f>A1</f>
        <v>2012</v>
      </c>
      <c r="U3" s="223"/>
      <c r="V3" s="31"/>
      <c r="W3" s="246"/>
      <c r="X3" s="402">
        <v>1978</v>
      </c>
      <c r="Y3" s="402"/>
      <c r="Z3" s="402"/>
      <c r="AA3" s="403"/>
      <c r="AB3" s="404">
        <f>2012</f>
        <v>2012</v>
      </c>
      <c r="AC3" s="402"/>
      <c r="AD3" s="402"/>
      <c r="AE3" s="403"/>
    </row>
    <row r="4" spans="1:31" ht="15">
      <c r="A4" s="31"/>
      <c r="B4" s="73"/>
      <c r="C4" s="73"/>
      <c r="D4" s="73"/>
      <c r="E4" s="73"/>
      <c r="F4" s="73"/>
      <c r="G4" s="73"/>
      <c r="H4" s="73"/>
      <c r="I4" s="73"/>
      <c r="J4" s="73"/>
      <c r="K4" s="73"/>
      <c r="L4" s="224"/>
      <c r="M4" s="225"/>
      <c r="N4" s="225"/>
      <c r="O4" s="225"/>
      <c r="P4" s="225"/>
      <c r="Q4" s="225"/>
      <c r="R4" s="225"/>
      <c r="S4" s="223"/>
      <c r="T4" s="226"/>
      <c r="U4" s="225"/>
      <c r="V4" s="31"/>
      <c r="W4" s="247"/>
      <c r="X4" s="241" t="s">
        <v>246</v>
      </c>
      <c r="Y4" s="241" t="s">
        <v>265</v>
      </c>
      <c r="Z4" s="241" t="s">
        <v>246</v>
      </c>
      <c r="AA4" s="248" t="s">
        <v>265</v>
      </c>
      <c r="AB4" s="256" t="s">
        <v>246</v>
      </c>
      <c r="AC4" s="257" t="s">
        <v>265</v>
      </c>
      <c r="AD4" s="241" t="s">
        <v>246</v>
      </c>
      <c r="AE4" s="248" t="s">
        <v>265</v>
      </c>
    </row>
    <row r="5" spans="1:31">
      <c r="A5" s="31"/>
      <c r="B5" s="73"/>
      <c r="C5" s="73"/>
      <c r="D5" s="73"/>
      <c r="E5" s="73"/>
      <c r="F5" s="73"/>
      <c r="G5" s="73"/>
      <c r="H5" s="73"/>
      <c r="I5" s="73"/>
      <c r="J5" s="73"/>
      <c r="K5" s="73"/>
      <c r="L5" s="224"/>
      <c r="M5" s="225"/>
      <c r="N5" s="225"/>
      <c r="O5" s="225"/>
      <c r="P5" s="225"/>
      <c r="Q5" s="225"/>
      <c r="R5" s="225"/>
      <c r="S5" s="225"/>
      <c r="T5" s="226"/>
      <c r="U5" s="225"/>
      <c r="V5" s="31"/>
      <c r="W5" s="247" t="s">
        <v>248</v>
      </c>
      <c r="X5" s="249">
        <f t="shared" ref="X5:X22" si="0">Z5/$Z$23</f>
        <v>-8.2632851090317663E-2</v>
      </c>
      <c r="Y5" s="249">
        <f t="shared" ref="Y5:Y22" si="1">AA5/$AA$23</f>
        <v>7.1721005088609679E-2</v>
      </c>
      <c r="Z5" s="250">
        <v>131689</v>
      </c>
      <c r="AA5" s="251">
        <v>128076</v>
      </c>
      <c r="AB5" s="258">
        <f t="shared" ref="AB5:AB22" si="2">AD5/$AD$23</f>
        <v>-5.6278116350736554E-2</v>
      </c>
      <c r="AC5" s="249">
        <f t="shared" ref="AC5:AC22" si="3">AE5/$AE$23</f>
        <v>4.5677140084340012E-2</v>
      </c>
      <c r="AD5" s="250">
        <f>HLOOKUP(Lent02v!$X$2,Populiacija!$B$1:$BB$20,2,FALSE)</f>
        <v>77450</v>
      </c>
      <c r="AE5" s="251">
        <f>HLOOKUP(Lent02m!$X$2,Populiacija!$B$1:$BB$40,23,FALSE)</f>
        <v>73612</v>
      </c>
    </row>
    <row r="6" spans="1:31">
      <c r="A6" s="31"/>
      <c r="B6" s="73"/>
      <c r="C6" s="73"/>
      <c r="D6" s="73"/>
      <c r="E6" s="73"/>
      <c r="F6" s="73"/>
      <c r="G6" s="73"/>
      <c r="H6" s="73"/>
      <c r="I6" s="73"/>
      <c r="J6" s="73"/>
      <c r="K6" s="73"/>
      <c r="L6" s="224"/>
      <c r="M6" s="225"/>
      <c r="N6" s="225"/>
      <c r="O6" s="225"/>
      <c r="P6" s="225"/>
      <c r="Q6" s="225"/>
      <c r="R6" s="225"/>
      <c r="S6" s="225"/>
      <c r="T6" s="226"/>
      <c r="U6" s="225"/>
      <c r="V6" s="31"/>
      <c r="W6" s="247" t="s">
        <v>249</v>
      </c>
      <c r="X6" s="249">
        <f t="shared" si="0"/>
        <v>-8.7398598449861448E-2</v>
      </c>
      <c r="Y6" s="249">
        <f t="shared" si="1"/>
        <v>7.5527802557240564E-2</v>
      </c>
      <c r="Z6" s="250">
        <v>139284</v>
      </c>
      <c r="AA6" s="251">
        <v>134874</v>
      </c>
      <c r="AB6" s="258">
        <f t="shared" si="2"/>
        <v>-5.0140931448240479E-2</v>
      </c>
      <c r="AC6" s="249">
        <f t="shared" si="3"/>
        <v>4.0937668313919574E-2</v>
      </c>
      <c r="AD6" s="250">
        <f>HLOOKUP(Lent02v!$X$2,Populiacija!$B$1:$BB$20,3,FALSE)</f>
        <v>69004</v>
      </c>
      <c r="AE6" s="251">
        <f>HLOOKUP(Lent02m!$X$2,Populiacija!$B$1:$BB$40,24,FALSE)</f>
        <v>65974</v>
      </c>
    </row>
    <row r="7" spans="1:31" ht="15">
      <c r="A7" s="31"/>
      <c r="B7" s="73"/>
      <c r="C7" s="73"/>
      <c r="D7" s="73"/>
      <c r="E7" s="73"/>
      <c r="F7" s="73"/>
      <c r="G7" s="73"/>
      <c r="H7" s="73"/>
      <c r="I7" s="73"/>
      <c r="J7" s="73"/>
      <c r="K7" s="73"/>
      <c r="L7" s="224"/>
      <c r="M7" s="225"/>
      <c r="N7" s="225"/>
      <c r="O7" s="225"/>
      <c r="P7" s="225"/>
      <c r="Q7" s="225"/>
      <c r="R7" s="227"/>
      <c r="S7" s="228"/>
      <c r="T7" s="226"/>
      <c r="U7" s="225"/>
      <c r="V7" s="31"/>
      <c r="W7" s="247" t="s">
        <v>250</v>
      </c>
      <c r="X7" s="249">
        <f t="shared" si="0"/>
        <v>-8.7034657242681016E-2</v>
      </c>
      <c r="Y7" s="249">
        <f t="shared" si="1"/>
        <v>7.5403485252439728E-2</v>
      </c>
      <c r="Z7" s="250">
        <v>138704</v>
      </c>
      <c r="AA7" s="251">
        <v>134652</v>
      </c>
      <c r="AB7" s="258">
        <f t="shared" si="2"/>
        <v>-5.5076257029314755E-2</v>
      </c>
      <c r="AC7" s="249">
        <f t="shared" si="3"/>
        <v>4.4364756895751478E-2</v>
      </c>
      <c r="AD7" s="250">
        <f>HLOOKUP(Lent02v!$X$2,Populiacija!$B$1:$BB$20,4,FALSE)</f>
        <v>75796</v>
      </c>
      <c r="AE7" s="251">
        <f>HLOOKUP(Lent02m!$X$2,Populiacija!$B$1:$BB$40,25,FALSE)</f>
        <v>71497</v>
      </c>
    </row>
    <row r="8" spans="1:31">
      <c r="A8" s="31"/>
      <c r="B8" s="73"/>
      <c r="C8" s="73"/>
      <c r="D8" s="73"/>
      <c r="E8" s="73"/>
      <c r="F8" s="73"/>
      <c r="G8" s="73"/>
      <c r="H8" s="73"/>
      <c r="I8" s="73"/>
      <c r="J8" s="73"/>
      <c r="K8" s="73"/>
      <c r="L8" s="224"/>
      <c r="M8" s="225"/>
      <c r="N8" s="225"/>
      <c r="O8" s="225"/>
      <c r="P8" s="225"/>
      <c r="Q8" s="225"/>
      <c r="R8" s="229"/>
      <c r="S8" s="229"/>
      <c r="T8" s="226"/>
      <c r="U8" s="225"/>
      <c r="V8" s="31"/>
      <c r="W8" s="247" t="s">
        <v>251</v>
      </c>
      <c r="X8" s="249">
        <f t="shared" si="0"/>
        <v>-9.7385019677924581E-2</v>
      </c>
      <c r="Y8" s="249">
        <f t="shared" si="1"/>
        <v>8.0916005740995542E-2</v>
      </c>
      <c r="Z8" s="250">
        <v>155199</v>
      </c>
      <c r="AA8" s="251">
        <v>144496</v>
      </c>
      <c r="AB8" s="258">
        <f t="shared" si="2"/>
        <v>-6.8016227280753322E-2</v>
      </c>
      <c r="AC8" s="249">
        <f t="shared" si="3"/>
        <v>5.5130022115052878E-2</v>
      </c>
      <c r="AD8" s="250">
        <f>HLOOKUP(Lent02v!$X$2,Populiacija!$B$1:$BB$20,5,FALSE)</f>
        <v>93604</v>
      </c>
      <c r="AE8" s="251">
        <f>HLOOKUP(Lent02m!$X$2,Populiacija!$B$1:$BB$40,26,FALSE)</f>
        <v>88846</v>
      </c>
    </row>
    <row r="9" spans="1:31">
      <c r="A9" s="31"/>
      <c r="B9" s="73"/>
      <c r="C9" s="73"/>
      <c r="D9" s="73"/>
      <c r="E9" s="73"/>
      <c r="F9" s="73"/>
      <c r="G9" s="73"/>
      <c r="H9" s="73"/>
      <c r="I9" s="73"/>
      <c r="J9" s="73"/>
      <c r="K9" s="73"/>
      <c r="L9" s="224"/>
      <c r="M9" s="225"/>
      <c r="N9" s="225"/>
      <c r="O9" s="225"/>
      <c r="P9" s="225"/>
      <c r="Q9" s="225"/>
      <c r="R9" s="229"/>
      <c r="S9" s="229"/>
      <c r="T9" s="226"/>
      <c r="U9" s="225"/>
      <c r="V9" s="31"/>
      <c r="W9" s="247" t="s">
        <v>252</v>
      </c>
      <c r="X9" s="249">
        <f t="shared" si="0"/>
        <v>-8.4350904582145295E-2</v>
      </c>
      <c r="Y9" s="249">
        <f t="shared" si="1"/>
        <v>7.2295552632418936E-2</v>
      </c>
      <c r="Z9" s="250">
        <v>134427</v>
      </c>
      <c r="AA9" s="251">
        <v>129102</v>
      </c>
      <c r="AB9" s="258">
        <f t="shared" si="2"/>
        <v>-7.9961430052732124E-2</v>
      </c>
      <c r="AC9" s="249">
        <f t="shared" si="3"/>
        <v>6.4487345275296412E-2</v>
      </c>
      <c r="AD9" s="250">
        <f>HLOOKUP(Lent02v!$X$2,Populiacija!$B$1:$BB$20,6,FALSE)</f>
        <v>110043</v>
      </c>
      <c r="AE9" s="251">
        <f>HLOOKUP(Lent02m!$X$2,Populiacija!$B$1:$BB$40,27,FALSE)</f>
        <v>103926</v>
      </c>
    </row>
    <row r="10" spans="1:31">
      <c r="A10" s="31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224"/>
      <c r="M10" s="225"/>
      <c r="N10" s="225"/>
      <c r="O10" s="225"/>
      <c r="P10" s="225"/>
      <c r="Q10" s="225"/>
      <c r="R10" s="229"/>
      <c r="S10" s="229"/>
      <c r="T10" s="226"/>
      <c r="U10" s="225"/>
      <c r="V10" s="31"/>
      <c r="W10" s="247" t="s">
        <v>253</v>
      </c>
      <c r="X10" s="249">
        <f t="shared" si="0"/>
        <v>-7.6778417533432397E-2</v>
      </c>
      <c r="Y10" s="249">
        <f t="shared" si="1"/>
        <v>6.8426596511387633E-2</v>
      </c>
      <c r="Z10" s="250">
        <v>122359</v>
      </c>
      <c r="AA10" s="251">
        <v>122193</v>
      </c>
      <c r="AB10" s="258">
        <f t="shared" si="2"/>
        <v>-7.2296851986010768E-2</v>
      </c>
      <c r="AC10" s="249">
        <f t="shared" si="3"/>
        <v>5.8984023053267241E-2</v>
      </c>
      <c r="AD10" s="250">
        <f>HLOOKUP(Lent02v!$X$2,Populiacija!$B$1:$BB$20,7,FALSE)</f>
        <v>99495</v>
      </c>
      <c r="AE10" s="251">
        <f>HLOOKUP(Lent02m!$X$2,Populiacija!$B$1:$BB$40,28,FALSE)</f>
        <v>95057</v>
      </c>
    </row>
    <row r="11" spans="1:31">
      <c r="A11" s="31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224"/>
      <c r="M11" s="225"/>
      <c r="N11" s="225"/>
      <c r="O11" s="225"/>
      <c r="P11" s="225"/>
      <c r="Q11" s="225"/>
      <c r="R11" s="229"/>
      <c r="S11" s="229"/>
      <c r="T11" s="226"/>
      <c r="U11" s="225"/>
      <c r="V11" s="31"/>
      <c r="W11" s="247" t="s">
        <v>254</v>
      </c>
      <c r="X11" s="249">
        <f t="shared" si="0"/>
        <v>-6.6259889161077862E-2</v>
      </c>
      <c r="Y11" s="249">
        <f t="shared" si="1"/>
        <v>6.1934097268771214E-2</v>
      </c>
      <c r="Z11" s="250">
        <v>105596</v>
      </c>
      <c r="AA11" s="251">
        <v>110599</v>
      </c>
      <c r="AB11" s="258">
        <f t="shared" si="2"/>
        <v>-6.4318366285157469E-2</v>
      </c>
      <c r="AC11" s="249">
        <f t="shared" si="3"/>
        <v>5.4224694894177861E-2</v>
      </c>
      <c r="AD11" s="250">
        <f>HLOOKUP(Lent02v!$X$2,Populiacija!$B$1:$BB$20,8,FALSE)</f>
        <v>88515</v>
      </c>
      <c r="AE11" s="251">
        <f>HLOOKUP(Lent02m!$X$2,Populiacija!$B$1:$BB$40,29,FALSE)</f>
        <v>87387</v>
      </c>
    </row>
    <row r="12" spans="1:31">
      <c r="A12" s="31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224"/>
      <c r="M12" s="225"/>
      <c r="N12" s="225"/>
      <c r="O12" s="225"/>
      <c r="P12" s="225"/>
      <c r="Q12" s="225"/>
      <c r="R12" s="229"/>
      <c r="S12" s="229"/>
      <c r="T12" s="226"/>
      <c r="U12" s="225"/>
      <c r="V12" s="31"/>
      <c r="W12" s="247" t="s">
        <v>255</v>
      </c>
      <c r="X12" s="249">
        <f t="shared" si="0"/>
        <v>-7.2633880165455203E-2</v>
      </c>
      <c r="Y12" s="249">
        <f t="shared" si="1"/>
        <v>6.8853867248158063E-2</v>
      </c>
      <c r="Z12" s="250">
        <v>115754</v>
      </c>
      <c r="AA12" s="251">
        <v>122956</v>
      </c>
      <c r="AB12" s="258">
        <f t="shared" si="2"/>
        <v>-6.6293368483237552E-2</v>
      </c>
      <c r="AC12" s="249">
        <f t="shared" si="3"/>
        <v>5.9157145941974666E-2</v>
      </c>
      <c r="AD12" s="250">
        <f>HLOOKUP(Lent02v!$X$2,Populiacija!$B$1:$BB$20,9,FALSE)</f>
        <v>91233</v>
      </c>
      <c r="AE12" s="251">
        <f>HLOOKUP(Lent02m!$X$2,Populiacija!$B$1:$BB$40,30,FALSE)</f>
        <v>95336</v>
      </c>
    </row>
    <row r="13" spans="1:31">
      <c r="A13" s="31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224"/>
      <c r="M13" s="225"/>
      <c r="N13" s="225"/>
      <c r="O13" s="225"/>
      <c r="P13" s="225"/>
      <c r="Q13" s="225"/>
      <c r="R13" s="229"/>
      <c r="S13" s="229"/>
      <c r="T13" s="226"/>
      <c r="U13" s="225"/>
      <c r="V13" s="31"/>
      <c r="W13" s="247" t="s">
        <v>256</v>
      </c>
      <c r="X13" s="249">
        <f t="shared" si="0"/>
        <v>-6.9465709208465523E-2</v>
      </c>
      <c r="Y13" s="249">
        <f t="shared" si="1"/>
        <v>6.9882004958132501E-2</v>
      </c>
      <c r="Z13" s="250">
        <v>110705</v>
      </c>
      <c r="AA13" s="251">
        <v>124792</v>
      </c>
      <c r="AB13" s="258">
        <f t="shared" si="2"/>
        <v>-7.3460926129250009E-2</v>
      </c>
      <c r="AC13" s="249">
        <f t="shared" si="3"/>
        <v>6.7283373004743199E-2</v>
      </c>
      <c r="AD13" s="250">
        <f>HLOOKUP(Lent02v!$X$2,Populiacija!$B$1:$BB$20,10,FALSE)</f>
        <v>101097</v>
      </c>
      <c r="AE13" s="251">
        <f>HLOOKUP(Lent02m!$X$2,Populiacija!$B$1:$BB$40,31,FALSE)</f>
        <v>108432</v>
      </c>
    </row>
    <row r="14" spans="1:31">
      <c r="A14" s="31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224"/>
      <c r="M14" s="225"/>
      <c r="N14" s="225"/>
      <c r="O14" s="225"/>
      <c r="P14" s="225"/>
      <c r="Q14" s="225"/>
      <c r="R14" s="229"/>
      <c r="S14" s="229"/>
      <c r="T14" s="226"/>
      <c r="U14" s="225"/>
      <c r="V14" s="31"/>
      <c r="W14" s="247" t="s">
        <v>257</v>
      </c>
      <c r="X14" s="249">
        <f t="shared" si="0"/>
        <v>-6.7709379141399947E-2</v>
      </c>
      <c r="Y14" s="249">
        <f t="shared" si="1"/>
        <v>6.9309137377901647E-2</v>
      </c>
      <c r="Z14" s="250">
        <v>107906</v>
      </c>
      <c r="AA14" s="251">
        <v>123769</v>
      </c>
      <c r="AB14" s="258">
        <f t="shared" si="2"/>
        <v>-7.4442614123954282E-2</v>
      </c>
      <c r="AC14" s="249">
        <f t="shared" si="3"/>
        <v>6.9658072987120651E-2</v>
      </c>
      <c r="AD14" s="250">
        <f>HLOOKUP(Lent02v!$X$2,Populiacija!$B$1:$BB$20,11,FALSE)</f>
        <v>102448</v>
      </c>
      <c r="AE14" s="251">
        <f>HLOOKUP(Lent02m!$X$2,Populiacija!$B$1:$BB$40,32,FALSE)</f>
        <v>112259</v>
      </c>
    </row>
    <row r="15" spans="1:31">
      <c r="A15" s="31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224"/>
      <c r="M15" s="225"/>
      <c r="N15" s="225"/>
      <c r="O15" s="225"/>
      <c r="P15" s="225"/>
      <c r="Q15" s="225"/>
      <c r="R15" s="229"/>
      <c r="S15" s="229"/>
      <c r="T15" s="226"/>
      <c r="U15" s="225"/>
      <c r="V15" s="31"/>
      <c r="W15" s="247" t="s">
        <v>258</v>
      </c>
      <c r="X15" s="249">
        <f t="shared" si="0"/>
        <v>-5.2772102526002972E-2</v>
      </c>
      <c r="Y15" s="249">
        <f t="shared" si="1"/>
        <v>6.5330423636415558E-2</v>
      </c>
      <c r="Z15" s="250">
        <v>84101</v>
      </c>
      <c r="AA15" s="251">
        <v>116664</v>
      </c>
      <c r="AB15" s="258">
        <f t="shared" si="2"/>
        <v>-8.0230286128261788E-2</v>
      </c>
      <c r="AC15" s="249">
        <f t="shared" si="3"/>
        <v>7.8254648256484968E-2</v>
      </c>
      <c r="AD15" s="250">
        <f>HLOOKUP(Lent02v!$X$2,Populiacija!$B$1:$BB$20,12,FALSE)</f>
        <v>110413</v>
      </c>
      <c r="AE15" s="251">
        <f>HLOOKUP(Lent02m!$X$2,Populiacija!$B$1:$BB$40,33,FALSE)</f>
        <v>126113</v>
      </c>
    </row>
    <row r="16" spans="1:31">
      <c r="A16" s="31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224"/>
      <c r="M16" s="225"/>
      <c r="N16" s="225"/>
      <c r="O16" s="225"/>
      <c r="P16" s="225"/>
      <c r="Q16" s="225"/>
      <c r="R16" s="229"/>
      <c r="S16" s="229"/>
      <c r="T16" s="226"/>
      <c r="U16" s="225"/>
      <c r="V16" s="31"/>
      <c r="W16" s="247" t="s">
        <v>259</v>
      </c>
      <c r="X16" s="249">
        <f t="shared" si="0"/>
        <v>-3.8180570057427414E-2</v>
      </c>
      <c r="Y16" s="249">
        <f t="shared" si="1"/>
        <v>5.0318269099925914E-2</v>
      </c>
      <c r="Z16" s="250">
        <v>60847</v>
      </c>
      <c r="AA16" s="251">
        <v>89856</v>
      </c>
      <c r="AB16" s="258">
        <f t="shared" si="2"/>
        <v>-6.4224629977743072E-2</v>
      </c>
      <c r="AC16" s="249">
        <f t="shared" si="3"/>
        <v>6.6932783642307009E-2</v>
      </c>
      <c r="AD16" s="250">
        <f>HLOOKUP(Lent02v!$X$2,Populiacija!$B$1:$BB$20,13,FALSE)</f>
        <v>88386</v>
      </c>
      <c r="AE16" s="251">
        <f>HLOOKUP(Lent02m!$X$2,Populiacija!$B$1:$BB$40,34,FALSE)</f>
        <v>107867</v>
      </c>
    </row>
    <row r="17" spans="1:31">
      <c r="A17" s="31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224"/>
      <c r="M17" s="225"/>
      <c r="N17" s="225"/>
      <c r="O17" s="225"/>
      <c r="P17" s="225"/>
      <c r="Q17" s="225"/>
      <c r="R17" s="229"/>
      <c r="S17" s="229"/>
      <c r="T17" s="226"/>
      <c r="U17" s="225"/>
      <c r="V17" s="31"/>
      <c r="W17" s="247" t="s">
        <v>260</v>
      </c>
      <c r="X17" s="249">
        <f t="shared" si="0"/>
        <v>-2.6195609614071726E-2</v>
      </c>
      <c r="Y17" s="249">
        <f t="shared" si="1"/>
        <v>3.6549287611444582E-2</v>
      </c>
      <c r="Z17" s="250">
        <v>41747</v>
      </c>
      <c r="AA17" s="251">
        <v>65268</v>
      </c>
      <c r="AB17" s="258">
        <f t="shared" si="2"/>
        <v>-5.2692157613604407E-2</v>
      </c>
      <c r="AC17" s="249">
        <f t="shared" si="3"/>
        <v>6.1378579424313649E-2</v>
      </c>
      <c r="AD17" s="250">
        <f>HLOOKUP(Lent02v!$X$2,Populiacija!$B$1:$BB$20,14,FALSE)</f>
        <v>72515</v>
      </c>
      <c r="AE17" s="251">
        <f>HLOOKUP(Lent02m!$X$2,Populiacija!$B$1:$BB$40,35,FALSE)</f>
        <v>98916</v>
      </c>
    </row>
    <row r="18" spans="1:31">
      <c r="A18" s="31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224"/>
      <c r="M18" s="225"/>
      <c r="N18" s="225"/>
      <c r="O18" s="225"/>
      <c r="P18" s="225"/>
      <c r="Q18" s="225"/>
      <c r="R18" s="229"/>
      <c r="S18" s="229"/>
      <c r="T18" s="226"/>
      <c r="U18" s="225"/>
      <c r="V18" s="31"/>
      <c r="W18" s="247" t="s">
        <v>261</v>
      </c>
      <c r="X18" s="249">
        <f t="shared" si="0"/>
        <v>-2.9547633629171521E-2</v>
      </c>
      <c r="Y18" s="249">
        <f t="shared" si="1"/>
        <v>4.3674573135254427E-2</v>
      </c>
      <c r="Z18" s="250">
        <v>47089</v>
      </c>
      <c r="AA18" s="251">
        <v>77992</v>
      </c>
      <c r="AB18" s="258">
        <f t="shared" si="2"/>
        <v>-3.8997210436556871E-2</v>
      </c>
      <c r="AC18" s="249">
        <f t="shared" si="3"/>
        <v>5.1655774610132217E-2</v>
      </c>
      <c r="AD18" s="250">
        <f>HLOOKUP(Lent02v!$X$2,Populiacija!$B$1:$BB$20,15,FALSE)</f>
        <v>53668</v>
      </c>
      <c r="AE18" s="251">
        <f>HLOOKUP(Lent02m!$X$2,Populiacija!$B$1:$BB$40,36,FALSE)</f>
        <v>83247</v>
      </c>
    </row>
    <row r="19" spans="1:31">
      <c r="A19" s="31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224"/>
      <c r="M19" s="225"/>
      <c r="N19" s="225"/>
      <c r="O19" s="225"/>
      <c r="P19" s="225"/>
      <c r="Q19" s="225"/>
      <c r="R19" s="229"/>
      <c r="S19" s="229"/>
      <c r="T19" s="226"/>
      <c r="U19" s="225"/>
      <c r="V19" s="31"/>
      <c r="W19" s="247" t="s">
        <v>262</v>
      </c>
      <c r="X19" s="249">
        <f t="shared" si="0"/>
        <v>-3.1029125336331873E-2</v>
      </c>
      <c r="Y19" s="249">
        <f t="shared" si="1"/>
        <v>3.7367429874120332E-2</v>
      </c>
      <c r="Z19" s="250">
        <v>49450</v>
      </c>
      <c r="AA19" s="251">
        <v>66729</v>
      </c>
      <c r="AB19" s="258">
        <f t="shared" si="2"/>
        <v>-3.7251825859739962E-2</v>
      </c>
      <c r="AC19" s="249">
        <f t="shared" si="3"/>
        <v>5.5887046933056669E-2</v>
      </c>
      <c r="AD19" s="250">
        <f>HLOOKUP(Lent02v!$X$2,Populiacija!$B$1:$BB$20,16,FALSE)</f>
        <v>51266</v>
      </c>
      <c r="AE19" s="251">
        <f>HLOOKUP(Lent02m!$X$2,Populiacija!$B$1:$BB$40,37,FALSE)</f>
        <v>90066</v>
      </c>
    </row>
    <row r="20" spans="1:31">
      <c r="A20" s="31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224"/>
      <c r="M20" s="225"/>
      <c r="N20" s="225"/>
      <c r="O20" s="225"/>
      <c r="P20" s="225"/>
      <c r="Q20" s="225"/>
      <c r="R20" s="229"/>
      <c r="S20" s="229"/>
      <c r="T20" s="226"/>
      <c r="U20" s="225"/>
      <c r="V20" s="31"/>
      <c r="W20" s="247" t="s">
        <v>263</v>
      </c>
      <c r="X20" s="249">
        <f t="shared" si="0"/>
        <v>-1.6705528894421912E-2</v>
      </c>
      <c r="Y20" s="249">
        <f t="shared" si="1"/>
        <v>2.7591721811471126E-2</v>
      </c>
      <c r="Z20" s="250">
        <v>26623</v>
      </c>
      <c r="AA20" s="251">
        <v>49272</v>
      </c>
      <c r="AB20" s="258">
        <f t="shared" si="2"/>
        <v>-2.8371582348799339E-2</v>
      </c>
      <c r="AC20" s="249">
        <f t="shared" si="3"/>
        <v>4.9947504672456455E-2</v>
      </c>
      <c r="AD20" s="250">
        <f>HLOOKUP(Lent02v!$X$2,Populiacija!$B$1:$BB$20,17,FALSE)</f>
        <v>39045</v>
      </c>
      <c r="AE20" s="251">
        <f>HLOOKUP(Lent02m!$X$2,Populiacija!$B$1:$BB$40,38,FALSE)</f>
        <v>80494</v>
      </c>
    </row>
    <row r="21" spans="1:31">
      <c r="A21" s="31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224"/>
      <c r="M21" s="225"/>
      <c r="N21" s="225"/>
      <c r="O21" s="225"/>
      <c r="P21" s="225"/>
      <c r="Q21" s="225"/>
      <c r="R21" s="229"/>
      <c r="S21" s="229"/>
      <c r="T21" s="226"/>
      <c r="U21" s="225"/>
      <c r="V21" s="31"/>
      <c r="W21" s="247" t="s">
        <v>264</v>
      </c>
      <c r="X21" s="249">
        <f t="shared" si="0"/>
        <v>-8.6065820649773098E-3</v>
      </c>
      <c r="Y21" s="249">
        <f t="shared" si="1"/>
        <v>1.4568084163935326E-2</v>
      </c>
      <c r="Z21" s="250">
        <v>13716</v>
      </c>
      <c r="AA21" s="251">
        <v>26015</v>
      </c>
      <c r="AB21" s="258">
        <f t="shared" si="2"/>
        <v>-1.8206642779652102E-2</v>
      </c>
      <c r="AC21" s="249">
        <f t="shared" si="3"/>
        <v>3.7724035910278911E-2</v>
      </c>
      <c r="AD21" s="250">
        <f>HLOOKUP(Lent02v!$X$2,Populiacija!$B$1:$BB$20,18,FALSE)</f>
        <v>25056</v>
      </c>
      <c r="AE21" s="251">
        <f>HLOOKUP(Lent02m!$X$2,Populiacija!$B$1:$BB$40,39,FALSE)</f>
        <v>60795</v>
      </c>
    </row>
    <row r="22" spans="1:31">
      <c r="A22" s="31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224"/>
      <c r="M22" s="225"/>
      <c r="N22" s="225"/>
      <c r="O22" s="225"/>
      <c r="P22" s="225"/>
      <c r="Q22" s="225"/>
      <c r="R22" s="229"/>
      <c r="S22" s="229"/>
      <c r="T22" s="226"/>
      <c r="U22" s="225"/>
      <c r="V22" s="31"/>
      <c r="W22" s="247" t="s">
        <v>23</v>
      </c>
      <c r="X22" s="249">
        <f t="shared" si="0"/>
        <v>-5.3135416248343437E-3</v>
      </c>
      <c r="Y22" s="249">
        <f t="shared" si="1"/>
        <v>1.033065603137724E-2</v>
      </c>
      <c r="Z22" s="250">
        <v>8468</v>
      </c>
      <c r="AA22" s="251">
        <v>18448</v>
      </c>
      <c r="AB22" s="258">
        <f t="shared" si="2"/>
        <v>-9.7434895048034414E-3</v>
      </c>
      <c r="AC22" s="249">
        <f t="shared" si="3"/>
        <v>2.818490269128528E-2</v>
      </c>
      <c r="AD22" s="250">
        <f>HLOOKUP(Lent02v!$X$2,Populiacija!$B$1:$BB$20,19,FALSE)</f>
        <v>13409</v>
      </c>
      <c r="AE22" s="251">
        <f>HLOOKUP(Lent02m!$X$2,Populiacija!$B$1:$BB$40,40,FALSE)</f>
        <v>45422</v>
      </c>
    </row>
    <row r="23" spans="1:31">
      <c r="A23" s="31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224"/>
      <c r="M23" s="225"/>
      <c r="N23" s="225"/>
      <c r="O23" s="225"/>
      <c r="P23" s="225"/>
      <c r="Q23" s="225"/>
      <c r="R23" s="229"/>
      <c r="S23" s="229"/>
      <c r="T23" s="226"/>
      <c r="U23" s="225"/>
      <c r="V23" s="31"/>
      <c r="W23" s="252" t="s">
        <v>247</v>
      </c>
      <c r="X23" s="253"/>
      <c r="Y23" s="253"/>
      <c r="Z23" s="254">
        <v>-1593664</v>
      </c>
      <c r="AA23" s="255">
        <v>1785753</v>
      </c>
      <c r="AB23" s="252"/>
      <c r="AC23" s="253"/>
      <c r="AD23" s="254">
        <f>-Populiacija!AJ20</f>
        <v>-1376201</v>
      </c>
      <c r="AE23" s="255">
        <f>Populiacija!AJ41</f>
        <v>1611572</v>
      </c>
    </row>
    <row r="24" spans="1:31" ht="13.5" thickBot="1">
      <c r="A24" s="31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230"/>
      <c r="M24" s="231"/>
      <c r="N24" s="231"/>
      <c r="O24" s="231"/>
      <c r="P24" s="231"/>
      <c r="Q24" s="231"/>
      <c r="R24" s="232"/>
      <c r="S24" s="232"/>
      <c r="T24" s="233"/>
      <c r="U24" s="225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>
      <c r="A25" s="31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225"/>
      <c r="M25" s="225"/>
      <c r="N25" s="225"/>
      <c r="O25" s="225"/>
      <c r="P25" s="225"/>
      <c r="Q25" s="225"/>
      <c r="R25" s="229"/>
      <c r="S25" s="229"/>
      <c r="T25" s="225"/>
      <c r="U25" s="225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>
      <c r="A26" s="31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225"/>
      <c r="M26" s="225"/>
      <c r="N26" s="225"/>
      <c r="O26" s="225"/>
      <c r="P26" s="225"/>
      <c r="Q26" s="225"/>
      <c r="R26" s="234"/>
      <c r="S26" s="234"/>
      <c r="T26" s="225"/>
      <c r="U26" s="225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13.5" thickBot="1">
      <c r="A27" s="31"/>
      <c r="B27" s="73"/>
      <c r="C27" s="73"/>
      <c r="D27" s="73"/>
      <c r="E27" s="73"/>
      <c r="F27" s="73"/>
      <c r="G27" s="73"/>
      <c r="H27" s="31"/>
      <c r="I27" s="31"/>
      <c r="J27" s="31"/>
      <c r="K27" s="31"/>
      <c r="L27" s="241"/>
      <c r="M27" s="241"/>
      <c r="N27" s="241"/>
      <c r="O27" s="241"/>
      <c r="P27" s="241"/>
      <c r="Q27" s="241"/>
      <c r="R27" s="241"/>
      <c r="S27" s="241"/>
      <c r="T27" s="24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ht="13.5" thickBot="1">
      <c r="A28" s="31"/>
      <c r="B28" s="73"/>
      <c r="C28" s="304" t="s">
        <v>446</v>
      </c>
      <c r="D28" s="405" t="s">
        <v>430</v>
      </c>
      <c r="E28" s="407">
        <v>2012</v>
      </c>
      <c r="F28" s="408"/>
      <c r="G28" s="73"/>
      <c r="H28" s="31"/>
      <c r="I28" s="31"/>
      <c r="J28" s="31"/>
      <c r="K28" s="31"/>
      <c r="L28" s="241"/>
      <c r="M28" s="241"/>
      <c r="N28" s="31"/>
      <c r="O28" s="31"/>
      <c r="P28" s="31"/>
      <c r="Q28" s="31"/>
      <c r="R28" s="31"/>
      <c r="S28" s="241"/>
      <c r="T28" s="24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ht="13.5" customHeight="1" thickBot="1">
      <c r="A29" s="31"/>
      <c r="B29" s="73"/>
      <c r="C29" s="304" t="s">
        <v>447</v>
      </c>
      <c r="D29" s="406"/>
      <c r="E29" s="238" t="s">
        <v>246</v>
      </c>
      <c r="F29" s="238" t="s">
        <v>431</v>
      </c>
      <c r="G29" s="73"/>
      <c r="H29" s="31"/>
      <c r="I29" s="31"/>
      <c r="J29" s="31"/>
      <c r="K29" s="31"/>
      <c r="L29" s="24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ht="13.5" thickBot="1">
      <c r="A30" s="31"/>
      <c r="B30" s="73"/>
      <c r="C30" s="73"/>
      <c r="D30" s="239" t="s">
        <v>428</v>
      </c>
      <c r="E30" s="240">
        <f>Populiacija!AJ20</f>
        <v>1376201</v>
      </c>
      <c r="F30" s="240">
        <f>Populiacija!AJ41</f>
        <v>1611572</v>
      </c>
      <c r="G30" s="73"/>
      <c r="H30" s="31"/>
      <c r="I30" s="31"/>
      <c r="J30" s="31"/>
      <c r="K30" s="31"/>
      <c r="L30" s="24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ht="13.5" thickBot="1">
      <c r="A31" s="31"/>
      <c r="B31" s="73"/>
      <c r="C31" s="73"/>
      <c r="D31" s="239" t="s">
        <v>300</v>
      </c>
      <c r="E31" s="240">
        <f>Populiacija!AJ2</f>
        <v>76990</v>
      </c>
      <c r="F31" s="240">
        <f>Populiacija!AJ23</f>
        <v>73013</v>
      </c>
      <c r="G31" s="73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ht="13.5" thickBot="1">
      <c r="A32" s="31"/>
      <c r="B32" s="73"/>
      <c r="C32" s="73"/>
      <c r="D32" s="239" t="s">
        <v>301</v>
      </c>
      <c r="E32" s="240">
        <f>Populiacija!AJ3</f>
        <v>69031</v>
      </c>
      <c r="F32" s="240">
        <f>Populiacija!AJ24</f>
        <v>65809</v>
      </c>
      <c r="G32" s="73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ht="13.5" thickBot="1">
      <c r="A33" s="31"/>
      <c r="B33" s="73"/>
      <c r="C33" s="73"/>
      <c r="D33" s="239" t="s">
        <v>302</v>
      </c>
      <c r="E33" s="240">
        <f>Populiacija!AJ4</f>
        <v>80024</v>
      </c>
      <c r="F33" s="240">
        <f>Populiacija!AJ25</f>
        <v>75452</v>
      </c>
      <c r="G33" s="73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ht="13.5" thickBot="1">
      <c r="A34" s="31"/>
      <c r="B34" s="73"/>
      <c r="C34" s="73"/>
      <c r="D34" s="239" t="s">
        <v>303</v>
      </c>
      <c r="E34" s="240">
        <f>Populiacija!AJ5</f>
        <v>99735</v>
      </c>
      <c r="F34" s="240">
        <f>Populiacija!AJ26</f>
        <v>95059</v>
      </c>
      <c r="G34" s="73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ht="13.5" thickBot="1">
      <c r="A35" s="31"/>
      <c r="B35" s="73"/>
      <c r="C35" s="73"/>
      <c r="D35" s="239" t="s">
        <v>304</v>
      </c>
      <c r="E35" s="240">
        <f>Populiacija!AJ6</f>
        <v>110229</v>
      </c>
      <c r="F35" s="240">
        <f>Populiacija!AJ27</f>
        <v>104570</v>
      </c>
      <c r="G35" s="73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ht="13.5" thickBot="1">
      <c r="A36" s="31"/>
      <c r="B36" s="73"/>
      <c r="C36" s="73"/>
      <c r="D36" s="239" t="s">
        <v>305</v>
      </c>
      <c r="E36" s="240">
        <f>Populiacija!AJ7</f>
        <v>98582</v>
      </c>
      <c r="F36" s="240">
        <f>Populiacija!AJ28</f>
        <v>94921</v>
      </c>
      <c r="G36" s="73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ht="13.5" thickBot="1">
      <c r="A37" s="31"/>
      <c r="B37" s="73"/>
      <c r="C37" s="73"/>
      <c r="D37" s="239" t="s">
        <v>306</v>
      </c>
      <c r="E37" s="240">
        <f>Populiacija!AJ8</f>
        <v>89229</v>
      </c>
      <c r="F37" s="240">
        <f>Populiacija!AJ29</f>
        <v>88878</v>
      </c>
      <c r="G37" s="73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ht="13.5" thickBot="1">
      <c r="A38" s="31"/>
      <c r="B38" s="73"/>
      <c r="C38" s="73"/>
      <c r="D38" s="239" t="s">
        <v>307</v>
      </c>
      <c r="E38" s="240">
        <f>Populiacija!AJ9</f>
        <v>93818</v>
      </c>
      <c r="F38" s="240">
        <f>Populiacija!AJ30</f>
        <v>98840</v>
      </c>
      <c r="G38" s="73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ht="13.5" thickBot="1">
      <c r="A39" s="31"/>
      <c r="B39" s="73"/>
      <c r="C39" s="73"/>
      <c r="D39" s="239" t="s">
        <v>308</v>
      </c>
      <c r="E39" s="240">
        <f>Populiacija!AJ10</f>
        <v>103082</v>
      </c>
      <c r="F39" s="240">
        <f>Populiacija!AJ31</f>
        <v>110970</v>
      </c>
      <c r="G39" s="73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ht="13.5" thickBot="1">
      <c r="A40" s="31"/>
      <c r="B40" s="73"/>
      <c r="C40" s="73"/>
      <c r="D40" s="239" t="s">
        <v>309</v>
      </c>
      <c r="E40" s="240">
        <f>Populiacija!AJ11</f>
        <v>105353</v>
      </c>
      <c r="F40" s="240">
        <f>Populiacija!AJ32</f>
        <v>114964</v>
      </c>
      <c r="G40" s="73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ht="13.5" thickBot="1">
      <c r="A41" s="31"/>
      <c r="B41" s="73"/>
      <c r="C41" s="73"/>
      <c r="D41" s="239" t="s">
        <v>310</v>
      </c>
      <c r="E41" s="240">
        <f>Populiacija!AJ12</f>
        <v>110854</v>
      </c>
      <c r="F41" s="240">
        <f>Populiacija!AJ33</f>
        <v>127045</v>
      </c>
      <c r="G41" s="73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ht="13.5" thickBot="1">
      <c r="A42" s="31"/>
      <c r="B42" s="73"/>
      <c r="C42" s="73"/>
      <c r="D42" s="239" t="s">
        <v>311</v>
      </c>
      <c r="E42" s="240">
        <f>Populiacija!AJ13</f>
        <v>84799</v>
      </c>
      <c r="F42" s="240">
        <f>Populiacija!AJ34</f>
        <v>104067</v>
      </c>
      <c r="G42" s="73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ht="13.5" thickBot="1">
      <c r="A43" s="31"/>
      <c r="B43" s="73"/>
      <c r="C43" s="73"/>
      <c r="D43" s="239" t="s">
        <v>432</v>
      </c>
      <c r="E43" s="240">
        <f>Populiacija!AJ14</f>
        <v>71597</v>
      </c>
      <c r="F43" s="240">
        <f>Populiacija!AJ35</f>
        <v>98097</v>
      </c>
      <c r="G43" s="73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1:31" ht="13.5" thickBot="1">
      <c r="A44" s="31"/>
      <c r="B44" s="73"/>
      <c r="C44" s="73"/>
      <c r="D44" s="239" t="s">
        <v>160</v>
      </c>
      <c r="E44" s="240">
        <f>Populiacija!AJ15</f>
        <v>54690</v>
      </c>
      <c r="F44" s="240">
        <f>Populiacija!AJ36</f>
        <v>85141</v>
      </c>
      <c r="G44" s="73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  <row r="45" spans="1:31" ht="13.5" thickBot="1">
      <c r="A45" s="31"/>
      <c r="B45" s="73"/>
      <c r="C45" s="73"/>
      <c r="D45" s="239" t="s">
        <v>313</v>
      </c>
      <c r="E45" s="240">
        <f>Populiacija!AJ16</f>
        <v>52108</v>
      </c>
      <c r="F45" s="240">
        <f>Populiacija!AJ37</f>
        <v>91236</v>
      </c>
      <c r="G45" s="73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</row>
    <row r="46" spans="1:31" ht="13.5" thickBot="1">
      <c r="A46" s="31"/>
      <c r="B46" s="73"/>
      <c r="C46" s="73"/>
      <c r="D46" s="239" t="s">
        <v>314</v>
      </c>
      <c r="E46" s="240">
        <f>Populiacija!AJ17</f>
        <v>38873</v>
      </c>
      <c r="F46" s="240">
        <f>Populiacija!AJ38</f>
        <v>80259</v>
      </c>
      <c r="G46" s="73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1:31" ht="13.5" thickBot="1">
      <c r="A47" s="31"/>
      <c r="B47" s="73"/>
      <c r="C47" s="73"/>
      <c r="D47" s="239" t="s">
        <v>315</v>
      </c>
      <c r="E47" s="240">
        <f>Populiacija!AJ18</f>
        <v>24864</v>
      </c>
      <c r="F47" s="240">
        <f>Populiacija!AJ39</f>
        <v>60258</v>
      </c>
      <c r="G47" s="73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1:31" ht="13.5" thickBot="1">
      <c r="A48" s="31"/>
      <c r="B48" s="73"/>
      <c r="C48" s="73"/>
      <c r="D48" s="239" t="s">
        <v>316</v>
      </c>
      <c r="E48" s="240">
        <f>Populiacija!AJ19</f>
        <v>12343</v>
      </c>
      <c r="F48" s="240">
        <f>Populiacija!AJ40</f>
        <v>42993</v>
      </c>
      <c r="G48" s="73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1">
      <c r="A49" s="31"/>
      <c r="B49" s="73"/>
      <c r="C49" s="73"/>
      <c r="D49" s="73"/>
      <c r="E49" s="73"/>
      <c r="F49" s="73"/>
      <c r="G49" s="73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3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3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</row>
    <row r="52" spans="1:3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:3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</sheetData>
  <mergeCells count="6">
    <mergeCell ref="X3:AA3"/>
    <mergeCell ref="AB3:AE3"/>
    <mergeCell ref="D28:D29"/>
    <mergeCell ref="E28:F28"/>
    <mergeCell ref="W1:Y1"/>
    <mergeCell ref="AA1:AC1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6" tint="0.39997558519241921"/>
  </sheetPr>
  <dimension ref="A1:AE44"/>
  <sheetViews>
    <sheetView zoomScaleNormal="100" workbookViewId="0">
      <selection activeCell="D1" sqref="D1"/>
    </sheetView>
  </sheetViews>
  <sheetFormatPr defaultRowHeight="12.75"/>
  <cols>
    <col min="1" max="1" width="6.7109375" customWidth="1"/>
    <col min="2" max="2" width="0.140625" customWidth="1"/>
    <col min="3" max="6" width="7.7109375" customWidth="1"/>
    <col min="7" max="7" width="4.7109375" customWidth="1"/>
    <col min="8" max="8" width="10.7109375" customWidth="1"/>
    <col min="9" max="9" width="7.7109375" customWidth="1"/>
    <col min="10" max="10" width="0.85546875" customWidth="1"/>
    <col min="11" max="11" width="2.7109375" customWidth="1"/>
    <col min="12" max="12" width="0.85546875" customWidth="1"/>
    <col min="13" max="16" width="7.7109375" customWidth="1"/>
    <col min="17" max="17" width="4.7109375" customWidth="1"/>
    <col min="18" max="18" width="10.7109375" customWidth="1"/>
    <col min="19" max="19" width="7.7109375" customWidth="1"/>
    <col min="20" max="20" width="0.140625" customWidth="1"/>
    <col min="21" max="21" width="7.7109375" customWidth="1"/>
    <col min="22" max="22" width="9.140625" style="211"/>
    <col min="23" max="23" width="28.140625" style="211" bestFit="1" customWidth="1"/>
    <col min="24" max="24" width="6" style="211" bestFit="1" customWidth="1"/>
    <col min="25" max="25" width="5.7109375" style="211" bestFit="1" customWidth="1"/>
    <col min="26" max="26" width="8.5703125" style="211" bestFit="1" customWidth="1"/>
    <col min="27" max="27" width="24" style="211" bestFit="1" customWidth="1"/>
    <col min="28" max="28" width="5" style="211" bestFit="1" customWidth="1"/>
    <col min="29" max="29" width="5.7109375" style="211" bestFit="1" customWidth="1"/>
    <col min="30" max="30" width="9.140625" style="211"/>
    <col min="31" max="31" width="9.42578125" style="211" bestFit="1" customWidth="1"/>
  </cols>
  <sheetData>
    <row r="1" spans="1:31" ht="20.100000000000001" customHeight="1">
      <c r="A1" s="343">
        <v>2013</v>
      </c>
      <c r="B1" s="343"/>
      <c r="C1" s="343" t="s">
        <v>405</v>
      </c>
      <c r="D1" s="243" t="s">
        <v>634</v>
      </c>
      <c r="E1" s="343" t="s">
        <v>425</v>
      </c>
      <c r="F1" s="341"/>
      <c r="G1" s="342" t="s">
        <v>406</v>
      </c>
      <c r="H1" s="341"/>
      <c r="I1" s="341"/>
      <c r="J1" s="341"/>
      <c r="K1" s="341"/>
      <c r="L1" s="341"/>
      <c r="M1" s="341"/>
      <c r="N1" s="341"/>
      <c r="O1" s="341"/>
      <c r="P1" s="341"/>
      <c r="Q1" s="31"/>
      <c r="R1" s="31"/>
      <c r="S1" s="31"/>
      <c r="T1" s="31"/>
      <c r="U1" s="31"/>
      <c r="V1" s="341"/>
      <c r="W1" s="411" t="s">
        <v>477</v>
      </c>
      <c r="X1" s="411"/>
      <c r="Y1" s="411"/>
      <c r="Z1" s="341"/>
      <c r="AA1" s="411" t="s">
        <v>480</v>
      </c>
      <c r="AB1" s="411"/>
      <c r="AC1" s="411"/>
      <c r="AD1" s="341"/>
      <c r="AE1" s="31"/>
    </row>
    <row r="2" spans="1:31" ht="20.100000000000001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341"/>
      <c r="W2" s="341" t="s">
        <v>26</v>
      </c>
      <c r="X2" s="341">
        <v>5061</v>
      </c>
      <c r="Y2" s="356">
        <v>0.28376787216148025</v>
      </c>
      <c r="Z2" s="341"/>
      <c r="AA2" s="341" t="s">
        <v>26</v>
      </c>
      <c r="AB2" s="341">
        <v>978</v>
      </c>
      <c r="AC2" s="356">
        <v>0.31467181467181465</v>
      </c>
      <c r="AD2" s="341"/>
      <c r="AE2" s="31"/>
    </row>
    <row r="3" spans="1:31" ht="24.95" customHeight="1">
      <c r="A3" s="73"/>
      <c r="B3" s="73"/>
      <c r="C3" s="410" t="str">
        <f>W1</f>
        <v>Vyrai ir moterys, visos amžiaus grupės (17835 atv.)</v>
      </c>
      <c r="D3" s="410"/>
      <c r="E3" s="410"/>
      <c r="F3" s="410"/>
      <c r="G3" s="410"/>
      <c r="H3" s="410"/>
      <c r="I3" s="410"/>
      <c r="J3" s="205"/>
      <c r="K3" s="73"/>
      <c r="L3" s="73"/>
      <c r="M3" s="410" t="str">
        <f>AA1</f>
        <v>Vyrai ir moterys, 30-54 metų (3108 atv.)</v>
      </c>
      <c r="N3" s="410"/>
      <c r="O3" s="410"/>
      <c r="P3" s="410"/>
      <c r="Q3" s="410"/>
      <c r="R3" s="410"/>
      <c r="S3" s="410"/>
      <c r="T3" s="73"/>
      <c r="U3" s="73"/>
      <c r="V3" s="341"/>
      <c r="W3" s="341" t="s">
        <v>219</v>
      </c>
      <c r="X3" s="341">
        <v>499</v>
      </c>
      <c r="Y3" s="356">
        <v>2.7978693580039248E-2</v>
      </c>
      <c r="Z3" s="341"/>
      <c r="AA3" s="341" t="s">
        <v>231</v>
      </c>
      <c r="AB3" s="341">
        <v>102</v>
      </c>
      <c r="AC3" s="356">
        <v>3.2818532818532815E-2</v>
      </c>
      <c r="AD3" s="341"/>
      <c r="AE3" s="31"/>
    </row>
    <row r="4" spans="1:31" ht="20.100000000000001" customHeight="1">
      <c r="A4" s="73"/>
      <c r="B4" s="73"/>
      <c r="C4" s="73"/>
      <c r="D4" s="73"/>
      <c r="E4" s="73"/>
      <c r="F4" s="73"/>
      <c r="G4" s="73"/>
      <c r="H4" s="73"/>
      <c r="I4" s="75" t="str">
        <f>W12</f>
        <v>Priešinės liaukos</v>
      </c>
      <c r="J4" s="75"/>
      <c r="K4" s="73"/>
      <c r="L4" s="73"/>
      <c r="M4" s="73"/>
      <c r="N4" s="73"/>
      <c r="O4" s="73"/>
      <c r="P4" s="73"/>
      <c r="Q4" s="73"/>
      <c r="R4" s="73"/>
      <c r="S4" s="75" t="str">
        <f>AA12</f>
        <v>Krūties</v>
      </c>
      <c r="T4" s="73"/>
      <c r="U4" s="73"/>
      <c r="V4" s="341"/>
      <c r="W4" s="341" t="s">
        <v>213</v>
      </c>
      <c r="X4" s="341">
        <v>634</v>
      </c>
      <c r="Y4" s="356">
        <v>3.5548079618727219E-2</v>
      </c>
      <c r="Z4" s="341"/>
      <c r="AA4" s="341" t="s">
        <v>215</v>
      </c>
      <c r="AB4" s="341">
        <v>123</v>
      </c>
      <c r="AC4" s="356">
        <v>3.9575289575289573E-2</v>
      </c>
      <c r="AD4" s="341"/>
      <c r="AE4" s="31"/>
    </row>
    <row r="5" spans="1:31" ht="20.100000000000001" customHeight="1">
      <c r="A5" s="73"/>
      <c r="B5" s="73"/>
      <c r="C5" s="73"/>
      <c r="D5" s="73"/>
      <c r="E5" s="73"/>
      <c r="F5" s="73"/>
      <c r="G5" s="73"/>
      <c r="H5" s="73"/>
      <c r="I5" s="75" t="str">
        <f>W11</f>
        <v>Kiti odos piktybiniai navikai</v>
      </c>
      <c r="J5" s="75"/>
      <c r="K5" s="73"/>
      <c r="L5" s="73"/>
      <c r="M5" s="73"/>
      <c r="N5" s="73"/>
      <c r="O5" s="73"/>
      <c r="P5" s="73"/>
      <c r="Q5" s="73"/>
      <c r="R5" s="73"/>
      <c r="S5" s="75" t="str">
        <f>AA11</f>
        <v>Priešinės liaukos</v>
      </c>
      <c r="T5" s="73"/>
      <c r="U5" s="73"/>
      <c r="V5" s="341"/>
      <c r="W5" s="341" t="s">
        <v>233</v>
      </c>
      <c r="X5" s="341">
        <v>641</v>
      </c>
      <c r="Y5" s="356">
        <v>3.5940566302214746E-2</v>
      </c>
      <c r="Z5" s="341"/>
      <c r="AA5" s="341" t="s">
        <v>213</v>
      </c>
      <c r="AB5" s="341">
        <v>125</v>
      </c>
      <c r="AC5" s="356">
        <v>4.0218790218790219E-2</v>
      </c>
      <c r="AD5" s="341"/>
      <c r="AE5" s="31"/>
    </row>
    <row r="6" spans="1:31" ht="20.100000000000001" customHeight="1">
      <c r="A6" s="73"/>
      <c r="B6" s="73"/>
      <c r="C6" s="73"/>
      <c r="D6" s="73"/>
      <c r="E6" s="73"/>
      <c r="F6" s="73"/>
      <c r="G6" s="73"/>
      <c r="H6" s="73"/>
      <c r="I6" s="75" t="str">
        <f>W10</f>
        <v>Krūties</v>
      </c>
      <c r="J6" s="75"/>
      <c r="K6" s="73"/>
      <c r="L6" s="73"/>
      <c r="M6" s="73"/>
      <c r="N6" s="73"/>
      <c r="O6" s="73"/>
      <c r="P6" s="73"/>
      <c r="Q6" s="73"/>
      <c r="R6" s="73"/>
      <c r="S6" s="75" t="str">
        <f>AA10</f>
        <v>Kiti odos piktybiniai navikai</v>
      </c>
      <c r="T6" s="73"/>
      <c r="U6" s="73"/>
      <c r="V6" s="341"/>
      <c r="W6" s="341" t="s">
        <v>212</v>
      </c>
      <c r="X6" s="341">
        <v>710</v>
      </c>
      <c r="Y6" s="356">
        <v>3.9809363610877488E-2</v>
      </c>
      <c r="Z6" s="341"/>
      <c r="AA6" s="341" t="s">
        <v>233</v>
      </c>
      <c r="AB6" s="341">
        <v>137</v>
      </c>
      <c r="AC6" s="356">
        <v>4.407979407979408E-2</v>
      </c>
      <c r="AD6" s="341"/>
      <c r="AE6" s="31"/>
    </row>
    <row r="7" spans="1:31" ht="20.100000000000001" customHeight="1">
      <c r="A7" s="73"/>
      <c r="B7" s="73"/>
      <c r="C7" s="73"/>
      <c r="D7" s="73"/>
      <c r="E7" s="73"/>
      <c r="F7" s="73"/>
      <c r="G7" s="73"/>
      <c r="H7" s="73"/>
      <c r="I7" s="75" t="str">
        <f>W9</f>
        <v>Plaučių, trachėjos, bronchų</v>
      </c>
      <c r="J7" s="75"/>
      <c r="K7" s="73"/>
      <c r="L7" s="73"/>
      <c r="M7" s="73"/>
      <c r="N7" s="73"/>
      <c r="O7" s="73"/>
      <c r="P7" s="73"/>
      <c r="Q7" s="73"/>
      <c r="R7" s="73"/>
      <c r="S7" s="75" t="str">
        <f>AA9</f>
        <v>Gimdos kaklelio</v>
      </c>
      <c r="T7" s="73"/>
      <c r="U7" s="73"/>
      <c r="V7" s="341"/>
      <c r="W7" s="341" t="s">
        <v>215</v>
      </c>
      <c r="X7" s="341">
        <v>844</v>
      </c>
      <c r="Y7" s="356">
        <v>4.7322680123352959E-2</v>
      </c>
      <c r="Z7" s="341"/>
      <c r="AA7" s="341" t="s">
        <v>217</v>
      </c>
      <c r="AB7" s="341">
        <v>147</v>
      </c>
      <c r="AC7" s="356">
        <v>4.72972972972973E-2</v>
      </c>
      <c r="AD7" s="341"/>
      <c r="AE7" s="31"/>
    </row>
    <row r="8" spans="1:31" ht="20.100000000000001" customHeight="1">
      <c r="A8" s="73"/>
      <c r="B8" s="73"/>
      <c r="C8" s="73"/>
      <c r="D8" s="73"/>
      <c r="E8" s="73"/>
      <c r="F8" s="73"/>
      <c r="G8" s="73"/>
      <c r="H8" s="73"/>
      <c r="I8" s="75" t="str">
        <f>W8</f>
        <v>Gaubtinės žarnos</v>
      </c>
      <c r="J8" s="75"/>
      <c r="K8" s="73"/>
      <c r="L8" s="73"/>
      <c r="M8" s="73"/>
      <c r="N8" s="73"/>
      <c r="O8" s="73"/>
      <c r="P8" s="73"/>
      <c r="Q8" s="73"/>
      <c r="R8" s="73"/>
      <c r="S8" s="75" t="str">
        <f>AA8</f>
        <v>Skydliaukės</v>
      </c>
      <c r="T8" s="73"/>
      <c r="U8" s="73"/>
      <c r="V8" s="341"/>
      <c r="W8" s="341" t="s">
        <v>214</v>
      </c>
      <c r="X8" s="341">
        <v>912</v>
      </c>
      <c r="Y8" s="356">
        <v>5.1135407905803197E-2</v>
      </c>
      <c r="Z8" s="341"/>
      <c r="AA8" s="341" t="s">
        <v>222</v>
      </c>
      <c r="AB8" s="341">
        <v>151</v>
      </c>
      <c r="AC8" s="356">
        <v>4.8584298584298587E-2</v>
      </c>
      <c r="AD8" s="341"/>
      <c r="AE8" s="31"/>
    </row>
    <row r="9" spans="1:31" ht="20.100000000000001" customHeight="1">
      <c r="A9" s="73"/>
      <c r="B9" s="73"/>
      <c r="C9" s="73"/>
      <c r="D9" s="73"/>
      <c r="E9" s="73"/>
      <c r="F9" s="73"/>
      <c r="G9" s="73"/>
      <c r="H9" s="73"/>
      <c r="I9" s="75" t="str">
        <f>W7</f>
        <v>Skrandžio</v>
      </c>
      <c r="J9" s="75"/>
      <c r="K9" s="73"/>
      <c r="L9" s="73"/>
      <c r="M9" s="73"/>
      <c r="N9" s="73"/>
      <c r="O9" s="73"/>
      <c r="P9" s="73"/>
      <c r="Q9" s="73"/>
      <c r="R9" s="73"/>
      <c r="S9" s="75" t="str">
        <f>AA7</f>
        <v>Plaučių, trachėjos, bronchų</v>
      </c>
      <c r="T9" s="73"/>
      <c r="U9" s="73"/>
      <c r="V9" s="341"/>
      <c r="W9" s="341" t="s">
        <v>217</v>
      </c>
      <c r="X9" s="341">
        <v>1437</v>
      </c>
      <c r="Y9" s="356">
        <v>8.0571909167367534E-2</v>
      </c>
      <c r="Z9" s="341"/>
      <c r="AA9" s="341" t="s">
        <v>232</v>
      </c>
      <c r="AB9" s="341">
        <v>206</v>
      </c>
      <c r="AC9" s="356">
        <v>6.6280566280566278E-2</v>
      </c>
      <c r="AD9" s="341"/>
      <c r="AE9" s="31"/>
    </row>
    <row r="10" spans="1:31" ht="20.100000000000001" customHeight="1">
      <c r="A10" s="73"/>
      <c r="B10" s="73"/>
      <c r="C10" s="73"/>
      <c r="D10" s="73"/>
      <c r="E10" s="73"/>
      <c r="F10" s="73"/>
      <c r="G10" s="73"/>
      <c r="H10" s="73"/>
      <c r="I10" s="75" t="str">
        <f>W6</f>
        <v>Tiesiosios žarnos, išangės</v>
      </c>
      <c r="J10" s="75"/>
      <c r="K10" s="73"/>
      <c r="L10" s="73"/>
      <c r="M10" s="73"/>
      <c r="N10" s="73"/>
      <c r="O10" s="73"/>
      <c r="P10" s="73"/>
      <c r="Q10" s="73"/>
      <c r="R10" s="73"/>
      <c r="S10" s="75" t="str">
        <f>AA6</f>
        <v>Gimdos kūno</v>
      </c>
      <c r="T10" s="73"/>
      <c r="U10" s="73"/>
      <c r="V10" s="341"/>
      <c r="W10" s="341" t="s">
        <v>234</v>
      </c>
      <c r="X10" s="341">
        <v>1544</v>
      </c>
      <c r="Y10" s="356">
        <v>8.6571348472105417E-2</v>
      </c>
      <c r="Z10" s="341"/>
      <c r="AA10" s="341" t="s">
        <v>216</v>
      </c>
      <c r="AB10" s="341">
        <v>318</v>
      </c>
      <c r="AC10" s="356">
        <v>0.10231660231660232</v>
      </c>
      <c r="AD10" s="341"/>
      <c r="AE10" s="31"/>
    </row>
    <row r="11" spans="1:31" ht="20.100000000000001" customHeight="1">
      <c r="A11" s="73"/>
      <c r="B11" s="73"/>
      <c r="C11" s="73"/>
      <c r="D11" s="73"/>
      <c r="E11" s="73"/>
      <c r="F11" s="73"/>
      <c r="G11" s="73"/>
      <c r="H11" s="73"/>
      <c r="I11" s="75" t="str">
        <f>W5</f>
        <v>Gimdos kūno</v>
      </c>
      <c r="J11" s="75"/>
      <c r="K11" s="73"/>
      <c r="L11" s="73"/>
      <c r="M11" s="73"/>
      <c r="N11" s="73"/>
      <c r="O11" s="73"/>
      <c r="P11" s="73"/>
      <c r="Q11" s="73"/>
      <c r="R11" s="73"/>
      <c r="S11" s="75" t="str">
        <f>AA5</f>
        <v>Inkstų</v>
      </c>
      <c r="T11" s="73"/>
      <c r="U11" s="73"/>
      <c r="V11" s="341"/>
      <c r="W11" s="341" t="s">
        <v>216</v>
      </c>
      <c r="X11" s="341">
        <v>2330</v>
      </c>
      <c r="Y11" s="356">
        <v>0.13064199607513316</v>
      </c>
      <c r="Z11" s="341"/>
      <c r="AA11" s="341" t="s">
        <v>218</v>
      </c>
      <c r="AB11" s="341">
        <v>338</v>
      </c>
      <c r="AC11" s="356">
        <v>0.10875160875160875</v>
      </c>
      <c r="AD11" s="341"/>
      <c r="AE11" s="31"/>
    </row>
    <row r="12" spans="1:31" ht="20.100000000000001" customHeight="1">
      <c r="A12" s="73"/>
      <c r="B12" s="73"/>
      <c r="C12" s="73"/>
      <c r="D12" s="73"/>
      <c r="E12" s="73"/>
      <c r="F12" s="73"/>
      <c r="G12" s="73"/>
      <c r="H12" s="73"/>
      <c r="I12" s="75" t="str">
        <f>W4</f>
        <v>Inkstų</v>
      </c>
      <c r="J12" s="75"/>
      <c r="K12" s="73"/>
      <c r="L12" s="73"/>
      <c r="M12" s="73"/>
      <c r="N12" s="73"/>
      <c r="O12" s="73"/>
      <c r="P12" s="73"/>
      <c r="Q12" s="73"/>
      <c r="R12" s="73"/>
      <c r="S12" s="75" t="str">
        <f>AA4</f>
        <v>Skrandžio</v>
      </c>
      <c r="T12" s="73"/>
      <c r="U12" s="73"/>
      <c r="V12" s="341"/>
      <c r="W12" s="341" t="s">
        <v>218</v>
      </c>
      <c r="X12" s="341">
        <v>3223</v>
      </c>
      <c r="Y12" s="356">
        <v>0.18071208298289879</v>
      </c>
      <c r="Z12" s="341"/>
      <c r="AA12" s="341" t="s">
        <v>234</v>
      </c>
      <c r="AB12" s="341">
        <v>483</v>
      </c>
      <c r="AC12" s="356">
        <v>0.1554054054054054</v>
      </c>
      <c r="AD12" s="341"/>
      <c r="AE12" s="31"/>
    </row>
    <row r="13" spans="1:31" ht="20.100000000000001" customHeight="1">
      <c r="A13" s="73"/>
      <c r="B13" s="73"/>
      <c r="C13" s="73"/>
      <c r="D13" s="73"/>
      <c r="E13" s="73"/>
      <c r="F13" s="73"/>
      <c r="G13" s="73"/>
      <c r="H13" s="73"/>
      <c r="I13" s="75" t="str">
        <f>W3</f>
        <v>Kasos</v>
      </c>
      <c r="J13" s="75"/>
      <c r="K13" s="73"/>
      <c r="L13" s="73"/>
      <c r="M13" s="73"/>
      <c r="N13" s="73"/>
      <c r="O13" s="73"/>
      <c r="P13" s="73"/>
      <c r="Q13" s="73"/>
      <c r="R13" s="73"/>
      <c r="S13" s="75" t="str">
        <f>AA3</f>
        <v>Kiaušidžių</v>
      </c>
      <c r="T13" s="73"/>
      <c r="U13" s="73"/>
      <c r="V13" s="341"/>
      <c r="W13" s="387" t="s">
        <v>210</v>
      </c>
      <c r="X13" s="341">
        <v>17835</v>
      </c>
      <c r="Y13" s="356">
        <v>1</v>
      </c>
      <c r="Z13" s="341"/>
      <c r="AA13" s="387" t="s">
        <v>210</v>
      </c>
      <c r="AB13" s="341">
        <v>3108</v>
      </c>
      <c r="AC13" s="356">
        <v>0.99999999999999978</v>
      </c>
      <c r="AD13" s="341"/>
      <c r="AE13" s="31"/>
    </row>
    <row r="14" spans="1:31" ht="20.100000000000001" customHeight="1">
      <c r="A14" s="73"/>
      <c r="B14" s="73"/>
      <c r="C14" s="73"/>
      <c r="D14" s="73"/>
      <c r="E14" s="73"/>
      <c r="F14" s="73"/>
      <c r="G14" s="73"/>
      <c r="H14" s="73"/>
      <c r="I14" s="75" t="str">
        <f>W2</f>
        <v>Kiti</v>
      </c>
      <c r="J14" s="75"/>
      <c r="K14" s="73"/>
      <c r="L14" s="73"/>
      <c r="M14" s="73"/>
      <c r="N14" s="73"/>
      <c r="O14" s="73"/>
      <c r="P14" s="73"/>
      <c r="Q14" s="73"/>
      <c r="R14" s="73"/>
      <c r="S14" s="75" t="str">
        <f>AA2</f>
        <v>Kiti</v>
      </c>
      <c r="T14" s="73"/>
      <c r="U14" s="73"/>
      <c r="V14" s="341"/>
      <c r="W14" s="411" t="s">
        <v>478</v>
      </c>
      <c r="X14" s="411"/>
      <c r="Y14" s="411"/>
      <c r="Z14" s="341"/>
      <c r="AA14" s="411" t="s">
        <v>481</v>
      </c>
      <c r="AB14" s="411"/>
      <c r="AC14" s="411"/>
      <c r="AD14" s="341"/>
      <c r="AE14" s="31"/>
    </row>
    <row r="15" spans="1:31" ht="24.95" customHeight="1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341"/>
      <c r="W15" s="341" t="s">
        <v>26</v>
      </c>
      <c r="X15" s="341">
        <v>7</v>
      </c>
      <c r="Y15" s="356">
        <v>0.109375</v>
      </c>
      <c r="Z15" s="341"/>
      <c r="AA15" s="341" t="s">
        <v>26</v>
      </c>
      <c r="AB15" s="341">
        <v>2239</v>
      </c>
      <c r="AC15" s="376">
        <v>0.23862304167110732</v>
      </c>
      <c r="AD15" s="341"/>
      <c r="AE15" s="31"/>
    </row>
    <row r="16" spans="1:31" ht="24.95" customHeight="1">
      <c r="A16" s="73"/>
      <c r="B16" s="73"/>
      <c r="C16" s="410" t="str">
        <f>W14</f>
        <v>Vyrai ir moterys, 0-14 metų (64 atv.)</v>
      </c>
      <c r="D16" s="410"/>
      <c r="E16" s="410"/>
      <c r="F16" s="410"/>
      <c r="G16" s="410"/>
      <c r="H16" s="410"/>
      <c r="I16" s="410"/>
      <c r="J16" s="205"/>
      <c r="K16" s="73"/>
      <c r="L16" s="73"/>
      <c r="M16" s="410" t="str">
        <f>AA14</f>
        <v>Vyrai ir moterys, 55-74 metų (9383 atv.)</v>
      </c>
      <c r="N16" s="410"/>
      <c r="O16" s="410"/>
      <c r="P16" s="410"/>
      <c r="Q16" s="410"/>
      <c r="R16" s="410"/>
      <c r="S16" s="410"/>
      <c r="T16" s="73"/>
      <c r="U16" s="73"/>
      <c r="V16" s="341"/>
      <c r="W16" s="341" t="s">
        <v>443</v>
      </c>
      <c r="X16" s="341">
        <v>1</v>
      </c>
      <c r="Y16" s="356">
        <v>1.5625E-2</v>
      </c>
      <c r="Z16" s="341"/>
      <c r="AA16" s="341" t="s">
        <v>219</v>
      </c>
      <c r="AB16" s="341">
        <v>246</v>
      </c>
      <c r="AC16" s="356">
        <v>2.6217627624427156E-2</v>
      </c>
      <c r="AD16" s="341"/>
      <c r="AE16" s="31"/>
    </row>
    <row r="17" spans="1:31" ht="20.100000000000001" customHeight="1">
      <c r="A17" s="73"/>
      <c r="B17" s="73"/>
      <c r="C17" s="73"/>
      <c r="D17" s="73"/>
      <c r="E17" s="73"/>
      <c r="F17" s="73"/>
      <c r="G17" s="73"/>
      <c r="H17" s="73"/>
      <c r="I17" s="75" t="str">
        <f>W25</f>
        <v>Leukemijos</v>
      </c>
      <c r="J17" s="75"/>
      <c r="K17" s="73"/>
      <c r="L17" s="73"/>
      <c r="M17" s="73"/>
      <c r="N17" s="73"/>
      <c r="O17" s="73"/>
      <c r="P17" s="73"/>
      <c r="Q17" s="73"/>
      <c r="R17" s="73"/>
      <c r="S17" s="75" t="str">
        <f>AA25</f>
        <v>Priešinės liaukos</v>
      </c>
      <c r="T17" s="73"/>
      <c r="U17" s="73"/>
      <c r="V17" s="341"/>
      <c r="W17" s="341" t="s">
        <v>216</v>
      </c>
      <c r="X17" s="341">
        <v>2</v>
      </c>
      <c r="Y17" s="356">
        <v>3.125E-2</v>
      </c>
      <c r="Z17" s="341"/>
      <c r="AA17" s="341" t="s">
        <v>213</v>
      </c>
      <c r="AB17" s="341">
        <v>335</v>
      </c>
      <c r="AC17" s="356">
        <v>3.570286688692316E-2</v>
      </c>
      <c r="AD17" s="341"/>
      <c r="AE17" s="31"/>
    </row>
    <row r="18" spans="1:31" ht="20.100000000000001" customHeight="1">
      <c r="A18" s="73"/>
      <c r="B18" s="73"/>
      <c r="C18" s="73"/>
      <c r="D18" s="73"/>
      <c r="E18" s="73"/>
      <c r="F18" s="73"/>
      <c r="G18" s="73"/>
      <c r="H18" s="73"/>
      <c r="I18" s="75" t="str">
        <f>W24</f>
        <v>Smegenų</v>
      </c>
      <c r="J18" s="75"/>
      <c r="K18" s="73"/>
      <c r="L18" s="73"/>
      <c r="M18" s="73"/>
      <c r="N18" s="73"/>
      <c r="O18" s="73"/>
      <c r="P18" s="73"/>
      <c r="Q18" s="73"/>
      <c r="R18" s="73"/>
      <c r="S18" s="75" t="str">
        <f>AA24</f>
        <v>Kiti odos piktybiniai navikai</v>
      </c>
      <c r="T18" s="73"/>
      <c r="U18" s="73"/>
      <c r="V18" s="341"/>
      <c r="W18" s="341" t="s">
        <v>442</v>
      </c>
      <c r="X18" s="341">
        <v>3</v>
      </c>
      <c r="Y18" s="356">
        <v>4.6875E-2</v>
      </c>
      <c r="Z18" s="341"/>
      <c r="AA18" s="341" t="s">
        <v>212</v>
      </c>
      <c r="AB18" s="341">
        <v>348</v>
      </c>
      <c r="AC18" s="356">
        <v>3.708835127357988E-2</v>
      </c>
      <c r="AD18" s="341"/>
      <c r="AE18" s="31"/>
    </row>
    <row r="19" spans="1:31" ht="20.100000000000001" customHeight="1">
      <c r="A19" s="73"/>
      <c r="B19" s="73"/>
      <c r="C19" s="73"/>
      <c r="D19" s="73"/>
      <c r="E19" s="73"/>
      <c r="F19" s="73"/>
      <c r="G19" s="73"/>
      <c r="H19" s="73"/>
      <c r="I19" s="75" t="str">
        <f>W23</f>
        <v>Kaulų ir jungiamojo audinio</v>
      </c>
      <c r="J19" s="75"/>
      <c r="K19" s="73"/>
      <c r="L19" s="73"/>
      <c r="M19" s="73"/>
      <c r="N19" s="73"/>
      <c r="O19" s="73"/>
      <c r="P19" s="73"/>
      <c r="Q19" s="73"/>
      <c r="R19" s="73"/>
      <c r="S19" s="75" t="str">
        <f>AA23</f>
        <v>Plaučių, trachėjos, bronchų</v>
      </c>
      <c r="T19" s="73"/>
      <c r="U19" s="73"/>
      <c r="V19" s="341"/>
      <c r="W19" s="341" t="s">
        <v>226</v>
      </c>
      <c r="X19" s="341">
        <v>3</v>
      </c>
      <c r="Y19" s="356">
        <v>4.6875E-2</v>
      </c>
      <c r="Z19" s="341"/>
      <c r="AA19" s="341" t="s">
        <v>233</v>
      </c>
      <c r="AB19" s="341">
        <v>364</v>
      </c>
      <c r="AC19" s="356">
        <v>3.8793562826388149E-2</v>
      </c>
      <c r="AD19" s="341"/>
      <c r="AE19" s="31"/>
    </row>
    <row r="20" spans="1:31" ht="20.100000000000001" customHeight="1">
      <c r="A20" s="73"/>
      <c r="B20" s="73"/>
      <c r="C20" s="73"/>
      <c r="D20" s="73"/>
      <c r="E20" s="73"/>
      <c r="F20" s="73"/>
      <c r="G20" s="73"/>
      <c r="H20" s="73"/>
      <c r="I20" s="75" t="str">
        <f>W22</f>
        <v>Hodžkino limfomos</v>
      </c>
      <c r="J20" s="75"/>
      <c r="K20" s="73"/>
      <c r="L20" s="73"/>
      <c r="M20" s="73"/>
      <c r="N20" s="73"/>
      <c r="O20" s="73"/>
      <c r="P20" s="73"/>
      <c r="Q20" s="73"/>
      <c r="R20" s="73"/>
      <c r="S20" s="75" t="str">
        <f>AA22</f>
        <v>Krūties</v>
      </c>
      <c r="T20" s="73"/>
      <c r="U20" s="73"/>
      <c r="V20" s="341"/>
      <c r="W20" s="341" t="s">
        <v>224</v>
      </c>
      <c r="X20" s="341">
        <v>4</v>
      </c>
      <c r="Y20" s="356">
        <v>6.25E-2</v>
      </c>
      <c r="Z20" s="341"/>
      <c r="AA20" s="341" t="s">
        <v>215</v>
      </c>
      <c r="AB20" s="341">
        <v>386</v>
      </c>
      <c r="AC20" s="356">
        <v>4.1138228711499518E-2</v>
      </c>
      <c r="AD20" s="341"/>
      <c r="AE20" s="31"/>
    </row>
    <row r="21" spans="1:31" ht="20.100000000000001" customHeight="1">
      <c r="A21" s="73"/>
      <c r="B21" s="73"/>
      <c r="C21" s="73"/>
      <c r="D21" s="73"/>
      <c r="E21" s="73"/>
      <c r="F21" s="73"/>
      <c r="G21" s="73"/>
      <c r="H21" s="73"/>
      <c r="I21" s="75" t="str">
        <f>W21</f>
        <v>Inkstų</v>
      </c>
      <c r="J21" s="75"/>
      <c r="K21" s="73"/>
      <c r="L21" s="73"/>
      <c r="M21" s="73"/>
      <c r="N21" s="73"/>
      <c r="O21" s="73"/>
      <c r="P21" s="73"/>
      <c r="Q21" s="73"/>
      <c r="R21" s="73"/>
      <c r="S21" s="75" t="str">
        <f>AA21</f>
        <v>Gaubtinės žarnos</v>
      </c>
      <c r="T21" s="73"/>
      <c r="U21" s="73"/>
      <c r="V21" s="341"/>
      <c r="W21" s="341" t="s">
        <v>213</v>
      </c>
      <c r="X21" s="341">
        <v>4</v>
      </c>
      <c r="Y21" s="356">
        <v>6.25E-2</v>
      </c>
      <c r="Z21" s="341"/>
      <c r="AA21" s="341" t="s">
        <v>214</v>
      </c>
      <c r="AB21" s="341">
        <v>446</v>
      </c>
      <c r="AC21" s="356">
        <v>4.7532772034530532E-2</v>
      </c>
      <c r="AD21" s="341"/>
      <c r="AE21" s="31"/>
    </row>
    <row r="22" spans="1:31" ht="20.100000000000001" customHeight="1">
      <c r="A22" s="73"/>
      <c r="B22" s="73"/>
      <c r="C22" s="73"/>
      <c r="D22" s="73"/>
      <c r="E22" s="73"/>
      <c r="F22" s="73"/>
      <c r="G22" s="73"/>
      <c r="H22" s="73"/>
      <c r="I22" s="75" t="str">
        <f>W20</f>
        <v>Kitų virškinimo sistemos organų</v>
      </c>
      <c r="J22" s="75"/>
      <c r="K22" s="73"/>
      <c r="L22" s="73"/>
      <c r="M22" s="73"/>
      <c r="N22" s="73"/>
      <c r="O22" s="73"/>
      <c r="P22" s="73"/>
      <c r="Q22" s="73"/>
      <c r="R22" s="73"/>
      <c r="S22" s="75" t="str">
        <f>AA20</f>
        <v>Skrandžio</v>
      </c>
      <c r="T22" s="73"/>
      <c r="U22" s="73"/>
      <c r="V22" s="341"/>
      <c r="W22" s="341" t="s">
        <v>223</v>
      </c>
      <c r="X22" s="341">
        <v>5</v>
      </c>
      <c r="Y22" s="356">
        <v>7.8125E-2</v>
      </c>
      <c r="Z22" s="341"/>
      <c r="AA22" s="341" t="s">
        <v>234</v>
      </c>
      <c r="AB22" s="341">
        <v>745</v>
      </c>
      <c r="AC22" s="356">
        <v>7.9398912927635082E-2</v>
      </c>
      <c r="AD22" s="341"/>
      <c r="AE22" s="31"/>
    </row>
    <row r="23" spans="1:31" ht="20.100000000000001" customHeight="1">
      <c r="A23" s="73"/>
      <c r="B23" s="73"/>
      <c r="C23" s="73"/>
      <c r="D23" s="73"/>
      <c r="E23" s="73"/>
      <c r="F23" s="73"/>
      <c r="G23" s="73"/>
      <c r="H23" s="73"/>
      <c r="I23" s="75" t="str">
        <f>W19</f>
        <v>Ne Hodžkino limfomos</v>
      </c>
      <c r="J23" s="75"/>
      <c r="K23" s="73"/>
      <c r="L23" s="73"/>
      <c r="M23" s="73"/>
      <c r="N23" s="73"/>
      <c r="O23" s="73"/>
      <c r="P23" s="73"/>
      <c r="Q23" s="73"/>
      <c r="R23" s="73"/>
      <c r="S23" s="75" t="str">
        <f>AA19</f>
        <v>Gimdos kūno</v>
      </c>
      <c r="T23" s="73"/>
      <c r="U23" s="73"/>
      <c r="V23" s="341"/>
      <c r="W23" s="341" t="s">
        <v>228</v>
      </c>
      <c r="X23" s="341">
        <v>7</v>
      </c>
      <c r="Y23" s="356">
        <v>0.109375</v>
      </c>
      <c r="Z23" s="341"/>
      <c r="AA23" s="341" t="s">
        <v>217</v>
      </c>
      <c r="AB23" s="341">
        <v>865</v>
      </c>
      <c r="AC23" s="356">
        <v>9.218799957369711E-2</v>
      </c>
      <c r="AD23" s="341"/>
      <c r="AE23" s="31"/>
    </row>
    <row r="24" spans="1:31" ht="20.100000000000001" customHeight="1">
      <c r="A24" s="73"/>
      <c r="B24" s="73"/>
      <c r="C24" s="73"/>
      <c r="D24" s="73"/>
      <c r="E24" s="73"/>
      <c r="F24" s="73"/>
      <c r="G24" s="73"/>
      <c r="H24" s="73"/>
      <c r="I24" s="75" t="str">
        <f>W18</f>
        <v>Kepenų</v>
      </c>
      <c r="J24" s="75"/>
      <c r="K24" s="73"/>
      <c r="L24" s="73"/>
      <c r="M24" s="73"/>
      <c r="N24" s="73"/>
      <c r="O24" s="73"/>
      <c r="P24" s="73"/>
      <c r="Q24" s="73"/>
      <c r="R24" s="73"/>
      <c r="S24" s="75" t="str">
        <f>AA18</f>
        <v>Tiesiosios žarnos, išangės</v>
      </c>
      <c r="T24" s="73"/>
      <c r="U24" s="73"/>
      <c r="V24" s="341"/>
      <c r="W24" s="341" t="s">
        <v>225</v>
      </c>
      <c r="X24" s="341">
        <v>8</v>
      </c>
      <c r="Y24" s="356">
        <v>0.125</v>
      </c>
      <c r="Z24" s="341"/>
      <c r="AA24" s="341" t="s">
        <v>216</v>
      </c>
      <c r="AB24" s="341">
        <v>1083</v>
      </c>
      <c r="AC24" s="356">
        <v>0.1154215069807098</v>
      </c>
      <c r="AD24" s="341"/>
      <c r="AE24" s="31"/>
    </row>
    <row r="25" spans="1:31" ht="20.100000000000001" customHeight="1">
      <c r="A25" s="73"/>
      <c r="B25" s="73"/>
      <c r="C25" s="73"/>
      <c r="D25" s="73"/>
      <c r="E25" s="73"/>
      <c r="F25" s="73"/>
      <c r="G25" s="73"/>
      <c r="H25" s="73"/>
      <c r="I25" s="75" t="str">
        <f>W17</f>
        <v>Kiti odos piktybiniai navikai</v>
      </c>
      <c r="J25" s="75"/>
      <c r="K25" s="73"/>
      <c r="L25" s="73"/>
      <c r="M25" s="73"/>
      <c r="N25" s="73"/>
      <c r="O25" s="73"/>
      <c r="P25" s="73"/>
      <c r="Q25" s="73"/>
      <c r="R25" s="73"/>
      <c r="S25" s="75" t="str">
        <f>TEXT(AA15,)</f>
        <v>Kiti</v>
      </c>
      <c r="T25" s="73"/>
      <c r="U25" s="73"/>
      <c r="V25" s="341"/>
      <c r="W25" s="341" t="s">
        <v>227</v>
      </c>
      <c r="X25" s="341">
        <v>20</v>
      </c>
      <c r="Y25" s="356">
        <v>0.3125</v>
      </c>
      <c r="Z25" s="341"/>
      <c r="AA25" s="341" t="s">
        <v>218</v>
      </c>
      <c r="AB25" s="341">
        <v>2326</v>
      </c>
      <c r="AC25" s="356">
        <v>0.24789512948950229</v>
      </c>
      <c r="AD25" s="341"/>
      <c r="AE25" s="31"/>
    </row>
    <row r="26" spans="1:31" ht="20.100000000000001" customHeight="1">
      <c r="A26" s="73"/>
      <c r="B26" s="73"/>
      <c r="C26" s="73"/>
      <c r="D26" s="73"/>
      <c r="E26" s="73"/>
      <c r="F26" s="73"/>
      <c r="G26" s="73"/>
      <c r="H26" s="73"/>
      <c r="I26" s="75" t="str">
        <f>W16</f>
        <v>Kitų kvėpavimo sistemos organų</v>
      </c>
      <c r="J26" s="75"/>
      <c r="K26" s="73"/>
      <c r="L26" s="73"/>
      <c r="M26" s="73"/>
      <c r="N26" s="73"/>
      <c r="O26" s="73"/>
      <c r="P26" s="73"/>
      <c r="Q26" s="73"/>
      <c r="R26" s="73"/>
      <c r="S26" s="75" t="str">
        <f>TEXT(AA16,)</f>
        <v>Kasos</v>
      </c>
      <c r="T26" s="73"/>
      <c r="U26" s="73"/>
      <c r="V26" s="341"/>
      <c r="W26" s="387" t="s">
        <v>210</v>
      </c>
      <c r="X26" s="341">
        <v>64</v>
      </c>
      <c r="Y26" s="356">
        <v>1</v>
      </c>
      <c r="Z26" s="341"/>
      <c r="AA26" s="387" t="s">
        <v>210</v>
      </c>
      <c r="AB26" s="341">
        <v>9383</v>
      </c>
      <c r="AC26" s="356">
        <v>1</v>
      </c>
      <c r="AD26" s="341"/>
      <c r="AE26" s="31"/>
    </row>
    <row r="27" spans="1:31" ht="20.100000000000001" customHeight="1">
      <c r="A27" s="73"/>
      <c r="B27" s="73"/>
      <c r="C27" s="73"/>
      <c r="D27" s="73"/>
      <c r="E27" s="73"/>
      <c r="F27" s="73"/>
      <c r="G27" s="73"/>
      <c r="H27" s="73"/>
      <c r="I27" s="75" t="str">
        <f>TEXT(W15,)</f>
        <v>Kiti</v>
      </c>
      <c r="J27" s="75"/>
      <c r="K27" s="73"/>
      <c r="L27" s="73"/>
      <c r="M27" s="73"/>
      <c r="N27" s="73"/>
      <c r="O27" s="73"/>
      <c r="P27" s="73"/>
      <c r="Q27" s="73"/>
      <c r="R27" s="73"/>
      <c r="S27" s="75" t="str">
        <f>TEXT(AA15,)</f>
        <v>Kiti</v>
      </c>
      <c r="T27" s="73"/>
      <c r="U27" s="73"/>
      <c r="V27" s="341"/>
      <c r="W27" s="411" t="s">
        <v>479</v>
      </c>
      <c r="X27" s="411"/>
      <c r="Y27" s="411"/>
      <c r="Z27" s="341"/>
      <c r="AA27" s="411" t="s">
        <v>482</v>
      </c>
      <c r="AB27" s="411"/>
      <c r="AC27" s="411"/>
      <c r="AD27" s="341"/>
      <c r="AE27" s="31"/>
    </row>
    <row r="28" spans="1:31" ht="24.95" customHeight="1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341"/>
      <c r="W28" s="341" t="s">
        <v>26</v>
      </c>
      <c r="X28" s="341">
        <v>39</v>
      </c>
      <c r="Y28" s="356">
        <v>0.20967741935483872</v>
      </c>
      <c r="Z28" s="341"/>
      <c r="AA28" s="341" t="s">
        <v>26</v>
      </c>
      <c r="AB28" s="341">
        <v>1370</v>
      </c>
      <c r="AC28" s="356">
        <v>0.26894385551629368</v>
      </c>
      <c r="AD28" s="341"/>
      <c r="AE28" s="31"/>
    </row>
    <row r="29" spans="1:31" ht="24.95" customHeight="1">
      <c r="A29" s="73"/>
      <c r="B29" s="73"/>
      <c r="C29" s="410" t="str">
        <f>W27</f>
        <v>Vyrai ir moterys, 15-29 metų (186 atv.)</v>
      </c>
      <c r="D29" s="410"/>
      <c r="E29" s="410"/>
      <c r="F29" s="410"/>
      <c r="G29" s="410"/>
      <c r="H29" s="410"/>
      <c r="I29" s="410"/>
      <c r="J29" s="205"/>
      <c r="K29" s="73"/>
      <c r="L29" s="73"/>
      <c r="M29" s="410" t="str">
        <f>AA27</f>
        <v>Vyrai ir moterys, 75 ir daugiau metų (5094 atv.)</v>
      </c>
      <c r="N29" s="410"/>
      <c r="O29" s="410"/>
      <c r="P29" s="410"/>
      <c r="Q29" s="410"/>
      <c r="R29" s="410"/>
      <c r="S29" s="410"/>
      <c r="T29" s="73"/>
      <c r="U29" s="73"/>
      <c r="V29" s="341"/>
      <c r="W29" s="341" t="s">
        <v>228</v>
      </c>
      <c r="X29" s="341">
        <v>8</v>
      </c>
      <c r="Y29" s="356">
        <v>4.3010752688172046E-2</v>
      </c>
      <c r="Z29" s="341"/>
      <c r="AA29" s="341" t="s">
        <v>227</v>
      </c>
      <c r="AB29" s="341">
        <v>177</v>
      </c>
      <c r="AC29" s="356">
        <v>3.4746760895170786E-2</v>
      </c>
      <c r="AD29" s="341"/>
      <c r="AE29" s="31"/>
    </row>
    <row r="30" spans="1:31" ht="20.100000000000001" customHeight="1">
      <c r="A30" s="73"/>
      <c r="B30" s="73"/>
      <c r="C30" s="73"/>
      <c r="D30" s="73"/>
      <c r="E30" s="73"/>
      <c r="F30" s="73"/>
      <c r="G30" s="73"/>
      <c r="H30" s="73"/>
      <c r="I30" s="75" t="str">
        <f>W38</f>
        <v>Smegenų</v>
      </c>
      <c r="J30" s="73"/>
      <c r="K30" s="73"/>
      <c r="L30" s="73"/>
      <c r="M30" s="73"/>
      <c r="N30" s="73"/>
      <c r="O30" s="73"/>
      <c r="P30" s="73"/>
      <c r="Q30" s="73"/>
      <c r="R30" s="73"/>
      <c r="S30" s="75" t="str">
        <f>AA38</f>
        <v>Kiti odos piktybiniai navikai</v>
      </c>
      <c r="T30" s="73"/>
      <c r="U30" s="73"/>
      <c r="V30" s="341"/>
      <c r="W30" s="341" t="s">
        <v>232</v>
      </c>
      <c r="X30" s="341">
        <v>10</v>
      </c>
      <c r="Y30" s="356">
        <v>5.3763440860215055E-2</v>
      </c>
      <c r="Z30" s="341"/>
      <c r="AA30" s="341" t="s">
        <v>219</v>
      </c>
      <c r="AB30" s="341">
        <v>182</v>
      </c>
      <c r="AC30" s="356">
        <v>3.5728307813113466E-2</v>
      </c>
      <c r="AD30" s="341"/>
      <c r="AE30" s="31"/>
    </row>
    <row r="31" spans="1:31" ht="20.100000000000001" customHeight="1">
      <c r="A31" s="73"/>
      <c r="B31" s="73"/>
      <c r="C31" s="73"/>
      <c r="D31" s="73"/>
      <c r="E31" s="73"/>
      <c r="F31" s="73"/>
      <c r="G31" s="73"/>
      <c r="H31" s="73"/>
      <c r="I31" s="75" t="str">
        <f>W37</f>
        <v>Hodžkino limfomos</v>
      </c>
      <c r="J31" s="73"/>
      <c r="K31" s="73"/>
      <c r="L31" s="73"/>
      <c r="M31" s="73"/>
      <c r="N31" s="73"/>
      <c r="O31" s="73"/>
      <c r="P31" s="73"/>
      <c r="Q31" s="73"/>
      <c r="R31" s="73"/>
      <c r="S31" s="75" t="str">
        <f>AA37</f>
        <v>Priešinės liaukos</v>
      </c>
      <c r="T31" s="73"/>
      <c r="U31" s="73"/>
      <c r="V31" s="341"/>
      <c r="W31" s="341" t="s">
        <v>226</v>
      </c>
      <c r="X31" s="341">
        <v>12</v>
      </c>
      <c r="Y31" s="356">
        <v>6.4516129032258063E-2</v>
      </c>
      <c r="Z31" s="341"/>
      <c r="AA31" s="341" t="s">
        <v>236</v>
      </c>
      <c r="AB31" s="341">
        <v>205</v>
      </c>
      <c r="AC31" s="356">
        <v>4.0243423635649783E-2</v>
      </c>
      <c r="AD31" s="341"/>
      <c r="AE31" s="31"/>
    </row>
    <row r="32" spans="1:31" ht="20.100000000000001" customHeight="1">
      <c r="A32" s="73"/>
      <c r="B32" s="73"/>
      <c r="C32" s="73"/>
      <c r="D32" s="73"/>
      <c r="E32" s="73"/>
      <c r="F32" s="73"/>
      <c r="G32" s="73"/>
      <c r="H32" s="73"/>
      <c r="I32" s="75" t="str">
        <f>W36</f>
        <v>Skydliaukės</v>
      </c>
      <c r="J32" s="73"/>
      <c r="K32" s="73"/>
      <c r="L32" s="73"/>
      <c r="M32" s="73"/>
      <c r="N32" s="73"/>
      <c r="O32" s="73"/>
      <c r="P32" s="73"/>
      <c r="Q32" s="73"/>
      <c r="R32" s="73"/>
      <c r="S32" s="75" t="str">
        <f>AA36</f>
        <v>Plaučių, trachėjos, bronchų</v>
      </c>
      <c r="T32" s="73"/>
      <c r="U32" s="73"/>
      <c r="V32" s="341"/>
      <c r="W32" s="341" t="s">
        <v>227</v>
      </c>
      <c r="X32" s="341">
        <v>12</v>
      </c>
      <c r="Y32" s="356">
        <v>6.4516129032258063E-2</v>
      </c>
      <c r="Z32" s="341"/>
      <c r="AA32" s="341" t="s">
        <v>212</v>
      </c>
      <c r="AB32" s="341">
        <v>262</v>
      </c>
      <c r="AC32" s="356">
        <v>5.1433058500196312E-2</v>
      </c>
      <c r="AD32" s="341"/>
      <c r="AE32" s="31"/>
    </row>
    <row r="33" spans="1:31" ht="20.100000000000001" customHeight="1">
      <c r="A33" s="73"/>
      <c r="B33" s="73"/>
      <c r="C33" s="73"/>
      <c r="D33" s="73"/>
      <c r="E33" s="73"/>
      <c r="F33" s="73"/>
      <c r="G33" s="73"/>
      <c r="H33" s="73"/>
      <c r="I33" s="75" t="str">
        <f>W35</f>
        <v>Kiti odos piktybiniai navikai</v>
      </c>
      <c r="J33" s="73"/>
      <c r="K33" s="73"/>
      <c r="L33" s="73"/>
      <c r="M33" s="73"/>
      <c r="N33" s="73"/>
      <c r="O33" s="73"/>
      <c r="P33" s="73"/>
      <c r="Q33" s="73"/>
      <c r="R33" s="73"/>
      <c r="S33" s="75" t="str">
        <f>AA35</f>
        <v>Gaubtinės žarnos</v>
      </c>
      <c r="T33" s="73"/>
      <c r="U33" s="73"/>
      <c r="V33" s="341"/>
      <c r="W33" s="341" t="s">
        <v>234</v>
      </c>
      <c r="X33" s="341">
        <v>13</v>
      </c>
      <c r="Y33" s="356">
        <v>6.9892473118279563E-2</v>
      </c>
      <c r="Z33" s="341"/>
      <c r="AA33" s="341" t="s">
        <v>234</v>
      </c>
      <c r="AB33" s="341">
        <v>303</v>
      </c>
      <c r="AC33" s="356">
        <v>5.9481743227326266E-2</v>
      </c>
      <c r="AD33" s="341"/>
      <c r="AE33" s="31"/>
    </row>
    <row r="34" spans="1:31" ht="20.100000000000001" customHeight="1">
      <c r="A34" s="73"/>
      <c r="B34" s="73"/>
      <c r="C34" s="73"/>
      <c r="D34" s="73"/>
      <c r="E34" s="73"/>
      <c r="F34" s="73"/>
      <c r="G34" s="73"/>
      <c r="H34" s="73"/>
      <c r="I34" s="75" t="str">
        <f>W34</f>
        <v>Sėklidžių</v>
      </c>
      <c r="J34" s="73"/>
      <c r="K34" s="73"/>
      <c r="L34" s="73"/>
      <c r="M34" s="73"/>
      <c r="N34" s="73"/>
      <c r="O34" s="73"/>
      <c r="P34" s="73"/>
      <c r="Q34" s="73"/>
      <c r="R34" s="73"/>
      <c r="S34" s="75" t="str">
        <f>AA34</f>
        <v>Skrandžio</v>
      </c>
      <c r="T34" s="73"/>
      <c r="U34" s="73"/>
      <c r="V34" s="341"/>
      <c r="W34" s="341" t="s">
        <v>221</v>
      </c>
      <c r="X34" s="341">
        <v>15</v>
      </c>
      <c r="Y34" s="356">
        <v>8.0645161290322578E-2</v>
      </c>
      <c r="Z34" s="341"/>
      <c r="AA34" s="341" t="s">
        <v>215</v>
      </c>
      <c r="AB34" s="341">
        <v>332</v>
      </c>
      <c r="AC34" s="356">
        <v>6.5174715351393797E-2</v>
      </c>
      <c r="AD34" s="341"/>
      <c r="AE34" s="31"/>
    </row>
    <row r="35" spans="1:31" ht="20.100000000000001" customHeight="1">
      <c r="A35" s="73"/>
      <c r="B35" s="73"/>
      <c r="C35" s="73"/>
      <c r="D35" s="73"/>
      <c r="E35" s="73"/>
      <c r="F35" s="73"/>
      <c r="G35" s="73"/>
      <c r="H35" s="73"/>
      <c r="I35" s="75" t="str">
        <f>W33</f>
        <v>Krūties</v>
      </c>
      <c r="J35" s="73"/>
      <c r="K35" s="73"/>
      <c r="L35" s="73"/>
      <c r="M35" s="73"/>
      <c r="N35" s="73"/>
      <c r="O35" s="73"/>
      <c r="P35" s="73"/>
      <c r="Q35" s="73"/>
      <c r="R35" s="73"/>
      <c r="S35" s="75" t="str">
        <f>AA33</f>
        <v>Krūties</v>
      </c>
      <c r="T35" s="73"/>
      <c r="U35" s="73"/>
      <c r="V35" s="341"/>
      <c r="W35" s="341" t="s">
        <v>216</v>
      </c>
      <c r="X35" s="341">
        <v>16</v>
      </c>
      <c r="Y35" s="356">
        <v>8.6021505376344093E-2</v>
      </c>
      <c r="Z35" s="341"/>
      <c r="AA35" s="341" t="s">
        <v>214</v>
      </c>
      <c r="AB35" s="341">
        <v>371</v>
      </c>
      <c r="AC35" s="356">
        <v>7.2830781311346682E-2</v>
      </c>
      <c r="AD35" s="341"/>
      <c r="AE35" s="31"/>
    </row>
    <row r="36" spans="1:31" ht="20.100000000000001" customHeight="1">
      <c r="A36" s="73"/>
      <c r="B36" s="73"/>
      <c r="C36" s="73"/>
      <c r="D36" s="73"/>
      <c r="E36" s="73"/>
      <c r="F36" s="73"/>
      <c r="G36" s="73"/>
      <c r="H36" s="73"/>
      <c r="I36" s="75" t="str">
        <f>W32</f>
        <v>Leukemijos</v>
      </c>
      <c r="J36" s="73"/>
      <c r="K36" s="73"/>
      <c r="L36" s="73"/>
      <c r="M36" s="73"/>
      <c r="N36" s="73"/>
      <c r="O36" s="73"/>
      <c r="P36" s="73"/>
      <c r="Q36" s="73"/>
      <c r="R36" s="73"/>
      <c r="S36" s="75" t="str">
        <f>AA32</f>
        <v>Tiesiosios žarnos, išangės</v>
      </c>
      <c r="T36" s="73"/>
      <c r="U36" s="73"/>
      <c r="V36" s="341"/>
      <c r="W36" s="341" t="s">
        <v>222</v>
      </c>
      <c r="X36" s="341">
        <v>19</v>
      </c>
      <c r="Y36" s="356">
        <v>0.10215053763440861</v>
      </c>
      <c r="Z36" s="341"/>
      <c r="AA36" s="341" t="s">
        <v>217</v>
      </c>
      <c r="AB36" s="341">
        <v>423</v>
      </c>
      <c r="AC36" s="356">
        <v>8.3038869257950523E-2</v>
      </c>
      <c r="AD36" s="341"/>
      <c r="AE36" s="31"/>
    </row>
    <row r="37" spans="1:31" ht="20.100000000000001" customHeight="1">
      <c r="A37" s="73"/>
      <c r="B37" s="73"/>
      <c r="C37" s="73"/>
      <c r="D37" s="73"/>
      <c r="E37" s="73"/>
      <c r="F37" s="73"/>
      <c r="G37" s="73"/>
      <c r="H37" s="73"/>
      <c r="I37" s="75" t="str">
        <f>W31</f>
        <v>Ne Hodžkino limfomos</v>
      </c>
      <c r="J37" s="73"/>
      <c r="K37" s="73"/>
      <c r="L37" s="73"/>
      <c r="M37" s="73"/>
      <c r="N37" s="73"/>
      <c r="O37" s="73"/>
      <c r="P37" s="73"/>
      <c r="Q37" s="73"/>
      <c r="R37" s="73"/>
      <c r="S37" s="75" t="str">
        <f>AA31</f>
        <v>Nepatikslintos lokalizacijos</v>
      </c>
      <c r="T37" s="73"/>
      <c r="U37" s="73"/>
      <c r="V37" s="341"/>
      <c r="W37" s="341" t="s">
        <v>223</v>
      </c>
      <c r="X37" s="341">
        <v>20</v>
      </c>
      <c r="Y37" s="356">
        <v>0.10752688172043011</v>
      </c>
      <c r="Z37" s="341"/>
      <c r="AA37" s="341" t="s">
        <v>218</v>
      </c>
      <c r="AB37" s="341">
        <v>558</v>
      </c>
      <c r="AC37" s="356">
        <v>0.10954063604240283</v>
      </c>
      <c r="AD37" s="341"/>
      <c r="AE37" s="31"/>
    </row>
    <row r="38" spans="1:31" ht="20.100000000000001" customHeight="1">
      <c r="A38" s="73"/>
      <c r="B38" s="73"/>
      <c r="C38" s="73"/>
      <c r="D38" s="73"/>
      <c r="E38" s="73"/>
      <c r="F38" s="73"/>
      <c r="G38" s="73"/>
      <c r="H38" s="73"/>
      <c r="I38" s="75" t="str">
        <f>W30</f>
        <v>Gimdos kaklelio</v>
      </c>
      <c r="J38" s="73"/>
      <c r="K38" s="73"/>
      <c r="L38" s="73"/>
      <c r="M38" s="73"/>
      <c r="N38" s="73"/>
      <c r="O38" s="73"/>
      <c r="P38" s="73"/>
      <c r="Q38" s="73"/>
      <c r="R38" s="73"/>
      <c r="S38" s="75" t="str">
        <f>AA30</f>
        <v>Kasos</v>
      </c>
      <c r="T38" s="73"/>
      <c r="U38" s="73"/>
      <c r="V38" s="341"/>
      <c r="W38" s="341" t="s">
        <v>225</v>
      </c>
      <c r="X38" s="341">
        <v>22</v>
      </c>
      <c r="Y38" s="356">
        <v>0.11827956989247312</v>
      </c>
      <c r="Z38" s="341"/>
      <c r="AA38" s="341" t="s">
        <v>216</v>
      </c>
      <c r="AB38" s="341">
        <v>911</v>
      </c>
      <c r="AC38" s="356">
        <v>0.17883784844915587</v>
      </c>
      <c r="AD38" s="341"/>
      <c r="AE38" s="31"/>
    </row>
    <row r="39" spans="1:31" ht="20.100000000000001" customHeight="1">
      <c r="A39" s="73"/>
      <c r="B39" s="73"/>
      <c r="C39" s="73"/>
      <c r="D39" s="73"/>
      <c r="E39" s="73"/>
      <c r="F39" s="73"/>
      <c r="G39" s="73"/>
      <c r="H39" s="73"/>
      <c r="I39" s="75" t="str">
        <f>W29</f>
        <v>Kaulų ir jungiamojo audinio</v>
      </c>
      <c r="J39" s="73"/>
      <c r="K39" s="73"/>
      <c r="L39" s="73"/>
      <c r="M39" s="73"/>
      <c r="N39" s="73"/>
      <c r="O39" s="73"/>
      <c r="P39" s="73"/>
      <c r="Q39" s="73"/>
      <c r="R39" s="73"/>
      <c r="S39" s="75" t="str">
        <f>AA29</f>
        <v>Leukemijos</v>
      </c>
      <c r="T39" s="73"/>
      <c r="U39" s="73"/>
      <c r="V39" s="341"/>
      <c r="W39" s="387" t="s">
        <v>210</v>
      </c>
      <c r="X39" s="341">
        <v>186</v>
      </c>
      <c r="Y39" s="356">
        <v>1</v>
      </c>
      <c r="Z39" s="341"/>
      <c r="AA39" s="387" t="s">
        <v>210</v>
      </c>
      <c r="AB39" s="341">
        <v>5094</v>
      </c>
      <c r="AC39" s="356">
        <v>0.99999999999999989</v>
      </c>
      <c r="AD39" s="341"/>
      <c r="AE39" s="31"/>
    </row>
    <row r="40" spans="1:31" ht="20.100000000000001" customHeight="1">
      <c r="A40" s="73"/>
      <c r="B40" s="73"/>
      <c r="C40" s="73"/>
      <c r="D40" s="73"/>
      <c r="E40" s="73"/>
      <c r="F40" s="73"/>
      <c r="G40" s="73"/>
      <c r="H40" s="73"/>
      <c r="I40" s="75" t="str">
        <f>W28</f>
        <v>Kiti</v>
      </c>
      <c r="J40" s="73"/>
      <c r="K40" s="73"/>
      <c r="L40" s="73"/>
      <c r="M40" s="73"/>
      <c r="N40" s="73"/>
      <c r="O40" s="73"/>
      <c r="P40" s="73"/>
      <c r="Q40" s="73"/>
      <c r="R40" s="73"/>
      <c r="S40" s="75" t="str">
        <f>AA28</f>
        <v>Kiti</v>
      </c>
      <c r="T40" s="73"/>
      <c r="U40" s="73"/>
      <c r="V40" s="341"/>
      <c r="W40" s="411"/>
      <c r="X40" s="411"/>
      <c r="Y40" s="411"/>
      <c r="Z40" s="341"/>
      <c r="AA40" s="411"/>
      <c r="AB40" s="411"/>
      <c r="AC40" s="411"/>
      <c r="AD40" s="341"/>
      <c r="AE40" s="31"/>
    </row>
    <row r="41" spans="1:31" ht="24.95" customHeight="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31"/>
      <c r="W41" s="242"/>
      <c r="X41" s="242"/>
      <c r="Y41" s="260"/>
      <c r="Z41" s="242"/>
      <c r="AA41" s="242"/>
      <c r="AB41" s="242"/>
      <c r="AC41" s="260"/>
      <c r="AD41" s="31"/>
      <c r="AE41" s="31"/>
    </row>
    <row r="42" spans="1:3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24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1:3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</sheetData>
  <mergeCells count="14">
    <mergeCell ref="W1:Y1"/>
    <mergeCell ref="AA1:AC1"/>
    <mergeCell ref="C3:I3"/>
    <mergeCell ref="M3:S3"/>
    <mergeCell ref="W14:Y14"/>
    <mergeCell ref="AA14:AC14"/>
    <mergeCell ref="W40:Y40"/>
    <mergeCell ref="AA40:AC40"/>
    <mergeCell ref="C16:I16"/>
    <mergeCell ref="M16:S16"/>
    <mergeCell ref="W27:Y27"/>
    <mergeCell ref="AA27:AC27"/>
    <mergeCell ref="C29:I29"/>
    <mergeCell ref="M29:S29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 tint="0.39997558519241921"/>
  </sheetPr>
  <dimension ref="A1:AE84"/>
  <sheetViews>
    <sheetView zoomScaleNormal="100" workbookViewId="0">
      <selection activeCell="D2" sqref="D2"/>
    </sheetView>
  </sheetViews>
  <sheetFormatPr defaultRowHeight="12.75"/>
  <cols>
    <col min="1" max="1" width="6.7109375" customWidth="1"/>
    <col min="2" max="2" width="0.140625" customWidth="1"/>
    <col min="3" max="6" width="7.7109375" customWidth="1"/>
    <col min="7" max="7" width="4.7109375" customWidth="1"/>
    <col min="8" max="8" width="10.7109375" customWidth="1"/>
    <col min="9" max="9" width="7.7109375" customWidth="1"/>
    <col min="10" max="10" width="0.85546875" customWidth="1"/>
    <col min="11" max="11" width="2.7109375" customWidth="1"/>
    <col min="12" max="12" width="0.85546875" customWidth="1"/>
    <col min="13" max="16" width="7.7109375" customWidth="1"/>
    <col min="17" max="17" width="4.7109375" customWidth="1"/>
    <col min="18" max="18" width="10.7109375" customWidth="1"/>
    <col min="19" max="19" width="7.7109375" customWidth="1"/>
    <col min="20" max="20" width="0.140625" customWidth="1"/>
    <col min="21" max="21" width="7.7109375" customWidth="1"/>
    <col min="23" max="23" width="31.5703125" bestFit="1" customWidth="1"/>
    <col min="24" max="24" width="5" bestFit="1" customWidth="1"/>
    <col min="25" max="25" width="5.7109375" bestFit="1" customWidth="1"/>
    <col min="26" max="26" width="8.5703125" bestFit="1" customWidth="1"/>
    <col min="27" max="27" width="34.140625" bestFit="1" customWidth="1"/>
    <col min="28" max="28" width="5" bestFit="1" customWidth="1"/>
    <col min="29" max="29" width="5.7109375" bestFit="1" customWidth="1"/>
    <col min="31" max="31" width="9.42578125" bestFit="1" customWidth="1"/>
  </cols>
  <sheetData>
    <row r="1" spans="1:31" ht="20.100000000000001" customHeight="1">
      <c r="A1" s="343">
        <v>2013</v>
      </c>
      <c r="B1" s="343"/>
      <c r="C1" s="343" t="s">
        <v>405</v>
      </c>
      <c r="D1" s="243" t="s">
        <v>635</v>
      </c>
      <c r="E1" s="343" t="s">
        <v>425</v>
      </c>
      <c r="F1" s="341"/>
      <c r="G1" s="342" t="s">
        <v>406</v>
      </c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1"/>
      <c r="S1" s="31"/>
      <c r="T1" s="31"/>
      <c r="U1" s="31"/>
      <c r="V1" s="31"/>
      <c r="W1" s="411" t="s">
        <v>454</v>
      </c>
      <c r="X1" s="411"/>
      <c r="Y1" s="411"/>
      <c r="Z1" s="341"/>
      <c r="AA1" s="411" t="s">
        <v>461</v>
      </c>
      <c r="AB1" s="411"/>
      <c r="AC1" s="411"/>
      <c r="AD1" s="341"/>
    </row>
    <row r="2" spans="1:31" ht="20.100000000000001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31"/>
      <c r="W2" s="341" t="s">
        <v>26</v>
      </c>
      <c r="X2" s="341">
        <v>1802</v>
      </c>
      <c r="Y2" s="356">
        <v>0.18910693671948789</v>
      </c>
      <c r="Z2" s="341"/>
      <c r="AA2" s="341" t="s">
        <v>26</v>
      </c>
      <c r="AB2" s="341">
        <v>2210</v>
      </c>
      <c r="AC2" s="356">
        <v>0.26607271851673486</v>
      </c>
      <c r="AD2" s="341"/>
      <c r="AE2" s="31"/>
    </row>
    <row r="3" spans="1:31" ht="24.95" customHeight="1">
      <c r="A3" s="73"/>
      <c r="B3" s="73"/>
      <c r="C3" s="410" t="str">
        <f>W1</f>
        <v>Vyrai, visos amžiaus grupės (9529 atv.)</v>
      </c>
      <c r="D3" s="410"/>
      <c r="E3" s="410"/>
      <c r="F3" s="410"/>
      <c r="G3" s="410"/>
      <c r="H3" s="410"/>
      <c r="I3" s="410"/>
      <c r="J3" s="74"/>
      <c r="K3" s="73"/>
      <c r="L3" s="73"/>
      <c r="M3" s="410" t="str">
        <f>AA1</f>
        <v>Moterys, visos amžiaus grupės (8306 atv.)</v>
      </c>
      <c r="N3" s="410"/>
      <c r="O3" s="410"/>
      <c r="P3" s="410"/>
      <c r="Q3" s="410"/>
      <c r="R3" s="410"/>
      <c r="S3" s="410"/>
      <c r="T3" s="73"/>
      <c r="U3" s="73"/>
      <c r="V3" s="31"/>
      <c r="W3" s="341" t="s">
        <v>219</v>
      </c>
      <c r="X3" s="341">
        <v>243</v>
      </c>
      <c r="Y3" s="356">
        <v>2.5501101899464793E-2</v>
      </c>
      <c r="Z3" s="341"/>
      <c r="AA3" s="341" t="s">
        <v>217</v>
      </c>
      <c r="AB3" s="341">
        <v>290</v>
      </c>
      <c r="AC3" s="356">
        <v>3.4914519624367923E-2</v>
      </c>
      <c r="AD3" s="341"/>
      <c r="AE3" s="31"/>
    </row>
    <row r="4" spans="1:31" ht="20.100000000000001" customHeight="1">
      <c r="A4" s="73"/>
      <c r="B4" s="73"/>
      <c r="C4" s="73"/>
      <c r="D4" s="73"/>
      <c r="E4" s="73"/>
      <c r="F4" s="73"/>
      <c r="G4" s="73"/>
      <c r="H4" s="73"/>
      <c r="I4" s="75" t="str">
        <f>W12</f>
        <v>Priešinės liaukos</v>
      </c>
      <c r="J4" s="75"/>
      <c r="K4" s="73"/>
      <c r="L4" s="73"/>
      <c r="M4" s="73"/>
      <c r="N4" s="73"/>
      <c r="O4" s="73"/>
      <c r="P4" s="73"/>
      <c r="Q4" s="73"/>
      <c r="R4" s="73"/>
      <c r="S4" s="75" t="str">
        <f>AA12</f>
        <v>Krūties</v>
      </c>
      <c r="T4" s="73"/>
      <c r="U4" s="73"/>
      <c r="V4" s="31"/>
      <c r="W4" s="341" t="s">
        <v>211</v>
      </c>
      <c r="X4" s="341">
        <v>253</v>
      </c>
      <c r="Y4" s="356">
        <v>2.6550529961171163E-2</v>
      </c>
      <c r="Z4" s="341"/>
      <c r="AA4" s="341" t="s">
        <v>222</v>
      </c>
      <c r="AB4" s="341">
        <v>295</v>
      </c>
      <c r="AC4" s="356">
        <v>3.551649410065013E-2</v>
      </c>
      <c r="AD4" s="341"/>
      <c r="AE4" s="31"/>
    </row>
    <row r="5" spans="1:31" ht="20.100000000000001" customHeight="1">
      <c r="A5" s="73"/>
      <c r="B5" s="73"/>
      <c r="C5" s="73"/>
      <c r="D5" s="73"/>
      <c r="E5" s="73"/>
      <c r="F5" s="73"/>
      <c r="G5" s="73"/>
      <c r="H5" s="73"/>
      <c r="I5" s="75" t="str">
        <f>W11</f>
        <v>Plaučių, trachėjos, bronchų</v>
      </c>
      <c r="J5" s="75"/>
      <c r="K5" s="73"/>
      <c r="L5" s="73"/>
      <c r="M5" s="73"/>
      <c r="N5" s="73"/>
      <c r="O5" s="73"/>
      <c r="P5" s="73"/>
      <c r="Q5" s="73"/>
      <c r="R5" s="73"/>
      <c r="S5" s="75" t="str">
        <f>AA11</f>
        <v>Kiti odos piktybiniai navikai</v>
      </c>
      <c r="T5" s="73"/>
      <c r="U5" s="73"/>
      <c r="V5" s="31"/>
      <c r="W5" s="341" t="s">
        <v>220</v>
      </c>
      <c r="X5" s="341">
        <v>275</v>
      </c>
      <c r="Y5" s="356">
        <v>2.8859271696925176E-2</v>
      </c>
      <c r="Z5" s="341"/>
      <c r="AA5" s="341" t="s">
        <v>212</v>
      </c>
      <c r="AB5" s="341">
        <v>324</v>
      </c>
      <c r="AC5" s="356">
        <v>3.9007946063086926E-2</v>
      </c>
      <c r="AD5" s="341"/>
      <c r="AE5" s="31"/>
    </row>
    <row r="6" spans="1:31" ht="20.100000000000001" customHeight="1">
      <c r="A6" s="73"/>
      <c r="B6" s="73"/>
      <c r="C6" s="73"/>
      <c r="D6" s="73"/>
      <c r="E6" s="73"/>
      <c r="F6" s="73"/>
      <c r="G6" s="73"/>
      <c r="H6" s="73"/>
      <c r="I6" s="75" t="str">
        <f>W10</f>
        <v>Kiti odos piktybiniai navikai</v>
      </c>
      <c r="J6" s="75"/>
      <c r="K6" s="73"/>
      <c r="L6" s="73"/>
      <c r="M6" s="73"/>
      <c r="N6" s="73"/>
      <c r="O6" s="73"/>
      <c r="P6" s="73"/>
      <c r="Q6" s="73"/>
      <c r="R6" s="73"/>
      <c r="S6" s="75" t="str">
        <f>AA10</f>
        <v>Gimdos kūno</v>
      </c>
      <c r="T6" s="73"/>
      <c r="U6" s="73"/>
      <c r="V6" s="31"/>
      <c r="W6" s="341" t="s">
        <v>213</v>
      </c>
      <c r="X6" s="341">
        <v>366</v>
      </c>
      <c r="Y6" s="356">
        <v>3.8409067058453143E-2</v>
      </c>
      <c r="Z6" s="341"/>
      <c r="AA6" s="341" t="s">
        <v>215</v>
      </c>
      <c r="AB6" s="341">
        <v>334</v>
      </c>
      <c r="AC6" s="356">
        <v>4.0211895015651339E-2</v>
      </c>
      <c r="AD6" s="341"/>
      <c r="AE6" s="31"/>
    </row>
    <row r="7" spans="1:31" ht="20.100000000000001" customHeight="1">
      <c r="A7" s="73"/>
      <c r="B7" s="73"/>
      <c r="C7" s="73"/>
      <c r="D7" s="73"/>
      <c r="E7" s="73"/>
      <c r="F7" s="73"/>
      <c r="G7" s="73"/>
      <c r="H7" s="73"/>
      <c r="I7" s="75" t="str">
        <f>W9</f>
        <v>Skrandžio</v>
      </c>
      <c r="J7" s="75"/>
      <c r="K7" s="73"/>
      <c r="L7" s="73"/>
      <c r="M7" s="73"/>
      <c r="N7" s="73"/>
      <c r="O7" s="73"/>
      <c r="P7" s="73"/>
      <c r="Q7" s="73"/>
      <c r="R7" s="73"/>
      <c r="S7" s="75" t="str">
        <f>AA9</f>
        <v>Gaubtinės žarnos</v>
      </c>
      <c r="T7" s="73"/>
      <c r="U7" s="73"/>
      <c r="V7" s="31"/>
      <c r="W7" s="341" t="s">
        <v>212</v>
      </c>
      <c r="X7" s="341">
        <v>386</v>
      </c>
      <c r="Y7" s="356">
        <v>4.0507923181865885E-2</v>
      </c>
      <c r="Z7" s="341"/>
      <c r="AA7" s="341" t="s">
        <v>231</v>
      </c>
      <c r="AB7" s="341">
        <v>363</v>
      </c>
      <c r="AC7" s="356">
        <v>4.3703346978088128E-2</v>
      </c>
      <c r="AD7" s="341"/>
      <c r="AE7" s="31"/>
    </row>
    <row r="8" spans="1:31" ht="20.100000000000001" customHeight="1">
      <c r="A8" s="73"/>
      <c r="B8" s="73"/>
      <c r="C8" s="73"/>
      <c r="D8" s="73"/>
      <c r="E8" s="73"/>
      <c r="F8" s="73"/>
      <c r="G8" s="73"/>
      <c r="H8" s="73"/>
      <c r="I8" s="75" t="str">
        <f>W8</f>
        <v>Gaubtinės žarnos</v>
      </c>
      <c r="J8" s="75"/>
      <c r="K8" s="73"/>
      <c r="L8" s="73"/>
      <c r="M8" s="73"/>
      <c r="N8" s="73"/>
      <c r="O8" s="73"/>
      <c r="P8" s="73"/>
      <c r="Q8" s="73"/>
      <c r="R8" s="73"/>
      <c r="S8" s="75" t="str">
        <f>AA8</f>
        <v>Gimdos kaklelio</v>
      </c>
      <c r="T8" s="73"/>
      <c r="U8" s="73"/>
      <c r="V8" s="31"/>
      <c r="W8" s="341" t="s">
        <v>214</v>
      </c>
      <c r="X8" s="341">
        <v>442</v>
      </c>
      <c r="Y8" s="356">
        <v>4.6384720327421552E-2</v>
      </c>
      <c r="Z8" s="341"/>
      <c r="AA8" s="341" t="s">
        <v>232</v>
      </c>
      <c r="AB8" s="341">
        <v>397</v>
      </c>
      <c r="AC8" s="356">
        <v>4.7796773416807124E-2</v>
      </c>
      <c r="AD8" s="341"/>
      <c r="AE8" s="31"/>
    </row>
    <row r="9" spans="1:31" ht="20.100000000000001" customHeight="1">
      <c r="A9" s="73"/>
      <c r="B9" s="73"/>
      <c r="C9" s="73"/>
      <c r="D9" s="73"/>
      <c r="E9" s="73"/>
      <c r="F9" s="73"/>
      <c r="G9" s="73"/>
      <c r="H9" s="73"/>
      <c r="I9" s="75" t="str">
        <f>W7</f>
        <v>Tiesiosios žarnos, išangės</v>
      </c>
      <c r="J9" s="75"/>
      <c r="K9" s="73"/>
      <c r="L9" s="73"/>
      <c r="M9" s="73"/>
      <c r="N9" s="73"/>
      <c r="O9" s="73"/>
      <c r="P9" s="73"/>
      <c r="Q9" s="73"/>
      <c r="R9" s="73"/>
      <c r="S9" s="75" t="str">
        <f>AA7</f>
        <v>Kiaušidžių</v>
      </c>
      <c r="T9" s="73"/>
      <c r="U9" s="73"/>
      <c r="V9" s="31"/>
      <c r="W9" s="341" t="s">
        <v>215</v>
      </c>
      <c r="X9" s="341">
        <v>510</v>
      </c>
      <c r="Y9" s="356">
        <v>5.3520831147024869E-2</v>
      </c>
      <c r="Z9" s="341"/>
      <c r="AA9" s="341" t="s">
        <v>214</v>
      </c>
      <c r="AB9" s="341">
        <v>470</v>
      </c>
      <c r="AC9" s="356">
        <v>5.6585600770527329E-2</v>
      </c>
      <c r="AD9" s="341"/>
      <c r="AE9" s="31"/>
    </row>
    <row r="10" spans="1:31" ht="20.100000000000001" customHeight="1">
      <c r="A10" s="73"/>
      <c r="B10" s="73"/>
      <c r="C10" s="73"/>
      <c r="D10" s="73"/>
      <c r="E10" s="73"/>
      <c r="F10" s="73"/>
      <c r="G10" s="73"/>
      <c r="H10" s="73"/>
      <c r="I10" s="75" t="str">
        <f>W6</f>
        <v>Inkstų</v>
      </c>
      <c r="J10" s="75"/>
      <c r="K10" s="73"/>
      <c r="L10" s="73"/>
      <c r="M10" s="73"/>
      <c r="N10" s="73"/>
      <c r="O10" s="73"/>
      <c r="P10" s="73"/>
      <c r="Q10" s="73"/>
      <c r="R10" s="73"/>
      <c r="S10" s="75" t="str">
        <f>AA6</f>
        <v>Skrandžio</v>
      </c>
      <c r="T10" s="73"/>
      <c r="U10" s="73"/>
      <c r="V10" s="31"/>
      <c r="W10" s="341" t="s">
        <v>216</v>
      </c>
      <c r="X10" s="341">
        <v>882</v>
      </c>
      <c r="Y10" s="356">
        <v>9.2559555042501837E-2</v>
      </c>
      <c r="Z10" s="341"/>
      <c r="AA10" s="341" t="s">
        <v>233</v>
      </c>
      <c r="AB10" s="341">
        <v>641</v>
      </c>
      <c r="AC10" s="356">
        <v>7.7173127859378757E-2</v>
      </c>
      <c r="AD10" s="341"/>
      <c r="AE10" s="31"/>
    </row>
    <row r="11" spans="1:31" ht="20.100000000000001" customHeight="1">
      <c r="A11" s="73"/>
      <c r="B11" s="73"/>
      <c r="C11" s="73"/>
      <c r="D11" s="73"/>
      <c r="E11" s="73"/>
      <c r="F11" s="73"/>
      <c r="G11" s="73"/>
      <c r="H11" s="73"/>
      <c r="I11" s="75" t="str">
        <f>W5</f>
        <v>Šlapimo pūslės</v>
      </c>
      <c r="J11" s="75"/>
      <c r="K11" s="73"/>
      <c r="L11" s="73"/>
      <c r="M11" s="73"/>
      <c r="N11" s="73"/>
      <c r="O11" s="73"/>
      <c r="P11" s="73"/>
      <c r="Q11" s="73"/>
      <c r="R11" s="73"/>
      <c r="S11" s="75" t="str">
        <f>AA5</f>
        <v>Tiesiosios žarnos, išangės</v>
      </c>
      <c r="T11" s="73"/>
      <c r="U11" s="73"/>
      <c r="V11" s="31"/>
      <c r="W11" s="341" t="s">
        <v>217</v>
      </c>
      <c r="X11" s="341">
        <v>1147</v>
      </c>
      <c r="Y11" s="356">
        <v>0.12036939867772065</v>
      </c>
      <c r="Z11" s="341"/>
      <c r="AA11" s="341" t="s">
        <v>216</v>
      </c>
      <c r="AB11" s="341">
        <v>1448</v>
      </c>
      <c r="AC11" s="356">
        <v>0.17433180833132675</v>
      </c>
      <c r="AD11" s="341"/>
      <c r="AE11" s="31"/>
    </row>
    <row r="12" spans="1:31" ht="20.100000000000001" customHeight="1">
      <c r="A12" s="73"/>
      <c r="B12" s="73"/>
      <c r="C12" s="73"/>
      <c r="D12" s="73"/>
      <c r="E12" s="73"/>
      <c r="F12" s="73"/>
      <c r="G12" s="73"/>
      <c r="H12" s="73"/>
      <c r="I12" s="75" t="str">
        <f>W4</f>
        <v>Burnos ertmės ir ryklės</v>
      </c>
      <c r="J12" s="75"/>
      <c r="K12" s="73"/>
      <c r="L12" s="73"/>
      <c r="M12" s="73"/>
      <c r="N12" s="73"/>
      <c r="O12" s="73"/>
      <c r="P12" s="73"/>
      <c r="Q12" s="73"/>
      <c r="R12" s="73"/>
      <c r="S12" s="75" t="str">
        <f>AA4</f>
        <v>Skydliaukės</v>
      </c>
      <c r="T12" s="73"/>
      <c r="U12" s="73"/>
      <c r="V12" s="31"/>
      <c r="W12" s="341" t="s">
        <v>218</v>
      </c>
      <c r="X12" s="341">
        <v>3223</v>
      </c>
      <c r="Y12" s="356">
        <v>0.33823066428796306</v>
      </c>
      <c r="Z12" s="341"/>
      <c r="AA12" s="341" t="s">
        <v>234</v>
      </c>
      <c r="AB12" s="341">
        <v>1534</v>
      </c>
      <c r="AC12" s="356">
        <v>0.18468576932338068</v>
      </c>
      <c r="AD12" s="341"/>
      <c r="AE12" s="31"/>
    </row>
    <row r="13" spans="1:31" ht="20.100000000000001" customHeight="1">
      <c r="A13" s="73"/>
      <c r="B13" s="73"/>
      <c r="C13" s="73"/>
      <c r="D13" s="73"/>
      <c r="E13" s="73"/>
      <c r="F13" s="73"/>
      <c r="G13" s="73"/>
      <c r="H13" s="73"/>
      <c r="I13" s="75" t="str">
        <f>W3</f>
        <v>Kasos</v>
      </c>
      <c r="J13" s="75"/>
      <c r="K13" s="73"/>
      <c r="L13" s="73"/>
      <c r="M13" s="73"/>
      <c r="N13" s="73"/>
      <c r="O13" s="73"/>
      <c r="P13" s="73"/>
      <c r="Q13" s="73"/>
      <c r="R13" s="73"/>
      <c r="S13" s="75" t="str">
        <f>AA3</f>
        <v>Plaučių, trachėjos, bronchų</v>
      </c>
      <c r="T13" s="73"/>
      <c r="U13" s="73"/>
      <c r="V13" s="31"/>
      <c r="W13" s="360" t="s">
        <v>210</v>
      </c>
      <c r="X13" s="341">
        <v>9529</v>
      </c>
      <c r="Y13" s="356">
        <v>1</v>
      </c>
      <c r="Z13" s="341"/>
      <c r="AA13" s="360" t="s">
        <v>210</v>
      </c>
      <c r="AB13" s="341">
        <v>8306</v>
      </c>
      <c r="AC13" s="356">
        <v>1</v>
      </c>
      <c r="AD13" s="341"/>
      <c r="AE13" s="31"/>
    </row>
    <row r="14" spans="1:31" ht="20.100000000000001" customHeight="1">
      <c r="A14" s="73"/>
      <c r="B14" s="73"/>
      <c r="C14" s="73"/>
      <c r="D14" s="73"/>
      <c r="E14" s="73"/>
      <c r="F14" s="73"/>
      <c r="G14" s="73"/>
      <c r="H14" s="73"/>
      <c r="I14" s="75" t="str">
        <f>W2</f>
        <v>Kiti</v>
      </c>
      <c r="J14" s="75"/>
      <c r="K14" s="73"/>
      <c r="L14" s="73"/>
      <c r="M14" s="73"/>
      <c r="N14" s="73"/>
      <c r="O14" s="73"/>
      <c r="P14" s="73"/>
      <c r="Q14" s="73"/>
      <c r="R14" s="73"/>
      <c r="S14" s="75" t="str">
        <f>AA2</f>
        <v>Kiti</v>
      </c>
      <c r="T14" s="73"/>
      <c r="U14" s="73"/>
      <c r="V14" s="31"/>
      <c r="W14" s="411" t="s">
        <v>455</v>
      </c>
      <c r="X14" s="411"/>
      <c r="Y14" s="411"/>
      <c r="Z14" s="341"/>
      <c r="AA14" s="411" t="s">
        <v>462</v>
      </c>
      <c r="AB14" s="411"/>
      <c r="AC14" s="411"/>
      <c r="AD14" s="341"/>
      <c r="AE14" s="31"/>
    </row>
    <row r="15" spans="1:31" ht="24.95" customHeight="1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31"/>
      <c r="W15" s="341" t="s">
        <v>26</v>
      </c>
      <c r="X15" s="341">
        <v>3</v>
      </c>
      <c r="Y15" s="356">
        <v>9.6774193548387094E-2</v>
      </c>
      <c r="Z15" s="341"/>
      <c r="AA15" s="341" t="s">
        <v>26</v>
      </c>
      <c r="AB15" s="341">
        <v>1</v>
      </c>
      <c r="AC15" s="376">
        <v>3.0303030303030304E-2</v>
      </c>
      <c r="AD15" s="341"/>
      <c r="AE15" s="31"/>
    </row>
    <row r="16" spans="1:31" ht="24.95" customHeight="1">
      <c r="A16" s="73"/>
      <c r="B16" s="73"/>
      <c r="C16" s="410" t="str">
        <f>W14</f>
        <v>Vyrai, 0-14 metų (31 atv.)</v>
      </c>
      <c r="D16" s="410"/>
      <c r="E16" s="410"/>
      <c r="F16" s="410"/>
      <c r="G16" s="410"/>
      <c r="H16" s="410"/>
      <c r="I16" s="410"/>
      <c r="J16" s="74"/>
      <c r="K16" s="73"/>
      <c r="L16" s="73"/>
      <c r="M16" s="410" t="str">
        <f>AA14</f>
        <v>Moterys, 0-14 metų (33 atv.)</v>
      </c>
      <c r="N16" s="410"/>
      <c r="O16" s="410"/>
      <c r="P16" s="410"/>
      <c r="Q16" s="410"/>
      <c r="R16" s="410"/>
      <c r="S16" s="410"/>
      <c r="T16" s="73"/>
      <c r="U16" s="73"/>
      <c r="V16" s="31"/>
      <c r="W16" s="341" t="s">
        <v>224</v>
      </c>
      <c r="X16" s="341">
        <v>1</v>
      </c>
      <c r="Y16" s="356">
        <v>3.2258064516129031E-2</v>
      </c>
      <c r="Z16" s="341"/>
      <c r="AA16" s="341" t="s">
        <v>442</v>
      </c>
      <c r="AB16" s="341">
        <v>1</v>
      </c>
      <c r="AC16" s="356">
        <v>3.0303030303030304E-2</v>
      </c>
      <c r="AD16" s="341"/>
      <c r="AE16" s="31"/>
    </row>
    <row r="17" spans="1:31" ht="20.100000000000001" customHeight="1">
      <c r="A17" s="73"/>
      <c r="B17" s="73"/>
      <c r="C17" s="73"/>
      <c r="D17" s="73"/>
      <c r="E17" s="73"/>
      <c r="F17" s="73"/>
      <c r="G17" s="73"/>
      <c r="H17" s="73"/>
      <c r="I17" s="75" t="str">
        <f>W25</f>
        <v>Leukemijos</v>
      </c>
      <c r="J17" s="75"/>
      <c r="K17" s="73"/>
      <c r="L17" s="73"/>
      <c r="M17" s="73"/>
      <c r="N17" s="73"/>
      <c r="O17" s="73"/>
      <c r="P17" s="73"/>
      <c r="Q17" s="73"/>
      <c r="R17" s="73"/>
      <c r="S17" s="75" t="str">
        <f>AA25</f>
        <v>Leukemijos</v>
      </c>
      <c r="T17" s="73"/>
      <c r="U17" s="73"/>
      <c r="V17" s="31"/>
      <c r="W17" s="341" t="s">
        <v>229</v>
      </c>
      <c r="X17" s="341">
        <v>1</v>
      </c>
      <c r="Y17" s="356">
        <v>3.2258064516129031E-2</v>
      </c>
      <c r="Z17" s="341"/>
      <c r="AA17" s="341" t="s">
        <v>443</v>
      </c>
      <c r="AB17" s="341">
        <v>1</v>
      </c>
      <c r="AC17" s="356">
        <v>3.0303030303030304E-2</v>
      </c>
      <c r="AD17" s="341"/>
      <c r="AE17" s="31"/>
    </row>
    <row r="18" spans="1:31" ht="20.100000000000001" customHeight="1">
      <c r="A18" s="73"/>
      <c r="B18" s="73"/>
      <c r="C18" s="73"/>
      <c r="D18" s="73"/>
      <c r="E18" s="73"/>
      <c r="F18" s="73"/>
      <c r="G18" s="73"/>
      <c r="H18" s="73"/>
      <c r="I18" s="75" t="str">
        <f>W24</f>
        <v>Ne Hodžkino limfomos</v>
      </c>
      <c r="J18" s="75"/>
      <c r="K18" s="73"/>
      <c r="L18" s="73"/>
      <c r="M18" s="73"/>
      <c r="N18" s="73"/>
      <c r="O18" s="73"/>
      <c r="P18" s="73"/>
      <c r="Q18" s="73"/>
      <c r="R18" s="73"/>
      <c r="S18" s="75" t="str">
        <f>AA24</f>
        <v>Smegenų</v>
      </c>
      <c r="T18" s="73"/>
      <c r="U18" s="73"/>
      <c r="V18" s="31"/>
      <c r="W18" s="341" t="s">
        <v>221</v>
      </c>
      <c r="X18" s="341">
        <v>1</v>
      </c>
      <c r="Y18" s="356">
        <v>3.2258064516129031E-2</v>
      </c>
      <c r="Z18" s="341"/>
      <c r="AA18" s="341" t="s">
        <v>220</v>
      </c>
      <c r="AB18" s="341">
        <v>1</v>
      </c>
      <c r="AC18" s="356">
        <v>3.0303030303030304E-2</v>
      </c>
      <c r="AD18" s="341"/>
      <c r="AE18" s="31"/>
    </row>
    <row r="19" spans="1:31" ht="20.100000000000001" customHeight="1">
      <c r="A19" s="73"/>
      <c r="B19" s="73"/>
      <c r="C19" s="73"/>
      <c r="D19" s="73"/>
      <c r="E19" s="73"/>
      <c r="F19" s="73"/>
      <c r="G19" s="73"/>
      <c r="H19" s="73"/>
      <c r="I19" s="75" t="str">
        <f>W23</f>
        <v>Hodžkino limfomos</v>
      </c>
      <c r="J19" s="75"/>
      <c r="K19" s="73"/>
      <c r="L19" s="73"/>
      <c r="M19" s="73"/>
      <c r="N19" s="73"/>
      <c r="O19" s="73"/>
      <c r="P19" s="73"/>
      <c r="Q19" s="73"/>
      <c r="R19" s="73"/>
      <c r="S19" s="75" t="str">
        <f>AA23</f>
        <v>Kaulų ir jungiamojo audinio</v>
      </c>
      <c r="T19" s="73"/>
      <c r="U19" s="73"/>
      <c r="V19" s="31"/>
      <c r="W19" s="341" t="s">
        <v>456</v>
      </c>
      <c r="X19" s="341">
        <v>1</v>
      </c>
      <c r="Y19" s="356">
        <v>3.2258064516129031E-2</v>
      </c>
      <c r="Z19" s="341"/>
      <c r="AA19" s="341" t="s">
        <v>216</v>
      </c>
      <c r="AB19" s="341">
        <v>2</v>
      </c>
      <c r="AC19" s="356">
        <v>6.0606060606060608E-2</v>
      </c>
      <c r="AD19" s="341"/>
      <c r="AE19" s="31"/>
    </row>
    <row r="20" spans="1:31" ht="20.100000000000001" customHeight="1">
      <c r="A20" s="73"/>
      <c r="B20" s="73"/>
      <c r="C20" s="73"/>
      <c r="D20" s="73"/>
      <c r="E20" s="73"/>
      <c r="F20" s="73"/>
      <c r="G20" s="73"/>
      <c r="H20" s="73"/>
      <c r="I20" s="75" t="str">
        <f>W22</f>
        <v>Kaulų ir jungiamojo audinio</v>
      </c>
      <c r="J20" s="75"/>
      <c r="K20" s="73"/>
      <c r="L20" s="73"/>
      <c r="M20" s="73"/>
      <c r="N20" s="73"/>
      <c r="O20" s="73"/>
      <c r="P20" s="73"/>
      <c r="Q20" s="73"/>
      <c r="R20" s="73"/>
      <c r="S20" s="75" t="str">
        <f>AA22</f>
        <v>Inkstų</v>
      </c>
      <c r="T20" s="73"/>
      <c r="U20" s="73"/>
      <c r="V20" s="31"/>
      <c r="W20" s="341" t="s">
        <v>442</v>
      </c>
      <c r="X20" s="341">
        <v>2</v>
      </c>
      <c r="Y20" s="356">
        <v>6.4516129032258063E-2</v>
      </c>
      <c r="Z20" s="341"/>
      <c r="AA20" s="341" t="s">
        <v>223</v>
      </c>
      <c r="AB20" s="341">
        <v>2</v>
      </c>
      <c r="AC20" s="356">
        <v>6.0606060606060608E-2</v>
      </c>
      <c r="AD20" s="341"/>
      <c r="AE20" s="31"/>
    </row>
    <row r="21" spans="1:31" ht="20.100000000000001" customHeight="1">
      <c r="A21" s="73"/>
      <c r="B21" s="73"/>
      <c r="C21" s="73"/>
      <c r="D21" s="73"/>
      <c r="E21" s="73"/>
      <c r="F21" s="73"/>
      <c r="G21" s="73"/>
      <c r="H21" s="73"/>
      <c r="I21" s="75" t="str">
        <f>W21</f>
        <v>Smegenų</v>
      </c>
      <c r="J21" s="75"/>
      <c r="K21" s="73"/>
      <c r="L21" s="73"/>
      <c r="M21" s="73"/>
      <c r="N21" s="73"/>
      <c r="O21" s="73"/>
      <c r="P21" s="73"/>
      <c r="Q21" s="73"/>
      <c r="R21" s="73"/>
      <c r="S21" s="75" t="str">
        <f>AA21</f>
        <v>Kitų virškinimo sistemos organų</v>
      </c>
      <c r="T21" s="73"/>
      <c r="U21" s="73"/>
      <c r="V21" s="31"/>
      <c r="W21" s="341" t="s">
        <v>225</v>
      </c>
      <c r="X21" s="341">
        <v>2</v>
      </c>
      <c r="Y21" s="356">
        <v>6.4516129032258063E-2</v>
      </c>
      <c r="Z21" s="341"/>
      <c r="AA21" s="341" t="s">
        <v>224</v>
      </c>
      <c r="AB21" s="341">
        <v>3</v>
      </c>
      <c r="AC21" s="356">
        <v>9.0909090909090912E-2</v>
      </c>
      <c r="AD21" s="341"/>
      <c r="AE21" s="31"/>
    </row>
    <row r="22" spans="1:31" ht="20.100000000000001" customHeight="1">
      <c r="A22" s="73"/>
      <c r="B22" s="73"/>
      <c r="C22" s="73"/>
      <c r="D22" s="73"/>
      <c r="E22" s="73"/>
      <c r="F22" s="73"/>
      <c r="G22" s="73"/>
      <c r="H22" s="73"/>
      <c r="I22" s="75" t="str">
        <f>W20</f>
        <v>Kepenų</v>
      </c>
      <c r="J22" s="75"/>
      <c r="K22" s="73"/>
      <c r="L22" s="73"/>
      <c r="M22" s="73"/>
      <c r="N22" s="73"/>
      <c r="O22" s="73"/>
      <c r="P22" s="73"/>
      <c r="Q22" s="73"/>
      <c r="R22" s="73"/>
      <c r="S22" s="75" t="str">
        <f>AA20</f>
        <v>Hodžkino limfomos</v>
      </c>
      <c r="T22" s="73"/>
      <c r="U22" s="73"/>
      <c r="V22" s="31"/>
      <c r="W22" s="341" t="s">
        <v>228</v>
      </c>
      <c r="X22" s="341">
        <v>3</v>
      </c>
      <c r="Y22" s="356">
        <v>9.6774193548387094E-2</v>
      </c>
      <c r="Z22" s="341"/>
      <c r="AA22" s="341" t="s">
        <v>213</v>
      </c>
      <c r="AB22" s="341">
        <v>3</v>
      </c>
      <c r="AC22" s="356">
        <v>9.0909090909090912E-2</v>
      </c>
      <c r="AD22" s="341"/>
      <c r="AE22" s="31"/>
    </row>
    <row r="23" spans="1:31" ht="20.100000000000001" customHeight="1">
      <c r="A23" s="73"/>
      <c r="B23" s="73"/>
      <c r="C23" s="73"/>
      <c r="D23" s="73"/>
      <c r="E23" s="73"/>
      <c r="F23" s="73"/>
      <c r="G23" s="73"/>
      <c r="H23" s="73"/>
      <c r="I23" s="75" t="str">
        <f>W19</f>
        <v>Kitų lyties organų</v>
      </c>
      <c r="J23" s="75"/>
      <c r="K23" s="73"/>
      <c r="L23" s="73"/>
      <c r="M23" s="73"/>
      <c r="N23" s="73"/>
      <c r="O23" s="73"/>
      <c r="P23" s="73"/>
      <c r="Q23" s="73"/>
      <c r="R23" s="73"/>
      <c r="S23" s="75" t="str">
        <f>AA19</f>
        <v>Kiti odos piktybiniai navikai</v>
      </c>
      <c r="T23" s="73"/>
      <c r="U23" s="73"/>
      <c r="V23" s="31"/>
      <c r="W23" s="341" t="s">
        <v>223</v>
      </c>
      <c r="X23" s="341">
        <v>3</v>
      </c>
      <c r="Y23" s="356">
        <v>9.6774193548387094E-2</v>
      </c>
      <c r="Z23" s="341"/>
      <c r="AA23" s="341" t="s">
        <v>228</v>
      </c>
      <c r="AB23" s="341">
        <v>4</v>
      </c>
      <c r="AC23" s="356">
        <v>0.12121212121212122</v>
      </c>
      <c r="AD23" s="341"/>
      <c r="AE23" s="31"/>
    </row>
    <row r="24" spans="1:31" ht="20.100000000000001" customHeight="1">
      <c r="A24" s="73"/>
      <c r="B24" s="73"/>
      <c r="C24" s="73"/>
      <c r="D24" s="73"/>
      <c r="E24" s="73"/>
      <c r="F24" s="73"/>
      <c r="G24" s="73"/>
      <c r="H24" s="73"/>
      <c r="I24" s="75" t="str">
        <f>W18</f>
        <v>Sėklidžių</v>
      </c>
      <c r="J24" s="75"/>
      <c r="K24" s="73"/>
      <c r="L24" s="73"/>
      <c r="M24" s="73"/>
      <c r="N24" s="73"/>
      <c r="O24" s="73"/>
      <c r="P24" s="73"/>
      <c r="Q24" s="73"/>
      <c r="R24" s="73"/>
      <c r="S24" s="75"/>
      <c r="T24" s="73"/>
      <c r="U24" s="73"/>
      <c r="V24" s="31"/>
      <c r="W24" s="341" t="s">
        <v>226</v>
      </c>
      <c r="X24" s="341">
        <v>3</v>
      </c>
      <c r="Y24" s="356">
        <v>9.6774193548387094E-2</v>
      </c>
      <c r="Z24" s="341"/>
      <c r="AA24" s="341" t="s">
        <v>225</v>
      </c>
      <c r="AB24" s="341">
        <v>6</v>
      </c>
      <c r="AC24" s="356">
        <v>0.18181818181818182</v>
      </c>
      <c r="AD24" s="341"/>
      <c r="AE24" s="31"/>
    </row>
    <row r="25" spans="1:31" ht="20.100000000000001" customHeight="1">
      <c r="A25" s="73"/>
      <c r="B25" s="73"/>
      <c r="C25" s="73"/>
      <c r="D25" s="73"/>
      <c r="E25" s="73"/>
      <c r="F25" s="73"/>
      <c r="G25" s="73"/>
      <c r="H25" s="73"/>
      <c r="I25" s="75" t="str">
        <f>W17</f>
        <v>Odos melanoma</v>
      </c>
      <c r="J25" s="75"/>
      <c r="K25" s="73"/>
      <c r="L25" s="73"/>
      <c r="M25" s="73"/>
      <c r="N25" s="73"/>
      <c r="O25" s="73"/>
      <c r="P25" s="73"/>
      <c r="Q25" s="73"/>
      <c r="R25" s="73"/>
      <c r="S25" s="75" t="str">
        <f>TEXT(AA15,)</f>
        <v>Kiti</v>
      </c>
      <c r="T25" s="73"/>
      <c r="U25" s="73"/>
      <c r="V25" s="31"/>
      <c r="W25" s="341" t="s">
        <v>227</v>
      </c>
      <c r="X25" s="341">
        <v>11</v>
      </c>
      <c r="Y25" s="356">
        <v>0.35483870967741937</v>
      </c>
      <c r="Z25" s="341"/>
      <c r="AA25" s="341" t="s">
        <v>227</v>
      </c>
      <c r="AB25" s="341">
        <v>9</v>
      </c>
      <c r="AC25" s="356">
        <v>0.27272727272727271</v>
      </c>
      <c r="AD25" s="341"/>
      <c r="AE25" s="31"/>
    </row>
    <row r="26" spans="1:31" ht="20.100000000000001" customHeight="1">
      <c r="A26" s="73"/>
      <c r="B26" s="73"/>
      <c r="C26" s="73"/>
      <c r="D26" s="73"/>
      <c r="E26" s="73"/>
      <c r="F26" s="73"/>
      <c r="G26" s="73"/>
      <c r="H26" s="73"/>
      <c r="I26" s="75"/>
      <c r="J26" s="75"/>
      <c r="K26" s="73"/>
      <c r="L26" s="73"/>
      <c r="M26" s="73"/>
      <c r="N26" s="73"/>
      <c r="O26" s="73"/>
      <c r="P26" s="73"/>
      <c r="Q26" s="73"/>
      <c r="R26" s="73"/>
      <c r="S26" s="75" t="str">
        <f>TEXT(AA16,)</f>
        <v>Kepenų</v>
      </c>
      <c r="T26" s="73"/>
      <c r="U26" s="73"/>
      <c r="V26" s="31"/>
      <c r="W26" s="360" t="s">
        <v>210</v>
      </c>
      <c r="X26" s="341">
        <v>31</v>
      </c>
      <c r="Y26" s="356">
        <v>1</v>
      </c>
      <c r="Z26" s="341"/>
      <c r="AA26" s="360" t="s">
        <v>210</v>
      </c>
      <c r="AB26" s="341">
        <v>33</v>
      </c>
      <c r="AC26" s="356">
        <v>1</v>
      </c>
      <c r="AD26" s="341"/>
      <c r="AE26" s="31"/>
    </row>
    <row r="27" spans="1:31" ht="20.100000000000001" customHeight="1">
      <c r="A27" s="73"/>
      <c r="B27" s="73"/>
      <c r="C27" s="73"/>
      <c r="D27" s="73"/>
      <c r="E27" s="73"/>
      <c r="F27" s="73"/>
      <c r="G27" s="73"/>
      <c r="H27" s="73"/>
      <c r="I27" s="75" t="str">
        <f>TEXT(W15,)</f>
        <v>Kiti</v>
      </c>
      <c r="J27" s="75"/>
      <c r="K27" s="73"/>
      <c r="L27" s="73"/>
      <c r="M27" s="73"/>
      <c r="N27" s="73"/>
      <c r="O27" s="73"/>
      <c r="P27" s="73"/>
      <c r="Q27" s="73"/>
      <c r="R27" s="73"/>
      <c r="S27" s="75" t="str">
        <f>TEXT(AA15,)</f>
        <v>Kiti</v>
      </c>
      <c r="T27" s="73"/>
      <c r="U27" s="73"/>
      <c r="V27" s="31"/>
      <c r="W27" s="411" t="s">
        <v>457</v>
      </c>
      <c r="X27" s="411"/>
      <c r="Y27" s="411"/>
      <c r="Z27" s="341"/>
      <c r="AA27" s="411" t="s">
        <v>463</v>
      </c>
      <c r="AB27" s="411"/>
      <c r="AC27" s="411"/>
      <c r="AD27" s="341"/>
      <c r="AE27" s="31"/>
    </row>
    <row r="28" spans="1:31" ht="24.95" customHeight="1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31"/>
      <c r="W28" s="341" t="s">
        <v>26</v>
      </c>
      <c r="X28" s="341">
        <v>15</v>
      </c>
      <c r="Y28" s="356">
        <v>0.16483516483516483</v>
      </c>
      <c r="Z28" s="341"/>
      <c r="AA28" s="341" t="s">
        <v>26</v>
      </c>
      <c r="AB28" s="341">
        <v>11</v>
      </c>
      <c r="AC28" s="356">
        <v>0.11578947368421053</v>
      </c>
      <c r="AD28" s="341"/>
      <c r="AE28" s="31"/>
    </row>
    <row r="29" spans="1:31" ht="24.95" customHeight="1">
      <c r="A29" s="73"/>
      <c r="B29" s="73"/>
      <c r="C29" s="410" t="str">
        <f>W27</f>
        <v>Vyrai, 15-29 metų (91 atv.)</v>
      </c>
      <c r="D29" s="410"/>
      <c r="E29" s="410"/>
      <c r="F29" s="410"/>
      <c r="G29" s="410"/>
      <c r="H29" s="410"/>
      <c r="I29" s="410"/>
      <c r="J29" s="74"/>
      <c r="K29" s="73"/>
      <c r="L29" s="73"/>
      <c r="M29" s="410" t="str">
        <f>AA27</f>
        <v>Moterys, 15-29 metų (95 atv.)</v>
      </c>
      <c r="N29" s="410"/>
      <c r="O29" s="410"/>
      <c r="P29" s="410"/>
      <c r="Q29" s="410"/>
      <c r="R29" s="410"/>
      <c r="S29" s="410"/>
      <c r="T29" s="73"/>
      <c r="U29" s="73"/>
      <c r="V29" s="31"/>
      <c r="W29" s="341" t="s">
        <v>215</v>
      </c>
      <c r="X29" s="341">
        <v>2</v>
      </c>
      <c r="Y29" s="356">
        <v>2.197802197802198E-2</v>
      </c>
      <c r="Z29" s="341"/>
      <c r="AA29" s="341" t="s">
        <v>229</v>
      </c>
      <c r="AB29" s="341">
        <v>3</v>
      </c>
      <c r="AC29" s="356">
        <v>3.1578947368421054E-2</v>
      </c>
      <c r="AD29" s="341"/>
      <c r="AE29" s="31"/>
    </row>
    <row r="30" spans="1:31" ht="20.100000000000001" customHeight="1">
      <c r="A30" s="73"/>
      <c r="B30" s="73"/>
      <c r="C30" s="73"/>
      <c r="D30" s="73"/>
      <c r="E30" s="73"/>
      <c r="F30" s="73"/>
      <c r="G30" s="73"/>
      <c r="H30" s="73"/>
      <c r="I30" s="75" t="str">
        <f>W38</f>
        <v>Sėklidžių</v>
      </c>
      <c r="J30" s="73"/>
      <c r="K30" s="73"/>
      <c r="L30" s="73"/>
      <c r="M30" s="73"/>
      <c r="N30" s="73"/>
      <c r="O30" s="73"/>
      <c r="P30" s="73"/>
      <c r="Q30" s="73"/>
      <c r="R30" s="73"/>
      <c r="S30" s="75" t="str">
        <f>AA38</f>
        <v>Skydliaukės</v>
      </c>
      <c r="T30" s="73"/>
      <c r="U30" s="73"/>
      <c r="V30" s="31"/>
      <c r="W30" s="341" t="s">
        <v>228</v>
      </c>
      <c r="X30" s="341">
        <v>3</v>
      </c>
      <c r="Y30" s="356">
        <v>3.2967032967032968E-2</v>
      </c>
      <c r="Z30" s="341"/>
      <c r="AA30" s="341" t="s">
        <v>228</v>
      </c>
      <c r="AB30" s="341">
        <v>5</v>
      </c>
      <c r="AC30" s="356">
        <v>5.2631578947368418E-2</v>
      </c>
      <c r="AD30" s="341"/>
      <c r="AE30" s="31"/>
    </row>
    <row r="31" spans="1:31" ht="20.100000000000001" customHeight="1">
      <c r="A31" s="73"/>
      <c r="B31" s="73"/>
      <c r="C31" s="73"/>
      <c r="D31" s="73"/>
      <c r="E31" s="73"/>
      <c r="F31" s="73"/>
      <c r="G31" s="73"/>
      <c r="H31" s="73"/>
      <c r="I31" s="75" t="str">
        <f>W37</f>
        <v>Smegenų</v>
      </c>
      <c r="J31" s="73"/>
      <c r="K31" s="73"/>
      <c r="L31" s="73"/>
      <c r="M31" s="73"/>
      <c r="N31" s="73"/>
      <c r="O31" s="73"/>
      <c r="P31" s="73"/>
      <c r="Q31" s="73"/>
      <c r="R31" s="73"/>
      <c r="S31" s="75" t="str">
        <f>AA37</f>
        <v>Krūties</v>
      </c>
      <c r="T31" s="73"/>
      <c r="U31" s="73"/>
      <c r="V31" s="31"/>
      <c r="W31" s="341" t="s">
        <v>229</v>
      </c>
      <c r="X31" s="341">
        <v>5</v>
      </c>
      <c r="Y31" s="356">
        <v>5.4945054945054944E-2</v>
      </c>
      <c r="Z31" s="341"/>
      <c r="AA31" s="341" t="s">
        <v>231</v>
      </c>
      <c r="AB31" s="341">
        <v>6</v>
      </c>
      <c r="AC31" s="356">
        <v>6.3157894736842107E-2</v>
      </c>
      <c r="AD31" s="341"/>
      <c r="AE31" s="31"/>
    </row>
    <row r="32" spans="1:31" ht="20.100000000000001" customHeight="1">
      <c r="A32" s="73"/>
      <c r="B32" s="73"/>
      <c r="C32" s="73"/>
      <c r="D32" s="73"/>
      <c r="E32" s="73"/>
      <c r="F32" s="73"/>
      <c r="G32" s="73"/>
      <c r="H32" s="73"/>
      <c r="I32" s="75" t="str">
        <f>W36</f>
        <v>Hodžkino limfomos</v>
      </c>
      <c r="J32" s="73"/>
      <c r="K32" s="73"/>
      <c r="L32" s="73"/>
      <c r="M32" s="73"/>
      <c r="N32" s="73"/>
      <c r="O32" s="73"/>
      <c r="P32" s="73"/>
      <c r="Q32" s="73"/>
      <c r="R32" s="73"/>
      <c r="S32" s="75" t="str">
        <f>AA36</f>
        <v>Gimdos kaklelio</v>
      </c>
      <c r="T32" s="73"/>
      <c r="U32" s="73"/>
      <c r="V32" s="31"/>
      <c r="W32" s="341" t="s">
        <v>222</v>
      </c>
      <c r="X32" s="341">
        <v>5</v>
      </c>
      <c r="Y32" s="356">
        <v>5.4945054945054944E-2</v>
      </c>
      <c r="Z32" s="341"/>
      <c r="AA32" s="341" t="s">
        <v>226</v>
      </c>
      <c r="AB32" s="341">
        <v>7</v>
      </c>
      <c r="AC32" s="356">
        <v>7.3684210526315783E-2</v>
      </c>
      <c r="AD32" s="341"/>
      <c r="AE32" s="31"/>
    </row>
    <row r="33" spans="1:31" ht="20.100000000000001" customHeight="1">
      <c r="A33" s="73"/>
      <c r="B33" s="73"/>
      <c r="C33" s="73"/>
      <c r="D33" s="73"/>
      <c r="E33" s="73"/>
      <c r="F33" s="73"/>
      <c r="G33" s="73"/>
      <c r="H33" s="73"/>
      <c r="I33" s="75" t="str">
        <f>W35</f>
        <v>Leukemijos</v>
      </c>
      <c r="J33" s="73"/>
      <c r="K33" s="73"/>
      <c r="L33" s="73"/>
      <c r="M33" s="73"/>
      <c r="N33" s="73"/>
      <c r="O33" s="73"/>
      <c r="P33" s="73"/>
      <c r="Q33" s="73"/>
      <c r="R33" s="73"/>
      <c r="S33" s="75" t="str">
        <f>AA35</f>
        <v>Kiti odos piktybiniai navikai</v>
      </c>
      <c r="T33" s="73"/>
      <c r="U33" s="73"/>
      <c r="V33" s="31"/>
      <c r="W33" s="341" t="s">
        <v>226</v>
      </c>
      <c r="X33" s="341">
        <v>5</v>
      </c>
      <c r="Y33" s="356">
        <v>5.4945054945054944E-2</v>
      </c>
      <c r="Z33" s="341"/>
      <c r="AA33" s="341" t="s">
        <v>225</v>
      </c>
      <c r="AB33" s="341">
        <v>8</v>
      </c>
      <c r="AC33" s="356">
        <v>8.4210526315789472E-2</v>
      </c>
      <c r="AD33" s="341"/>
      <c r="AE33" s="31"/>
    </row>
    <row r="34" spans="1:31" ht="20.100000000000001" customHeight="1">
      <c r="A34" s="73"/>
      <c r="B34" s="73"/>
      <c r="C34" s="73"/>
      <c r="D34" s="73"/>
      <c r="E34" s="73"/>
      <c r="F34" s="73"/>
      <c r="G34" s="73"/>
      <c r="H34" s="73"/>
      <c r="I34" s="75" t="str">
        <f>W34</f>
        <v>Kiti odos piktybiniai navikai</v>
      </c>
      <c r="J34" s="73"/>
      <c r="K34" s="73"/>
      <c r="L34" s="73"/>
      <c r="M34" s="73"/>
      <c r="N34" s="73"/>
      <c r="O34" s="73"/>
      <c r="P34" s="73"/>
      <c r="Q34" s="73"/>
      <c r="R34" s="73"/>
      <c r="S34" s="75" t="str">
        <f>AA34</f>
        <v>Hodžkino limfomos</v>
      </c>
      <c r="T34" s="73"/>
      <c r="U34" s="73"/>
      <c r="V34" s="31"/>
      <c r="W34" s="341" t="s">
        <v>216</v>
      </c>
      <c r="X34" s="341">
        <v>6</v>
      </c>
      <c r="Y34" s="356">
        <v>6.5934065934065936E-2</v>
      </c>
      <c r="Z34" s="341"/>
      <c r="AA34" s="341" t="s">
        <v>223</v>
      </c>
      <c r="AB34" s="341">
        <v>8</v>
      </c>
      <c r="AC34" s="356">
        <v>8.4210526315789472E-2</v>
      </c>
      <c r="AD34" s="341"/>
      <c r="AE34" s="31"/>
    </row>
    <row r="35" spans="1:31" ht="20.100000000000001" customHeight="1">
      <c r="A35" s="73"/>
      <c r="B35" s="73"/>
      <c r="C35" s="73"/>
      <c r="D35" s="73"/>
      <c r="E35" s="73"/>
      <c r="F35" s="73"/>
      <c r="G35" s="73"/>
      <c r="H35" s="73"/>
      <c r="I35" s="75" t="str">
        <f>W33</f>
        <v>Ne Hodžkino limfomos</v>
      </c>
      <c r="J35" s="73"/>
      <c r="K35" s="73"/>
      <c r="L35" s="73"/>
      <c r="M35" s="73"/>
      <c r="N35" s="73"/>
      <c r="O35" s="73"/>
      <c r="P35" s="73"/>
      <c r="Q35" s="73"/>
      <c r="R35" s="73"/>
      <c r="S35" s="75" t="str">
        <f>AA33</f>
        <v>Smegenų</v>
      </c>
      <c r="T35" s="73"/>
      <c r="U35" s="73"/>
      <c r="V35" s="31"/>
      <c r="W35" s="341" t="s">
        <v>227</v>
      </c>
      <c r="X35" s="341">
        <v>9</v>
      </c>
      <c r="Y35" s="356">
        <v>9.8901098901098897E-2</v>
      </c>
      <c r="Z35" s="341"/>
      <c r="AA35" s="341" t="s">
        <v>216</v>
      </c>
      <c r="AB35" s="341">
        <v>10</v>
      </c>
      <c r="AC35" s="356">
        <v>0.10526315789473684</v>
      </c>
      <c r="AD35" s="341"/>
      <c r="AE35" s="31"/>
    </row>
    <row r="36" spans="1:31" ht="20.100000000000001" customHeight="1">
      <c r="A36" s="73"/>
      <c r="B36" s="73"/>
      <c r="C36" s="73"/>
      <c r="D36" s="73"/>
      <c r="E36" s="73"/>
      <c r="F36" s="73"/>
      <c r="G36" s="73"/>
      <c r="H36" s="73"/>
      <c r="I36" s="75" t="str">
        <f>W32</f>
        <v>Skydliaukės</v>
      </c>
      <c r="J36" s="73"/>
      <c r="K36" s="73"/>
      <c r="L36" s="73"/>
      <c r="M36" s="73"/>
      <c r="N36" s="73"/>
      <c r="O36" s="73"/>
      <c r="P36" s="73"/>
      <c r="Q36" s="73"/>
      <c r="R36" s="73"/>
      <c r="S36" s="75" t="str">
        <f>AA32</f>
        <v>Ne Hodžkino limfomos</v>
      </c>
      <c r="T36" s="73"/>
      <c r="U36" s="73"/>
      <c r="V36" s="31"/>
      <c r="W36" s="341" t="s">
        <v>223</v>
      </c>
      <c r="X36" s="341">
        <v>12</v>
      </c>
      <c r="Y36" s="356">
        <v>0.13186813186813187</v>
      </c>
      <c r="Z36" s="341"/>
      <c r="AA36" s="341" t="s">
        <v>232</v>
      </c>
      <c r="AB36" s="341">
        <v>10</v>
      </c>
      <c r="AC36" s="356">
        <v>0.10526315789473684</v>
      </c>
      <c r="AD36" s="341"/>
      <c r="AE36" s="31"/>
    </row>
    <row r="37" spans="1:31" ht="20.100000000000001" customHeight="1">
      <c r="A37" s="73"/>
      <c r="B37" s="73"/>
      <c r="C37" s="73"/>
      <c r="D37" s="73"/>
      <c r="E37" s="73"/>
      <c r="F37" s="73"/>
      <c r="G37" s="73"/>
      <c r="H37" s="73"/>
      <c r="I37" s="75" t="str">
        <f>W31</f>
        <v>Odos melanoma</v>
      </c>
      <c r="J37" s="73"/>
      <c r="K37" s="73"/>
      <c r="L37" s="73"/>
      <c r="M37" s="73"/>
      <c r="N37" s="73"/>
      <c r="O37" s="73"/>
      <c r="P37" s="73"/>
      <c r="Q37" s="73"/>
      <c r="R37" s="73"/>
      <c r="S37" s="75" t="str">
        <f>AA31</f>
        <v>Kiaušidžių</v>
      </c>
      <c r="T37" s="73"/>
      <c r="U37" s="73"/>
      <c r="V37" s="31"/>
      <c r="W37" s="341" t="s">
        <v>225</v>
      </c>
      <c r="X37" s="341">
        <v>14</v>
      </c>
      <c r="Y37" s="356">
        <v>0.15384615384615385</v>
      </c>
      <c r="Z37" s="341"/>
      <c r="AA37" s="341" t="s">
        <v>234</v>
      </c>
      <c r="AB37" s="341">
        <v>13</v>
      </c>
      <c r="AC37" s="356">
        <v>0.1368421052631579</v>
      </c>
      <c r="AD37" s="341"/>
      <c r="AE37" s="31"/>
    </row>
    <row r="38" spans="1:31" ht="20.100000000000001" customHeight="1">
      <c r="A38" s="73"/>
      <c r="B38" s="73"/>
      <c r="C38" s="73"/>
      <c r="D38" s="73"/>
      <c r="E38" s="73"/>
      <c r="F38" s="73"/>
      <c r="G38" s="73"/>
      <c r="H38" s="73"/>
      <c r="I38" s="75" t="str">
        <f>W30</f>
        <v>Kaulų ir jungiamojo audinio</v>
      </c>
      <c r="J38" s="73"/>
      <c r="K38" s="73"/>
      <c r="L38" s="73"/>
      <c r="M38" s="73"/>
      <c r="N38" s="73"/>
      <c r="O38" s="73"/>
      <c r="P38" s="73"/>
      <c r="Q38" s="73"/>
      <c r="R38" s="73"/>
      <c r="S38" s="75" t="str">
        <f>AA30</f>
        <v>Kaulų ir jungiamojo audinio</v>
      </c>
      <c r="T38" s="73"/>
      <c r="U38" s="73"/>
      <c r="V38" s="31"/>
      <c r="W38" s="341" t="s">
        <v>221</v>
      </c>
      <c r="X38" s="341">
        <v>15</v>
      </c>
      <c r="Y38" s="356">
        <v>0.16483516483516483</v>
      </c>
      <c r="Z38" s="341"/>
      <c r="AA38" s="341" t="s">
        <v>222</v>
      </c>
      <c r="AB38" s="341">
        <v>14</v>
      </c>
      <c r="AC38" s="356">
        <v>0.14736842105263157</v>
      </c>
      <c r="AD38" s="341"/>
      <c r="AE38" s="31"/>
    </row>
    <row r="39" spans="1:31" ht="20.100000000000001" customHeight="1">
      <c r="A39" s="73"/>
      <c r="B39" s="73"/>
      <c r="C39" s="73"/>
      <c r="D39" s="73"/>
      <c r="E39" s="73"/>
      <c r="F39" s="73"/>
      <c r="G39" s="73"/>
      <c r="H39" s="73"/>
      <c r="I39" s="75" t="str">
        <f>W29</f>
        <v>Skrandžio</v>
      </c>
      <c r="J39" s="73"/>
      <c r="K39" s="73"/>
      <c r="L39" s="73"/>
      <c r="M39" s="73"/>
      <c r="N39" s="73"/>
      <c r="O39" s="73"/>
      <c r="P39" s="73"/>
      <c r="Q39" s="73"/>
      <c r="R39" s="73"/>
      <c r="S39" s="75" t="str">
        <f>AA29</f>
        <v>Odos melanoma</v>
      </c>
      <c r="T39" s="73"/>
      <c r="U39" s="73"/>
      <c r="V39" s="31"/>
      <c r="W39" s="360" t="s">
        <v>210</v>
      </c>
      <c r="X39" s="341">
        <v>91</v>
      </c>
      <c r="Y39" s="356">
        <v>1</v>
      </c>
      <c r="Z39" s="341"/>
      <c r="AA39" s="360" t="s">
        <v>210</v>
      </c>
      <c r="AB39" s="341">
        <v>95</v>
      </c>
      <c r="AC39" s="356">
        <v>1</v>
      </c>
      <c r="AD39" s="341"/>
      <c r="AE39" s="31"/>
    </row>
    <row r="40" spans="1:31" ht="20.100000000000001" customHeight="1">
      <c r="A40" s="73"/>
      <c r="B40" s="73"/>
      <c r="C40" s="73"/>
      <c r="D40" s="73"/>
      <c r="E40" s="73"/>
      <c r="F40" s="73"/>
      <c r="G40" s="73"/>
      <c r="H40" s="73"/>
      <c r="I40" s="75" t="str">
        <f>W28</f>
        <v>Kiti</v>
      </c>
      <c r="J40" s="73"/>
      <c r="K40" s="73"/>
      <c r="L40" s="73"/>
      <c r="M40" s="73"/>
      <c r="N40" s="73"/>
      <c r="O40" s="73"/>
      <c r="P40" s="73"/>
      <c r="Q40" s="73"/>
      <c r="R40" s="73"/>
      <c r="S40" s="75" t="str">
        <f>AA28</f>
        <v>Kiti</v>
      </c>
      <c r="T40" s="73"/>
      <c r="U40" s="73"/>
      <c r="V40" s="31"/>
      <c r="W40" s="341" t="s">
        <v>458</v>
      </c>
      <c r="X40" s="341"/>
      <c r="Y40" s="341"/>
      <c r="Z40" s="341"/>
      <c r="AA40" s="341" t="s">
        <v>464</v>
      </c>
      <c r="AB40" s="341"/>
      <c r="AC40" s="341"/>
      <c r="AD40" s="341"/>
      <c r="AE40" s="31"/>
    </row>
    <row r="41" spans="1:31" ht="24.95" customHeight="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31"/>
      <c r="W41" s="411" t="s">
        <v>26</v>
      </c>
      <c r="X41" s="411">
        <v>376</v>
      </c>
      <c r="Y41" s="412">
        <v>0.2756598240469208</v>
      </c>
      <c r="Z41" s="341"/>
      <c r="AA41" s="411" t="s">
        <v>26</v>
      </c>
      <c r="AB41" s="411">
        <v>305</v>
      </c>
      <c r="AC41" s="412">
        <v>0.17488532110091742</v>
      </c>
      <c r="AD41" s="341"/>
      <c r="AE41" s="31"/>
    </row>
    <row r="42" spans="1:31" ht="24.9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41" t="s">
        <v>214</v>
      </c>
      <c r="X42" s="341">
        <v>40</v>
      </c>
      <c r="Y42" s="356">
        <v>2.932551319648094E-2</v>
      </c>
      <c r="Z42" s="341"/>
      <c r="AA42" s="341" t="s">
        <v>215</v>
      </c>
      <c r="AB42" s="341">
        <v>41</v>
      </c>
      <c r="AC42" s="356">
        <v>2.3509174311926607E-2</v>
      </c>
      <c r="AD42" s="341"/>
      <c r="AE42" s="31"/>
    </row>
    <row r="43" spans="1:31" ht="24.95" customHeight="1">
      <c r="A43" s="73"/>
      <c r="B43" s="73"/>
      <c r="C43" s="410" t="str">
        <f>W40</f>
        <v>Vyrai, 30-54 metų (1364 atv.)</v>
      </c>
      <c r="D43" s="410"/>
      <c r="E43" s="410"/>
      <c r="F43" s="410"/>
      <c r="G43" s="410"/>
      <c r="H43" s="410"/>
      <c r="I43" s="410"/>
      <c r="J43" s="76"/>
      <c r="K43" s="73"/>
      <c r="L43" s="73"/>
      <c r="M43" s="410" t="str">
        <f>AA40</f>
        <v>Moterys, 30-54 metų (1744 atv.)</v>
      </c>
      <c r="N43" s="410"/>
      <c r="O43" s="410"/>
      <c r="P43" s="410"/>
      <c r="Q43" s="410"/>
      <c r="R43" s="410"/>
      <c r="S43" s="410"/>
      <c r="T43" s="73"/>
      <c r="U43" s="73"/>
      <c r="V43" s="31"/>
      <c r="W43" s="341" t="s">
        <v>219</v>
      </c>
      <c r="X43" s="341">
        <v>45</v>
      </c>
      <c r="Y43" s="356">
        <v>3.2991202346041054E-2</v>
      </c>
      <c r="Z43" s="341"/>
      <c r="AA43" s="341" t="s">
        <v>212</v>
      </c>
      <c r="AB43" s="341">
        <v>47</v>
      </c>
      <c r="AC43" s="356">
        <v>2.6949541284403671E-2</v>
      </c>
      <c r="AD43" s="341"/>
      <c r="AE43" s="31"/>
    </row>
    <row r="44" spans="1:31" ht="20.100000000000001" customHeight="1">
      <c r="A44" s="73"/>
      <c r="B44" s="73"/>
      <c r="C44" s="73"/>
      <c r="D44" s="73"/>
      <c r="E44" s="73"/>
      <c r="F44" s="73"/>
      <c r="G44" s="73"/>
      <c r="H44" s="73"/>
      <c r="I44" s="75" t="str">
        <f>W51</f>
        <v>Priešinės liaukos</v>
      </c>
      <c r="J44" s="73"/>
      <c r="K44" s="73"/>
      <c r="L44" s="73"/>
      <c r="M44" s="73"/>
      <c r="N44" s="73"/>
      <c r="O44" s="73"/>
      <c r="P44" s="73"/>
      <c r="Q44" s="73"/>
      <c r="R44" s="73"/>
      <c r="S44" s="75" t="str">
        <f>AA51</f>
        <v>Krūties</v>
      </c>
      <c r="T44" s="73"/>
      <c r="U44" s="73"/>
      <c r="V44" s="31"/>
      <c r="W44" s="341" t="s">
        <v>225</v>
      </c>
      <c r="X44" s="341">
        <v>45</v>
      </c>
      <c r="Y44" s="356">
        <v>3.2991202346041054E-2</v>
      </c>
      <c r="Z44" s="341"/>
      <c r="AA44" s="341" t="s">
        <v>229</v>
      </c>
      <c r="AB44" s="341">
        <v>50</v>
      </c>
      <c r="AC44" s="356">
        <v>2.8669724770642203E-2</v>
      </c>
      <c r="AD44" s="341"/>
      <c r="AE44" s="31"/>
    </row>
    <row r="45" spans="1:31" ht="20.100000000000001" customHeight="1">
      <c r="A45" s="73"/>
      <c r="B45" s="73"/>
      <c r="C45" s="73"/>
      <c r="D45" s="73"/>
      <c r="E45" s="73"/>
      <c r="F45" s="73"/>
      <c r="G45" s="73"/>
      <c r="H45" s="73"/>
      <c r="I45" s="75" t="str">
        <f>W50</f>
        <v>Plaučių, trachėjos, bronchų</v>
      </c>
      <c r="J45" s="73"/>
      <c r="K45" s="73"/>
      <c r="L45" s="73"/>
      <c r="M45" s="73"/>
      <c r="N45" s="73"/>
      <c r="O45" s="73"/>
      <c r="P45" s="73"/>
      <c r="Q45" s="73"/>
      <c r="R45" s="73"/>
      <c r="S45" s="75" t="str">
        <f>AA50</f>
        <v>Gimdos kaklelio</v>
      </c>
      <c r="T45" s="73"/>
      <c r="U45" s="73"/>
      <c r="V45" s="31"/>
      <c r="W45" s="341" t="s">
        <v>212</v>
      </c>
      <c r="X45" s="341">
        <v>51</v>
      </c>
      <c r="Y45" s="356">
        <v>3.7390029325513198E-2</v>
      </c>
      <c r="Z45" s="341"/>
      <c r="AA45" s="341" t="s">
        <v>214</v>
      </c>
      <c r="AB45" s="341">
        <v>53</v>
      </c>
      <c r="AC45" s="356">
        <v>3.0389908256880736E-2</v>
      </c>
      <c r="AD45" s="341"/>
      <c r="AE45" s="31"/>
    </row>
    <row r="46" spans="1:31" ht="20.100000000000001" customHeight="1">
      <c r="A46" s="73"/>
      <c r="B46" s="73"/>
      <c r="C46" s="73"/>
      <c r="D46" s="73"/>
      <c r="E46" s="73"/>
      <c r="F46" s="73"/>
      <c r="G46" s="73"/>
      <c r="H46" s="73"/>
      <c r="I46" s="75" t="str">
        <f>W49</f>
        <v>Kiti odos piktybiniai navikai</v>
      </c>
      <c r="J46" s="73"/>
      <c r="K46" s="73"/>
      <c r="L46" s="73"/>
      <c r="M46" s="73"/>
      <c r="N46" s="73"/>
      <c r="O46" s="73"/>
      <c r="P46" s="73"/>
      <c r="Q46" s="73"/>
      <c r="R46" s="73"/>
      <c r="S46" s="75" t="str">
        <f>AA49</f>
        <v>Kiti odos piktybiniai navikai</v>
      </c>
      <c r="T46" s="73"/>
      <c r="U46" s="73"/>
      <c r="V46" s="31"/>
      <c r="W46" s="341" t="s">
        <v>211</v>
      </c>
      <c r="X46" s="341">
        <v>62</v>
      </c>
      <c r="Y46" s="356">
        <v>4.5454545454545456E-2</v>
      </c>
      <c r="Z46" s="341"/>
      <c r="AA46" s="341" t="s">
        <v>231</v>
      </c>
      <c r="AB46" s="341">
        <v>102</v>
      </c>
      <c r="AC46" s="356">
        <v>5.8486238532110095E-2</v>
      </c>
      <c r="AD46" s="341"/>
      <c r="AE46" s="31"/>
    </row>
    <row r="47" spans="1:31" ht="20.100000000000001" customHeight="1">
      <c r="A47" s="73"/>
      <c r="B47" s="73"/>
      <c r="C47" s="73"/>
      <c r="D47" s="73"/>
      <c r="E47" s="73"/>
      <c r="F47" s="73"/>
      <c r="G47" s="73"/>
      <c r="H47" s="73"/>
      <c r="I47" s="75" t="str">
        <f>W48</f>
        <v>Inkstų</v>
      </c>
      <c r="J47" s="73"/>
      <c r="K47" s="73"/>
      <c r="L47" s="73"/>
      <c r="M47" s="73"/>
      <c r="N47" s="73"/>
      <c r="O47" s="73"/>
      <c r="P47" s="73"/>
      <c r="Q47" s="73"/>
      <c r="R47" s="73"/>
      <c r="S47" s="75" t="str">
        <f>AA48</f>
        <v>Gimdos kūno</v>
      </c>
      <c r="T47" s="73"/>
      <c r="U47" s="73"/>
      <c r="V47" s="31"/>
      <c r="W47" s="341" t="s">
        <v>215</v>
      </c>
      <c r="X47" s="341">
        <v>82</v>
      </c>
      <c r="Y47" s="356">
        <v>6.0117302052785926E-2</v>
      </c>
      <c r="Z47" s="341"/>
      <c r="AA47" s="341" t="s">
        <v>222</v>
      </c>
      <c r="AB47" s="341">
        <v>122</v>
      </c>
      <c r="AC47" s="356">
        <v>6.9954128440366969E-2</v>
      </c>
      <c r="AD47" s="341"/>
      <c r="AE47" s="31"/>
    </row>
    <row r="48" spans="1:31" ht="20.100000000000001" customHeight="1">
      <c r="A48" s="73"/>
      <c r="B48" s="73"/>
      <c r="C48" s="73"/>
      <c r="D48" s="73"/>
      <c r="E48" s="73"/>
      <c r="F48" s="73"/>
      <c r="G48" s="73"/>
      <c r="H48" s="73"/>
      <c r="I48" s="75" t="str">
        <f>W47</f>
        <v>Skrandžio</v>
      </c>
      <c r="J48" s="73"/>
      <c r="K48" s="73"/>
      <c r="L48" s="73"/>
      <c r="M48" s="73"/>
      <c r="N48" s="73"/>
      <c r="O48" s="73"/>
      <c r="P48" s="73"/>
      <c r="Q48" s="73"/>
      <c r="R48" s="73"/>
      <c r="S48" s="75" t="str">
        <f>AA47</f>
        <v>Skydliaukės</v>
      </c>
      <c r="T48" s="73"/>
      <c r="U48" s="73"/>
      <c r="V48" s="31"/>
      <c r="W48" s="341" t="s">
        <v>213</v>
      </c>
      <c r="X48" s="341">
        <v>89</v>
      </c>
      <c r="Y48" s="356">
        <v>6.5249266862170086E-2</v>
      </c>
      <c r="Z48" s="341"/>
      <c r="AA48" s="341" t="s">
        <v>233</v>
      </c>
      <c r="AB48" s="341">
        <v>137</v>
      </c>
      <c r="AC48" s="356">
        <v>7.8555045871559634E-2</v>
      </c>
      <c r="AD48" s="341"/>
      <c r="AE48" s="31"/>
    </row>
    <row r="49" spans="1:31" ht="20.100000000000001" customHeight="1">
      <c r="A49" s="73"/>
      <c r="B49" s="73"/>
      <c r="C49" s="73"/>
      <c r="D49" s="73"/>
      <c r="E49" s="73"/>
      <c r="F49" s="73"/>
      <c r="G49" s="73"/>
      <c r="H49" s="73"/>
      <c r="I49" s="75" t="str">
        <f>W46</f>
        <v>Burnos ertmės ir ryklės</v>
      </c>
      <c r="J49" s="73"/>
      <c r="K49" s="73"/>
      <c r="L49" s="73"/>
      <c r="M49" s="73"/>
      <c r="N49" s="73"/>
      <c r="O49" s="73"/>
      <c r="P49" s="73"/>
      <c r="Q49" s="73"/>
      <c r="R49" s="73"/>
      <c r="S49" s="75" t="str">
        <f>AA46</f>
        <v>Kiaušidžių</v>
      </c>
      <c r="T49" s="73"/>
      <c r="U49" s="73"/>
      <c r="V49" s="31"/>
      <c r="W49" s="341" t="s">
        <v>216</v>
      </c>
      <c r="X49" s="341">
        <v>117</v>
      </c>
      <c r="Y49" s="356">
        <v>8.5777126099706738E-2</v>
      </c>
      <c r="Z49" s="341"/>
      <c r="AA49" s="341" t="s">
        <v>216</v>
      </c>
      <c r="AB49" s="341">
        <v>201</v>
      </c>
      <c r="AC49" s="356">
        <v>0.11525229357798165</v>
      </c>
      <c r="AD49" s="341"/>
      <c r="AE49" s="31"/>
    </row>
    <row r="50" spans="1:31" ht="20.100000000000001" customHeight="1">
      <c r="A50" s="73"/>
      <c r="B50" s="73"/>
      <c r="C50" s="73"/>
      <c r="D50" s="73"/>
      <c r="E50" s="73"/>
      <c r="F50" s="73"/>
      <c r="G50" s="73"/>
      <c r="H50" s="73"/>
      <c r="I50" s="75" t="str">
        <f>W45</f>
        <v>Tiesiosios žarnos, išangės</v>
      </c>
      <c r="J50" s="73"/>
      <c r="K50" s="73"/>
      <c r="L50" s="73"/>
      <c r="M50" s="73"/>
      <c r="N50" s="73"/>
      <c r="O50" s="73"/>
      <c r="P50" s="73"/>
      <c r="Q50" s="73"/>
      <c r="R50" s="73"/>
      <c r="S50" s="75" t="str">
        <f>AA45</f>
        <v>Gaubtinės žarnos</v>
      </c>
      <c r="T50" s="73"/>
      <c r="U50" s="73"/>
      <c r="V50" s="31"/>
      <c r="W50" s="341" t="s">
        <v>217</v>
      </c>
      <c r="X50" s="341">
        <v>119</v>
      </c>
      <c r="Y50" s="356">
        <v>8.7243401759530798E-2</v>
      </c>
      <c r="Z50" s="341"/>
      <c r="AA50" s="341" t="s">
        <v>232</v>
      </c>
      <c r="AB50" s="341">
        <v>206</v>
      </c>
      <c r="AC50" s="356">
        <v>0.11811926605504587</v>
      </c>
      <c r="AD50" s="341"/>
      <c r="AE50" s="31"/>
    </row>
    <row r="51" spans="1:31" ht="20.100000000000001" customHeight="1">
      <c r="A51" s="73"/>
      <c r="B51" s="73"/>
      <c r="C51" s="73"/>
      <c r="D51" s="73"/>
      <c r="E51" s="73"/>
      <c r="F51" s="73"/>
      <c r="G51" s="73"/>
      <c r="H51" s="73"/>
      <c r="I51" s="75" t="str">
        <f>W44</f>
        <v>Smegenų</v>
      </c>
      <c r="J51" s="73"/>
      <c r="K51" s="73"/>
      <c r="L51" s="73"/>
      <c r="M51" s="73"/>
      <c r="N51" s="73"/>
      <c r="O51" s="73"/>
      <c r="P51" s="73"/>
      <c r="Q51" s="73"/>
      <c r="R51" s="73"/>
      <c r="S51" s="75" t="str">
        <f>AA44</f>
        <v>Odos melanoma</v>
      </c>
      <c r="T51" s="73"/>
      <c r="U51" s="73"/>
      <c r="V51" s="31"/>
      <c r="W51" s="341" t="s">
        <v>218</v>
      </c>
      <c r="X51" s="341">
        <v>338</v>
      </c>
      <c r="Y51" s="356">
        <v>0.24780058651026393</v>
      </c>
      <c r="Z51" s="341"/>
      <c r="AA51" s="341" t="s">
        <v>234</v>
      </c>
      <c r="AB51" s="341">
        <v>480</v>
      </c>
      <c r="AC51" s="356">
        <v>0.27522935779816515</v>
      </c>
      <c r="AD51" s="341"/>
      <c r="AE51" s="31"/>
    </row>
    <row r="52" spans="1:31" ht="20.100000000000001" customHeight="1">
      <c r="A52" s="73"/>
      <c r="B52" s="73"/>
      <c r="C52" s="73"/>
      <c r="D52" s="73"/>
      <c r="E52" s="73"/>
      <c r="F52" s="73"/>
      <c r="G52" s="73"/>
      <c r="H52" s="73"/>
      <c r="I52" s="75" t="str">
        <f>W43</f>
        <v>Kasos</v>
      </c>
      <c r="J52" s="73"/>
      <c r="K52" s="73"/>
      <c r="L52" s="73"/>
      <c r="M52" s="73"/>
      <c r="N52" s="73"/>
      <c r="O52" s="73"/>
      <c r="P52" s="73"/>
      <c r="Q52" s="73"/>
      <c r="R52" s="73"/>
      <c r="S52" s="75" t="str">
        <f>AA43</f>
        <v>Tiesiosios žarnos, išangės</v>
      </c>
      <c r="T52" s="73"/>
      <c r="U52" s="73"/>
      <c r="V52" s="31"/>
      <c r="W52" s="341" t="s">
        <v>210</v>
      </c>
      <c r="X52" s="341">
        <v>1364</v>
      </c>
      <c r="Y52" s="356">
        <v>1</v>
      </c>
      <c r="Z52" s="341"/>
      <c r="AA52" s="341" t="s">
        <v>210</v>
      </c>
      <c r="AB52" s="341">
        <v>1744</v>
      </c>
      <c r="AC52" s="356">
        <v>1</v>
      </c>
      <c r="AD52" s="341"/>
      <c r="AE52" s="31"/>
    </row>
    <row r="53" spans="1:31" ht="20.100000000000001" customHeight="1">
      <c r="A53" s="73"/>
      <c r="B53" s="73"/>
      <c r="C53" s="73"/>
      <c r="D53" s="73"/>
      <c r="E53" s="73"/>
      <c r="F53" s="73"/>
      <c r="G53" s="73"/>
      <c r="H53" s="73"/>
      <c r="I53" s="75" t="str">
        <f>W42</f>
        <v>Gaubtinės žarnos</v>
      </c>
      <c r="J53" s="73"/>
      <c r="K53" s="73"/>
      <c r="L53" s="73"/>
      <c r="M53" s="73"/>
      <c r="N53" s="73"/>
      <c r="O53" s="73"/>
      <c r="P53" s="73"/>
      <c r="Q53" s="73"/>
      <c r="R53" s="73"/>
      <c r="S53" s="75" t="str">
        <f>AA42</f>
        <v>Skrandžio</v>
      </c>
      <c r="T53" s="73"/>
      <c r="U53" s="73"/>
      <c r="V53" s="31"/>
      <c r="W53" s="360" t="s">
        <v>459</v>
      </c>
      <c r="X53" s="341"/>
      <c r="Y53" s="357"/>
      <c r="Z53" s="341"/>
      <c r="AA53" s="360" t="s">
        <v>465</v>
      </c>
      <c r="AB53" s="341"/>
      <c r="AC53" s="357"/>
      <c r="AD53" s="341"/>
      <c r="AE53" s="31"/>
    </row>
    <row r="54" spans="1:31" ht="20.100000000000001" customHeight="1">
      <c r="A54" s="73"/>
      <c r="B54" s="73"/>
      <c r="C54" s="73"/>
      <c r="D54" s="73"/>
      <c r="E54" s="73"/>
      <c r="F54" s="73"/>
      <c r="G54" s="73"/>
      <c r="H54" s="73"/>
      <c r="I54" s="75" t="str">
        <f>W41</f>
        <v>Kiti</v>
      </c>
      <c r="J54" s="73"/>
      <c r="K54" s="73"/>
      <c r="L54" s="73"/>
      <c r="M54" s="73"/>
      <c r="N54" s="73"/>
      <c r="O54" s="73"/>
      <c r="P54" s="73"/>
      <c r="Q54" s="73"/>
      <c r="R54" s="73"/>
      <c r="S54" s="75" t="str">
        <f>AA41</f>
        <v>Kiti</v>
      </c>
      <c r="T54" s="73"/>
      <c r="U54" s="73"/>
      <c r="V54" s="31"/>
      <c r="W54" s="411" t="s">
        <v>26</v>
      </c>
      <c r="X54" s="411">
        <v>860</v>
      </c>
      <c r="Y54" s="412">
        <v>0.15146178231771751</v>
      </c>
      <c r="Z54" s="341"/>
      <c r="AA54" s="411" t="s">
        <v>26</v>
      </c>
      <c r="AB54" s="411">
        <v>911</v>
      </c>
      <c r="AC54" s="412">
        <v>0.24588394062078273</v>
      </c>
      <c r="AD54" s="341"/>
      <c r="AE54" s="31"/>
    </row>
    <row r="55" spans="1:31" ht="24.95" customHeight="1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31"/>
      <c r="W55" s="341" t="s">
        <v>220</v>
      </c>
      <c r="X55" s="341">
        <v>125</v>
      </c>
      <c r="Y55" s="356">
        <v>2.2014793941528707E-2</v>
      </c>
      <c r="Z55" s="341"/>
      <c r="AA55" s="341" t="s">
        <v>232</v>
      </c>
      <c r="AB55" s="341">
        <v>128</v>
      </c>
      <c r="AC55" s="356">
        <v>3.4547908232118757E-2</v>
      </c>
      <c r="AD55" s="341"/>
      <c r="AE55" s="31"/>
    </row>
    <row r="56" spans="1:31" ht="24.95" customHeight="1">
      <c r="A56" s="73"/>
      <c r="B56" s="73"/>
      <c r="C56" s="410" t="str">
        <f>W53</f>
        <v>Vyrai, 55-74 metų (5678 atv.)</v>
      </c>
      <c r="D56" s="410"/>
      <c r="E56" s="410"/>
      <c r="F56" s="410"/>
      <c r="G56" s="410"/>
      <c r="H56" s="410"/>
      <c r="I56" s="410"/>
      <c r="J56" s="73"/>
      <c r="K56" s="73"/>
      <c r="L56" s="73"/>
      <c r="M56" s="410" t="str">
        <f>AA53</f>
        <v>Moterys, 55-74 metų (3705 atv.)</v>
      </c>
      <c r="N56" s="410"/>
      <c r="O56" s="410"/>
      <c r="P56" s="410"/>
      <c r="Q56" s="410"/>
      <c r="R56" s="410"/>
      <c r="S56" s="410"/>
      <c r="T56" s="73"/>
      <c r="U56" s="73"/>
      <c r="V56" s="31"/>
      <c r="W56" s="341" t="s">
        <v>219</v>
      </c>
      <c r="X56" s="341">
        <v>133</v>
      </c>
      <c r="Y56" s="356">
        <v>2.3423740753786546E-2</v>
      </c>
      <c r="Z56" s="341"/>
      <c r="AA56" s="341" t="s">
        <v>212</v>
      </c>
      <c r="AB56" s="341">
        <v>135</v>
      </c>
      <c r="AC56" s="356">
        <v>3.643724696356275E-2</v>
      </c>
      <c r="AD56" s="341"/>
      <c r="AE56" s="31"/>
    </row>
    <row r="57" spans="1:31" ht="20.100000000000001" customHeight="1">
      <c r="A57" s="73"/>
      <c r="B57" s="73"/>
      <c r="C57" s="73"/>
      <c r="D57" s="73"/>
      <c r="E57" s="73"/>
      <c r="F57" s="73"/>
      <c r="G57" s="73"/>
      <c r="H57" s="73"/>
      <c r="I57" s="75" t="str">
        <f>W64</f>
        <v>Priešinės liaukos</v>
      </c>
      <c r="J57" s="73"/>
      <c r="K57" s="73"/>
      <c r="L57" s="73"/>
      <c r="M57" s="73"/>
      <c r="N57" s="73"/>
      <c r="O57" s="73"/>
      <c r="P57" s="73"/>
      <c r="Q57" s="73"/>
      <c r="R57" s="73"/>
      <c r="S57" s="75" t="str">
        <f>AA64</f>
        <v>Krūties</v>
      </c>
      <c r="T57" s="73"/>
      <c r="U57" s="73"/>
      <c r="V57" s="31"/>
      <c r="W57" s="341" t="s">
        <v>211</v>
      </c>
      <c r="X57" s="341">
        <v>164</v>
      </c>
      <c r="Y57" s="356">
        <v>2.8883409651285663E-2</v>
      </c>
      <c r="Z57" s="341"/>
      <c r="AA57" s="341" t="s">
        <v>222</v>
      </c>
      <c r="AB57" s="341">
        <v>140</v>
      </c>
      <c r="AC57" s="356">
        <v>3.7786774628879895E-2</v>
      </c>
      <c r="AD57" s="341"/>
      <c r="AE57" s="31"/>
    </row>
    <row r="58" spans="1:31" ht="20.100000000000001" customHeight="1">
      <c r="A58" s="73"/>
      <c r="B58" s="73"/>
      <c r="C58" s="73"/>
      <c r="D58" s="73"/>
      <c r="E58" s="73"/>
      <c r="F58" s="73"/>
      <c r="G58" s="73"/>
      <c r="H58" s="73"/>
      <c r="I58" s="75" t="str">
        <f>W63</f>
        <v>Plaučių, trachėjos, bronchų</v>
      </c>
      <c r="J58" s="73"/>
      <c r="K58" s="73"/>
      <c r="L58" s="73"/>
      <c r="M58" s="73"/>
      <c r="N58" s="73"/>
      <c r="O58" s="73"/>
      <c r="P58" s="73"/>
      <c r="Q58" s="73"/>
      <c r="R58" s="73"/>
      <c r="S58" s="75" t="str">
        <f>AA63</f>
        <v>Kiti odos piktybiniai navikai</v>
      </c>
      <c r="T58" s="73"/>
      <c r="U58" s="73"/>
      <c r="V58" s="31"/>
      <c r="W58" s="341" t="s">
        <v>213</v>
      </c>
      <c r="X58" s="341">
        <v>191</v>
      </c>
      <c r="Y58" s="356">
        <v>3.3638605142655861E-2</v>
      </c>
      <c r="Z58" s="341"/>
      <c r="AA58" s="341" t="s">
        <v>217</v>
      </c>
      <c r="AB58" s="341">
        <v>142</v>
      </c>
      <c r="AC58" s="356">
        <v>3.832658569500675E-2</v>
      </c>
      <c r="AD58" s="341"/>
      <c r="AE58" s="31"/>
    </row>
    <row r="59" spans="1:31" ht="20.100000000000001" customHeight="1">
      <c r="A59" s="73"/>
      <c r="B59" s="73"/>
      <c r="C59" s="73"/>
      <c r="D59" s="73"/>
      <c r="E59" s="73"/>
      <c r="F59" s="73"/>
      <c r="G59" s="73"/>
      <c r="H59" s="73"/>
      <c r="I59" s="75" t="str">
        <f>W62</f>
        <v>Kiti odos piktybiniai navikai</v>
      </c>
      <c r="J59" s="73"/>
      <c r="K59" s="73"/>
      <c r="L59" s="73"/>
      <c r="M59" s="73"/>
      <c r="N59" s="73"/>
      <c r="O59" s="73"/>
      <c r="P59" s="73"/>
      <c r="Q59" s="73"/>
      <c r="R59" s="73"/>
      <c r="S59" s="75" t="str">
        <f>AA62</f>
        <v>Gimdos kūno</v>
      </c>
      <c r="T59" s="73"/>
      <c r="U59" s="73"/>
      <c r="V59" s="31"/>
      <c r="W59" s="341" t="s">
        <v>212</v>
      </c>
      <c r="X59" s="341">
        <v>213</v>
      </c>
      <c r="Y59" s="356">
        <v>3.7513208876364917E-2</v>
      </c>
      <c r="Z59" s="341"/>
      <c r="AA59" s="341" t="s">
        <v>213</v>
      </c>
      <c r="AB59" s="341">
        <v>144</v>
      </c>
      <c r="AC59" s="356">
        <v>3.8866396761133605E-2</v>
      </c>
      <c r="AD59" s="341"/>
      <c r="AE59" s="31"/>
    </row>
    <row r="60" spans="1:31" ht="20.100000000000001" customHeight="1">
      <c r="A60" s="73"/>
      <c r="B60" s="73"/>
      <c r="C60" s="73"/>
      <c r="D60" s="73"/>
      <c r="E60" s="73"/>
      <c r="F60" s="73"/>
      <c r="G60" s="73"/>
      <c r="H60" s="73"/>
      <c r="I60" s="75" t="str">
        <f>W61</f>
        <v>Skrandžio</v>
      </c>
      <c r="J60" s="73"/>
      <c r="K60" s="73"/>
      <c r="L60" s="73"/>
      <c r="M60" s="73"/>
      <c r="N60" s="73"/>
      <c r="O60" s="73"/>
      <c r="P60" s="73"/>
      <c r="Q60" s="73"/>
      <c r="R60" s="73"/>
      <c r="S60" s="75" t="str">
        <f>AA61</f>
        <v>Gaubtinės žarnos</v>
      </c>
      <c r="T60" s="73"/>
      <c r="U60" s="73"/>
      <c r="V60" s="31"/>
      <c r="W60" s="341" t="s">
        <v>214</v>
      </c>
      <c r="X60" s="341">
        <v>256</v>
      </c>
      <c r="Y60" s="356">
        <v>4.5086297992250793E-2</v>
      </c>
      <c r="Z60" s="341"/>
      <c r="AA60" s="341" t="s">
        <v>231</v>
      </c>
      <c r="AB60" s="341">
        <v>151</v>
      </c>
      <c r="AC60" s="356">
        <v>4.0755735492577598E-2</v>
      </c>
      <c r="AD60" s="341"/>
      <c r="AE60" s="31"/>
    </row>
    <row r="61" spans="1:31" ht="20.100000000000001" customHeight="1">
      <c r="A61" s="73"/>
      <c r="B61" s="73"/>
      <c r="C61" s="73"/>
      <c r="D61" s="73"/>
      <c r="E61" s="73"/>
      <c r="F61" s="73"/>
      <c r="G61" s="73"/>
      <c r="H61" s="73"/>
      <c r="I61" s="75" t="str">
        <f>W60</f>
        <v>Gaubtinės žarnos</v>
      </c>
      <c r="J61" s="73"/>
      <c r="K61" s="73"/>
      <c r="L61" s="73"/>
      <c r="M61" s="73"/>
      <c r="N61" s="73"/>
      <c r="O61" s="73"/>
      <c r="P61" s="73"/>
      <c r="Q61" s="73"/>
      <c r="R61" s="73"/>
      <c r="S61" s="75" t="str">
        <f>AA60</f>
        <v>Kiaušidžių</v>
      </c>
      <c r="T61" s="73"/>
      <c r="U61" s="73"/>
      <c r="V61" s="31"/>
      <c r="W61" s="341" t="s">
        <v>215</v>
      </c>
      <c r="X61" s="341">
        <v>262</v>
      </c>
      <c r="Y61" s="356">
        <v>4.6143008101444172E-2</v>
      </c>
      <c r="Z61" s="341"/>
      <c r="AA61" s="341" t="s">
        <v>214</v>
      </c>
      <c r="AB61" s="341">
        <v>190</v>
      </c>
      <c r="AC61" s="356">
        <v>5.128205128205128E-2</v>
      </c>
      <c r="AD61" s="341"/>
      <c r="AE61" s="31"/>
    </row>
    <row r="62" spans="1:31" ht="20.100000000000001" customHeight="1">
      <c r="A62" s="73"/>
      <c r="B62" s="73"/>
      <c r="C62" s="73"/>
      <c r="D62" s="73"/>
      <c r="E62" s="73"/>
      <c r="F62" s="73"/>
      <c r="G62" s="73"/>
      <c r="H62" s="73"/>
      <c r="I62" s="75" t="str">
        <f>W59</f>
        <v>Tiesiosios žarnos, išangės</v>
      </c>
      <c r="J62" s="73"/>
      <c r="K62" s="73"/>
      <c r="L62" s="73"/>
      <c r="M62" s="73"/>
      <c r="N62" s="73"/>
      <c r="O62" s="73"/>
      <c r="P62" s="73"/>
      <c r="Q62" s="73"/>
      <c r="R62" s="73"/>
      <c r="S62" s="75" t="str">
        <f>AA59</f>
        <v>Inkstų</v>
      </c>
      <c r="T62" s="73"/>
      <c r="U62" s="73"/>
      <c r="V62" s="31"/>
      <c r="W62" s="341" t="s">
        <v>216</v>
      </c>
      <c r="X62" s="341">
        <v>425</v>
      </c>
      <c r="Y62" s="356">
        <v>7.4850299401197598E-2</v>
      </c>
      <c r="Z62" s="341"/>
      <c r="AA62" s="341" t="s">
        <v>233</v>
      </c>
      <c r="AB62" s="341">
        <v>364</v>
      </c>
      <c r="AC62" s="356">
        <v>9.8245614035087719E-2</v>
      </c>
      <c r="AD62" s="341"/>
      <c r="AE62" s="31"/>
    </row>
    <row r="63" spans="1:31" ht="20.100000000000001" customHeight="1">
      <c r="A63" s="73"/>
      <c r="B63" s="73"/>
      <c r="C63" s="73"/>
      <c r="D63" s="73"/>
      <c r="E63" s="73"/>
      <c r="F63" s="73"/>
      <c r="G63" s="73"/>
      <c r="H63" s="73"/>
      <c r="I63" s="75" t="str">
        <f>W58</f>
        <v>Inkstų</v>
      </c>
      <c r="J63" s="73"/>
      <c r="K63" s="73"/>
      <c r="L63" s="73"/>
      <c r="M63" s="73"/>
      <c r="N63" s="73"/>
      <c r="O63" s="73"/>
      <c r="P63" s="73"/>
      <c r="Q63" s="73"/>
      <c r="R63" s="73"/>
      <c r="S63" s="75" t="str">
        <f>AA58</f>
        <v>Plaučių, trachėjos, bronchų</v>
      </c>
      <c r="T63" s="73"/>
      <c r="U63" s="73"/>
      <c r="V63" s="31"/>
      <c r="W63" s="341" t="s">
        <v>217</v>
      </c>
      <c r="X63" s="341">
        <v>723</v>
      </c>
      <c r="Y63" s="356">
        <v>0.12733356815780203</v>
      </c>
      <c r="Z63" s="341"/>
      <c r="AA63" s="341" t="s">
        <v>216</v>
      </c>
      <c r="AB63" s="341">
        <v>658</v>
      </c>
      <c r="AC63" s="356">
        <v>0.17759784075573548</v>
      </c>
      <c r="AD63" s="341"/>
      <c r="AE63" s="31"/>
    </row>
    <row r="64" spans="1:31" ht="20.100000000000001" customHeight="1">
      <c r="A64" s="73"/>
      <c r="B64" s="73"/>
      <c r="C64" s="73"/>
      <c r="D64" s="73"/>
      <c r="E64" s="73"/>
      <c r="F64" s="73"/>
      <c r="G64" s="73"/>
      <c r="H64" s="73"/>
      <c r="I64" s="75" t="str">
        <f>W57</f>
        <v>Burnos ertmės ir ryklės</v>
      </c>
      <c r="J64" s="73"/>
      <c r="K64" s="73"/>
      <c r="L64" s="73"/>
      <c r="M64" s="73"/>
      <c r="N64" s="73"/>
      <c r="O64" s="73"/>
      <c r="P64" s="73"/>
      <c r="Q64" s="73"/>
      <c r="R64" s="73"/>
      <c r="S64" s="75" t="str">
        <f>AA57</f>
        <v>Skydliaukės</v>
      </c>
      <c r="T64" s="73"/>
      <c r="U64" s="73"/>
      <c r="V64" s="31"/>
      <c r="W64" s="341" t="s">
        <v>218</v>
      </c>
      <c r="X64" s="341">
        <v>2326</v>
      </c>
      <c r="Y64" s="356">
        <v>0.40965128566396619</v>
      </c>
      <c r="Z64" s="341"/>
      <c r="AA64" s="341" t="s">
        <v>234</v>
      </c>
      <c r="AB64" s="341">
        <v>742</v>
      </c>
      <c r="AC64" s="356">
        <v>0.20026990553306342</v>
      </c>
      <c r="AD64" s="341"/>
      <c r="AE64" s="31"/>
    </row>
    <row r="65" spans="1:31" ht="20.100000000000001" customHeight="1">
      <c r="A65" s="73"/>
      <c r="B65" s="73"/>
      <c r="C65" s="73"/>
      <c r="D65" s="73"/>
      <c r="E65" s="73"/>
      <c r="F65" s="73"/>
      <c r="G65" s="73"/>
      <c r="H65" s="73"/>
      <c r="I65" s="75" t="str">
        <f>W56</f>
        <v>Kasos</v>
      </c>
      <c r="J65" s="73"/>
      <c r="K65" s="73"/>
      <c r="L65" s="73"/>
      <c r="M65" s="73"/>
      <c r="N65" s="73"/>
      <c r="O65" s="73"/>
      <c r="P65" s="73"/>
      <c r="Q65" s="73"/>
      <c r="R65" s="73"/>
      <c r="S65" s="75" t="str">
        <f>AA56</f>
        <v>Tiesiosios žarnos, išangės</v>
      </c>
      <c r="T65" s="73"/>
      <c r="U65" s="73"/>
      <c r="V65" s="31"/>
      <c r="W65" s="341" t="s">
        <v>210</v>
      </c>
      <c r="X65" s="341">
        <v>5678</v>
      </c>
      <c r="Y65" s="356">
        <v>1</v>
      </c>
      <c r="Z65" s="341"/>
      <c r="AA65" s="341" t="s">
        <v>210</v>
      </c>
      <c r="AB65" s="341">
        <v>3705</v>
      </c>
      <c r="AC65" s="356">
        <v>1</v>
      </c>
      <c r="AD65" s="341"/>
      <c r="AE65" s="31"/>
    </row>
    <row r="66" spans="1:31" ht="20.100000000000001" customHeight="1">
      <c r="A66" s="73"/>
      <c r="B66" s="73"/>
      <c r="C66" s="73"/>
      <c r="D66" s="73"/>
      <c r="E66" s="73"/>
      <c r="F66" s="73"/>
      <c r="G66" s="73"/>
      <c r="H66" s="73"/>
      <c r="I66" s="75" t="str">
        <f>W55</f>
        <v>Šlapimo pūslės</v>
      </c>
      <c r="J66" s="73"/>
      <c r="K66" s="73"/>
      <c r="L66" s="73"/>
      <c r="M66" s="73"/>
      <c r="N66" s="73"/>
      <c r="O66" s="73"/>
      <c r="P66" s="73"/>
      <c r="Q66" s="73"/>
      <c r="R66" s="73"/>
      <c r="S66" s="75" t="str">
        <f>AA55</f>
        <v>Gimdos kaklelio</v>
      </c>
      <c r="T66" s="73"/>
      <c r="U66" s="73"/>
      <c r="V66" s="31"/>
      <c r="W66" s="360" t="s">
        <v>460</v>
      </c>
      <c r="X66" s="341"/>
      <c r="Y66" s="357"/>
      <c r="Z66" s="341"/>
      <c r="AA66" s="360" t="s">
        <v>466</v>
      </c>
      <c r="AB66" s="341"/>
      <c r="AC66" s="357"/>
      <c r="AD66" s="341"/>
      <c r="AE66" s="31"/>
    </row>
    <row r="67" spans="1:31" ht="20.100000000000001" customHeight="1">
      <c r="A67" s="73"/>
      <c r="B67" s="73"/>
      <c r="C67" s="73"/>
      <c r="D67" s="73"/>
      <c r="E67" s="73"/>
      <c r="F67" s="73"/>
      <c r="G67" s="73"/>
      <c r="H67" s="73"/>
      <c r="I67" s="75" t="str">
        <f>W54</f>
        <v>Kiti</v>
      </c>
      <c r="J67" s="73"/>
      <c r="K67" s="73"/>
      <c r="L67" s="73"/>
      <c r="M67" s="73"/>
      <c r="N67" s="73"/>
      <c r="O67" s="73"/>
      <c r="P67" s="73"/>
      <c r="Q67" s="73"/>
      <c r="R67" s="73"/>
      <c r="S67" s="75" t="str">
        <f>AA54</f>
        <v>Kiti</v>
      </c>
      <c r="T67" s="73"/>
      <c r="U67" s="73"/>
      <c r="V67" s="31"/>
      <c r="W67" s="411" t="s">
        <v>26</v>
      </c>
      <c r="X67" s="411">
        <v>379</v>
      </c>
      <c r="Y67" s="412">
        <v>0.1602536997885835</v>
      </c>
      <c r="Z67" s="341"/>
      <c r="AA67" s="411" t="s">
        <v>26</v>
      </c>
      <c r="AB67" s="411">
        <v>707</v>
      </c>
      <c r="AC67" s="412">
        <v>0.25906925613777942</v>
      </c>
      <c r="AD67" s="341"/>
      <c r="AE67" s="31"/>
    </row>
    <row r="68" spans="1:31" ht="24.95" customHeight="1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31"/>
      <c r="W68" s="341" t="s">
        <v>236</v>
      </c>
      <c r="X68" s="341">
        <v>74</v>
      </c>
      <c r="Y68" s="356">
        <v>3.1289640591966171E-2</v>
      </c>
      <c r="Z68" s="341"/>
      <c r="AA68" s="341" t="s">
        <v>231</v>
      </c>
      <c r="AB68" s="341">
        <v>104</v>
      </c>
      <c r="AC68" s="356">
        <v>3.8109197508244777E-2</v>
      </c>
      <c r="AD68" s="341"/>
      <c r="AE68" s="31"/>
    </row>
    <row r="69" spans="1:31" ht="24.95" customHeight="1">
      <c r="A69" s="73"/>
      <c r="B69" s="73"/>
      <c r="C69" s="410" t="str">
        <f>W66</f>
        <v>Vyrai, 75 ir daugiau metų (2365 atv.)</v>
      </c>
      <c r="D69" s="410"/>
      <c r="E69" s="410"/>
      <c r="F69" s="410"/>
      <c r="G69" s="410"/>
      <c r="H69" s="410"/>
      <c r="I69" s="410"/>
      <c r="J69" s="73"/>
      <c r="K69" s="73"/>
      <c r="L69" s="73"/>
      <c r="M69" s="410" t="str">
        <f>AA66</f>
        <v>Moterys, 75 ir daugiau metų (2729 atv.)</v>
      </c>
      <c r="N69" s="410"/>
      <c r="O69" s="410"/>
      <c r="P69" s="410"/>
      <c r="Q69" s="410"/>
      <c r="R69" s="410"/>
      <c r="S69" s="410"/>
      <c r="T69" s="73"/>
      <c r="U69" s="73"/>
      <c r="V69" s="31"/>
      <c r="W69" s="341" t="s">
        <v>227</v>
      </c>
      <c r="X69" s="341">
        <v>82</v>
      </c>
      <c r="Y69" s="356">
        <v>3.4672304439746303E-2</v>
      </c>
      <c r="Z69" s="341"/>
      <c r="AA69" s="341" t="s">
        <v>219</v>
      </c>
      <c r="AB69" s="341">
        <v>117</v>
      </c>
      <c r="AC69" s="356">
        <v>4.2872847196775372E-2</v>
      </c>
      <c r="AD69" s="341"/>
      <c r="AE69" s="31"/>
    </row>
    <row r="70" spans="1:31" ht="20.100000000000001" customHeight="1">
      <c r="A70" s="73"/>
      <c r="B70" s="73"/>
      <c r="C70" s="73"/>
      <c r="D70" s="73"/>
      <c r="E70" s="73"/>
      <c r="F70" s="73"/>
      <c r="G70" s="73"/>
      <c r="H70" s="73"/>
      <c r="I70" s="75" t="str">
        <f>W77</f>
        <v>Priešinės liaukos</v>
      </c>
      <c r="J70" s="73"/>
      <c r="K70" s="73"/>
      <c r="L70" s="73"/>
      <c r="M70" s="73"/>
      <c r="N70" s="73"/>
      <c r="O70" s="73"/>
      <c r="P70" s="73"/>
      <c r="Q70" s="73"/>
      <c r="R70" s="73"/>
      <c r="S70" s="75" t="str">
        <f>AA77</f>
        <v>Kiti odos piktybiniai navikai</v>
      </c>
      <c r="T70" s="73"/>
      <c r="U70" s="73"/>
      <c r="V70" s="31"/>
      <c r="W70" s="341" t="s">
        <v>213</v>
      </c>
      <c r="X70" s="341">
        <v>83</v>
      </c>
      <c r="Y70" s="356">
        <v>3.5095137420718819E-2</v>
      </c>
      <c r="Z70" s="341"/>
      <c r="AA70" s="341" t="s">
        <v>217</v>
      </c>
      <c r="AB70" s="341">
        <v>119</v>
      </c>
      <c r="AC70" s="356">
        <v>4.3605716379626236E-2</v>
      </c>
      <c r="AD70" s="341"/>
      <c r="AE70" s="31"/>
    </row>
    <row r="71" spans="1:31" ht="20.100000000000001" customHeight="1">
      <c r="A71" s="73"/>
      <c r="B71" s="73"/>
      <c r="C71" s="73"/>
      <c r="D71" s="73"/>
      <c r="E71" s="73"/>
      <c r="F71" s="73"/>
      <c r="G71" s="73"/>
      <c r="H71" s="73"/>
      <c r="I71" s="75" t="str">
        <f>W76</f>
        <v>Kiti odos piktybiniai navikai</v>
      </c>
      <c r="J71" s="73"/>
      <c r="K71" s="73"/>
      <c r="L71" s="73"/>
      <c r="M71" s="73"/>
      <c r="N71" s="73"/>
      <c r="O71" s="73"/>
      <c r="P71" s="73"/>
      <c r="Q71" s="73"/>
      <c r="R71" s="73"/>
      <c r="S71" s="75" t="str">
        <f>AA76</f>
        <v>Krūties</v>
      </c>
      <c r="T71" s="73"/>
      <c r="U71" s="73"/>
      <c r="V71" s="31"/>
      <c r="W71" s="341" t="s">
        <v>212</v>
      </c>
      <c r="X71" s="341">
        <v>121</v>
      </c>
      <c r="Y71" s="356">
        <v>5.1162790697674418E-2</v>
      </c>
      <c r="Z71" s="341"/>
      <c r="AA71" s="341" t="s">
        <v>236</v>
      </c>
      <c r="AB71" s="341">
        <v>131</v>
      </c>
      <c r="AC71" s="356">
        <v>4.8002931476731403E-2</v>
      </c>
      <c r="AD71" s="341"/>
      <c r="AE71" s="31"/>
    </row>
    <row r="72" spans="1:31" ht="20.100000000000001" customHeight="1">
      <c r="A72" s="73"/>
      <c r="B72" s="73"/>
      <c r="C72" s="73"/>
      <c r="D72" s="73"/>
      <c r="E72" s="73"/>
      <c r="F72" s="73"/>
      <c r="G72" s="73"/>
      <c r="H72" s="73"/>
      <c r="I72" s="75" t="str">
        <f>W75</f>
        <v>Plaučių, trachėjos, bronchų</v>
      </c>
      <c r="J72" s="73"/>
      <c r="K72" s="73"/>
      <c r="L72" s="73"/>
      <c r="M72" s="73"/>
      <c r="N72" s="73"/>
      <c r="O72" s="73"/>
      <c r="P72" s="73"/>
      <c r="Q72" s="73"/>
      <c r="R72" s="73"/>
      <c r="S72" s="75" t="str">
        <f>AA75</f>
        <v>Gaubtinės žarnos</v>
      </c>
      <c r="T72" s="73"/>
      <c r="U72" s="73"/>
      <c r="V72" s="31"/>
      <c r="W72" s="341" t="s">
        <v>220</v>
      </c>
      <c r="X72" s="341">
        <v>121</v>
      </c>
      <c r="Y72" s="356">
        <v>5.1162790697674418E-2</v>
      </c>
      <c r="Z72" s="341"/>
      <c r="AA72" s="341" t="s">
        <v>233</v>
      </c>
      <c r="AB72" s="341">
        <v>140</v>
      </c>
      <c r="AC72" s="356">
        <v>5.1300842799560278E-2</v>
      </c>
      <c r="AD72" s="341"/>
      <c r="AE72" s="31"/>
    </row>
    <row r="73" spans="1:31" ht="20.100000000000001" customHeight="1">
      <c r="A73" s="73"/>
      <c r="B73" s="73"/>
      <c r="C73" s="73"/>
      <c r="D73" s="73"/>
      <c r="E73" s="73"/>
      <c r="F73" s="73"/>
      <c r="G73" s="73"/>
      <c r="H73" s="73"/>
      <c r="I73" s="75" t="str">
        <f>W74</f>
        <v>Skrandžio</v>
      </c>
      <c r="J73" s="73"/>
      <c r="K73" s="73"/>
      <c r="L73" s="73"/>
      <c r="M73" s="73"/>
      <c r="N73" s="73"/>
      <c r="O73" s="73"/>
      <c r="P73" s="73"/>
      <c r="Q73" s="73"/>
      <c r="R73" s="73"/>
      <c r="S73" s="75" t="str">
        <f>AA74</f>
        <v>Skrandžio</v>
      </c>
      <c r="T73" s="73"/>
      <c r="U73" s="73"/>
      <c r="V73" s="31"/>
      <c r="W73" s="341" t="s">
        <v>214</v>
      </c>
      <c r="X73" s="341">
        <v>145</v>
      </c>
      <c r="Y73" s="356">
        <v>6.13107822410148E-2</v>
      </c>
      <c r="Z73" s="341"/>
      <c r="AA73" s="341" t="s">
        <v>212</v>
      </c>
      <c r="AB73" s="341">
        <v>141</v>
      </c>
      <c r="AC73" s="356">
        <v>5.1667277390985707E-2</v>
      </c>
      <c r="AD73" s="341"/>
      <c r="AE73" s="31"/>
    </row>
    <row r="74" spans="1:31" ht="20.100000000000001" customHeight="1">
      <c r="A74" s="73"/>
      <c r="B74" s="73"/>
      <c r="C74" s="73"/>
      <c r="D74" s="73"/>
      <c r="E74" s="73"/>
      <c r="F74" s="73"/>
      <c r="G74" s="73"/>
      <c r="H74" s="73"/>
      <c r="I74" s="75" t="str">
        <f>W73</f>
        <v>Gaubtinės žarnos</v>
      </c>
      <c r="J74" s="73"/>
      <c r="K74" s="73"/>
      <c r="L74" s="73"/>
      <c r="M74" s="73"/>
      <c r="N74" s="73"/>
      <c r="O74" s="73"/>
      <c r="P74" s="73"/>
      <c r="Q74" s="73"/>
      <c r="R74" s="73"/>
      <c r="S74" s="75" t="str">
        <f>AA73</f>
        <v>Tiesiosios žarnos, išangės</v>
      </c>
      <c r="T74" s="73"/>
      <c r="U74" s="73"/>
      <c r="V74" s="31"/>
      <c r="W74" s="341" t="s">
        <v>215</v>
      </c>
      <c r="X74" s="341">
        <v>164</v>
      </c>
      <c r="Y74" s="356">
        <v>6.9344608879492606E-2</v>
      </c>
      <c r="Z74" s="341"/>
      <c r="AA74" s="341" t="s">
        <v>215</v>
      </c>
      <c r="AB74" s="341">
        <v>168</v>
      </c>
      <c r="AC74" s="356">
        <v>6.1561011359472333E-2</v>
      </c>
      <c r="AD74" s="341"/>
      <c r="AE74" s="31"/>
    </row>
    <row r="75" spans="1:31" ht="20.100000000000001" customHeight="1">
      <c r="A75" s="73"/>
      <c r="B75" s="73"/>
      <c r="C75" s="73"/>
      <c r="D75" s="73"/>
      <c r="E75" s="73"/>
      <c r="F75" s="73"/>
      <c r="G75" s="73"/>
      <c r="H75" s="73"/>
      <c r="I75" s="75" t="str">
        <f>W72</f>
        <v>Šlapimo pūslės</v>
      </c>
      <c r="J75" s="73"/>
      <c r="K75" s="73"/>
      <c r="L75" s="73"/>
      <c r="M75" s="73"/>
      <c r="N75" s="73"/>
      <c r="O75" s="73"/>
      <c r="P75" s="73"/>
      <c r="Q75" s="73"/>
      <c r="R75" s="73"/>
      <c r="S75" s="75" t="str">
        <f>AA72</f>
        <v>Gimdos kūno</v>
      </c>
      <c r="T75" s="73"/>
      <c r="U75" s="73"/>
      <c r="V75" s="31"/>
      <c r="W75" s="341" t="s">
        <v>217</v>
      </c>
      <c r="X75" s="341">
        <v>304</v>
      </c>
      <c r="Y75" s="356">
        <v>0.12854122621564482</v>
      </c>
      <c r="Z75" s="341"/>
      <c r="AA75" s="341" t="s">
        <v>214</v>
      </c>
      <c r="AB75" s="341">
        <v>226</v>
      </c>
      <c r="AC75" s="356">
        <v>8.2814217662147305E-2</v>
      </c>
      <c r="AD75" s="341"/>
      <c r="AE75" s="31"/>
    </row>
    <row r="76" spans="1:31" ht="20.100000000000001" customHeight="1">
      <c r="A76" s="73"/>
      <c r="B76" s="73"/>
      <c r="C76" s="73"/>
      <c r="D76" s="73"/>
      <c r="E76" s="73"/>
      <c r="F76" s="73"/>
      <c r="G76" s="73"/>
      <c r="H76" s="73"/>
      <c r="I76" s="75" t="str">
        <f>W71</f>
        <v>Tiesiosios žarnos, išangės</v>
      </c>
      <c r="J76" s="73"/>
      <c r="K76" s="73"/>
      <c r="L76" s="73"/>
      <c r="M76" s="73"/>
      <c r="N76" s="73"/>
      <c r="O76" s="73"/>
      <c r="P76" s="73"/>
      <c r="Q76" s="73"/>
      <c r="R76" s="73"/>
      <c r="S76" s="75" t="str">
        <f>AA71</f>
        <v>Nepatikslintos lokalizacijos</v>
      </c>
      <c r="T76" s="73"/>
      <c r="U76" s="73"/>
      <c r="V76" s="31"/>
      <c r="W76" s="341" t="s">
        <v>216</v>
      </c>
      <c r="X76" s="341">
        <v>334</v>
      </c>
      <c r="Y76" s="356">
        <v>0.1412262156448203</v>
      </c>
      <c r="Z76" s="341"/>
      <c r="AA76" s="341" t="s">
        <v>234</v>
      </c>
      <c r="AB76" s="341">
        <v>299</v>
      </c>
      <c r="AC76" s="356">
        <v>0.10956394283620374</v>
      </c>
      <c r="AD76" s="341"/>
      <c r="AE76" s="31"/>
    </row>
    <row r="77" spans="1:31" ht="20.100000000000001" customHeight="1">
      <c r="A77" s="73"/>
      <c r="B77" s="73"/>
      <c r="C77" s="73"/>
      <c r="D77" s="73"/>
      <c r="E77" s="73"/>
      <c r="F77" s="73"/>
      <c r="G77" s="73"/>
      <c r="H77" s="73"/>
      <c r="I77" s="75" t="str">
        <f>W70</f>
        <v>Inkstų</v>
      </c>
      <c r="J77" s="73"/>
      <c r="K77" s="73"/>
      <c r="L77" s="73"/>
      <c r="M77" s="73"/>
      <c r="N77" s="73"/>
      <c r="O77" s="73"/>
      <c r="P77" s="73"/>
      <c r="Q77" s="73"/>
      <c r="R77" s="73"/>
      <c r="S77" s="75" t="str">
        <f>AA70</f>
        <v>Plaučių, trachėjos, bronchų</v>
      </c>
      <c r="T77" s="73"/>
      <c r="U77" s="73"/>
      <c r="V77" s="31"/>
      <c r="W77" s="341" t="s">
        <v>218</v>
      </c>
      <c r="X77" s="341">
        <v>558</v>
      </c>
      <c r="Y77" s="356">
        <v>0.23594080338266385</v>
      </c>
      <c r="Z77" s="341"/>
      <c r="AA77" s="341" t="s">
        <v>216</v>
      </c>
      <c r="AB77" s="341">
        <v>577</v>
      </c>
      <c r="AC77" s="356">
        <v>0.21143275925247343</v>
      </c>
      <c r="AD77" s="341"/>
      <c r="AE77" s="31"/>
    </row>
    <row r="78" spans="1:31" ht="20.100000000000001" customHeight="1">
      <c r="A78" s="73"/>
      <c r="B78" s="73"/>
      <c r="C78" s="73"/>
      <c r="D78" s="73"/>
      <c r="E78" s="73"/>
      <c r="F78" s="73"/>
      <c r="G78" s="73"/>
      <c r="H78" s="73"/>
      <c r="I78" s="75" t="str">
        <f>W69</f>
        <v>Leukemijos</v>
      </c>
      <c r="J78" s="73"/>
      <c r="K78" s="73"/>
      <c r="L78" s="73"/>
      <c r="M78" s="73"/>
      <c r="N78" s="73"/>
      <c r="O78" s="73"/>
      <c r="P78" s="73"/>
      <c r="Q78" s="73"/>
      <c r="R78" s="73"/>
      <c r="S78" s="75" t="str">
        <f>AA69</f>
        <v>Kasos</v>
      </c>
      <c r="T78" s="73"/>
      <c r="U78" s="73"/>
      <c r="V78" s="31"/>
      <c r="W78" s="341" t="s">
        <v>210</v>
      </c>
      <c r="X78" s="341">
        <v>2365</v>
      </c>
      <c r="Y78" s="356">
        <v>1</v>
      </c>
      <c r="Z78" s="341"/>
      <c r="AA78" s="341" t="s">
        <v>210</v>
      </c>
      <c r="AB78" s="341">
        <v>2729</v>
      </c>
      <c r="AC78" s="356">
        <v>0.99999999999999989</v>
      </c>
      <c r="AD78" s="341"/>
      <c r="AE78" s="31"/>
    </row>
    <row r="79" spans="1:31" ht="20.100000000000001" customHeight="1">
      <c r="A79" s="73"/>
      <c r="B79" s="73"/>
      <c r="C79" s="73"/>
      <c r="D79" s="73"/>
      <c r="E79" s="73"/>
      <c r="F79" s="73"/>
      <c r="G79" s="73"/>
      <c r="H79" s="73"/>
      <c r="I79" s="75" t="str">
        <f>W68</f>
        <v>Nepatikslintos lokalizacijos</v>
      </c>
      <c r="J79" s="73"/>
      <c r="K79" s="73"/>
      <c r="L79" s="73"/>
      <c r="M79" s="73"/>
      <c r="N79" s="73"/>
      <c r="O79" s="73"/>
      <c r="P79" s="73"/>
      <c r="Q79" s="73"/>
      <c r="R79" s="73"/>
      <c r="S79" s="75" t="str">
        <f>AA68</f>
        <v>Kiaušidžių</v>
      </c>
      <c r="T79" s="73"/>
      <c r="U79" s="73"/>
      <c r="V79" s="31"/>
      <c r="W79" s="355" t="s">
        <v>210</v>
      </c>
      <c r="X79" s="341">
        <v>2347</v>
      </c>
      <c r="Y79" s="356">
        <v>1</v>
      </c>
      <c r="Z79" s="341"/>
      <c r="AA79" s="355" t="s">
        <v>210</v>
      </c>
      <c r="AB79" s="341">
        <v>2504</v>
      </c>
      <c r="AC79" s="356">
        <v>1</v>
      </c>
      <c r="AD79" s="341"/>
      <c r="AE79" s="31"/>
    </row>
    <row r="80" spans="1:31" ht="20.100000000000001" customHeight="1">
      <c r="A80" s="73"/>
      <c r="B80" s="73"/>
      <c r="C80" s="73"/>
      <c r="D80" s="73"/>
      <c r="E80" s="73"/>
      <c r="F80" s="73"/>
      <c r="G80" s="73"/>
      <c r="H80" s="73"/>
      <c r="I80" s="75" t="str">
        <f>W67</f>
        <v>Kiti</v>
      </c>
      <c r="J80" s="73"/>
      <c r="K80" s="73"/>
      <c r="L80" s="73"/>
      <c r="M80" s="73"/>
      <c r="N80" s="73"/>
      <c r="O80" s="73"/>
      <c r="P80" s="73"/>
      <c r="Q80" s="73"/>
      <c r="R80" s="73"/>
      <c r="S80" s="75" t="str">
        <f>AA67</f>
        <v>Kiti</v>
      </c>
      <c r="T80" s="73"/>
      <c r="U80" s="73"/>
      <c r="V80" s="31"/>
      <c r="W80" s="341"/>
      <c r="X80" s="341"/>
      <c r="Y80" s="341"/>
      <c r="Z80" s="341"/>
      <c r="AA80" s="341"/>
      <c r="AB80" s="341"/>
      <c r="AC80" s="341"/>
      <c r="AD80" s="341"/>
      <c r="AE80" s="31"/>
    </row>
    <row r="81" spans="1:31" ht="20.100000000000001" customHeight="1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31"/>
      <c r="W81" s="341"/>
      <c r="X81" s="341"/>
      <c r="Y81" s="341"/>
      <c r="Z81" s="341"/>
      <c r="AA81" s="341"/>
      <c r="AB81" s="341"/>
      <c r="AC81" s="341"/>
      <c r="AD81" s="341"/>
      <c r="AE81" s="31"/>
    </row>
    <row r="82" spans="1:3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41"/>
      <c r="X82" s="341"/>
      <c r="Y82" s="341"/>
      <c r="Z82" s="341"/>
      <c r="AA82" s="341"/>
      <c r="AB82" s="341"/>
      <c r="AC82" s="341"/>
      <c r="AD82" s="341"/>
      <c r="AE82" s="31"/>
    </row>
    <row r="83" spans="1:3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 t="s">
        <v>633</v>
      </c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</sheetData>
  <mergeCells count="24">
    <mergeCell ref="C43:I43"/>
    <mergeCell ref="M43:S43"/>
    <mergeCell ref="C56:I56"/>
    <mergeCell ref="M56:S56"/>
    <mergeCell ref="C69:I69"/>
    <mergeCell ref="M69:S69"/>
    <mergeCell ref="C3:I3"/>
    <mergeCell ref="M3:S3"/>
    <mergeCell ref="C16:I16"/>
    <mergeCell ref="M16:S16"/>
    <mergeCell ref="C29:I29"/>
    <mergeCell ref="M29:S29"/>
    <mergeCell ref="W1:Y1"/>
    <mergeCell ref="AA1:AC1"/>
    <mergeCell ref="W14:Y14"/>
    <mergeCell ref="AA14:AC14"/>
    <mergeCell ref="W27:Y27"/>
    <mergeCell ref="AA27:AC27"/>
    <mergeCell ref="W41:Y41"/>
    <mergeCell ref="AA41:AC41"/>
    <mergeCell ref="W54:Y54"/>
    <mergeCell ref="AA54:AC54"/>
    <mergeCell ref="W67:Y67"/>
    <mergeCell ref="AA67:AC6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6" tint="0.59999389629810485"/>
  </sheetPr>
  <dimension ref="A1:BQ86"/>
  <sheetViews>
    <sheetView tabSelected="1" zoomScaleNormal="100" workbookViewId="0">
      <selection activeCell="B1" sqref="B1:D1"/>
    </sheetView>
  </sheetViews>
  <sheetFormatPr defaultRowHeight="12.75"/>
  <cols>
    <col min="1" max="1" width="1.2851562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customWidth="1"/>
    <col min="9" max="11" width="0.85546875" customWidth="1"/>
    <col min="12" max="14" width="1.7109375" customWidth="1"/>
    <col min="15" max="15" width="1.7109375" style="54" customWidth="1"/>
    <col min="16" max="16" width="5.5703125" style="54" customWidth="1"/>
    <col min="17" max="17" width="32.42578125" bestFit="1" customWidth="1"/>
    <col min="18" max="18" width="7.85546875" bestFit="1" customWidth="1"/>
    <col min="19" max="22" width="6.140625" bestFit="1" customWidth="1"/>
    <col min="23" max="23" width="6.85546875" bestFit="1" customWidth="1"/>
    <col min="24" max="24" width="6.42578125" bestFit="1" customWidth="1"/>
    <col min="25" max="26" width="6.140625" bestFit="1" customWidth="1"/>
    <col min="27" max="36" width="7" bestFit="1" customWidth="1"/>
    <col min="37" max="37" width="32.42578125" bestFit="1" customWidth="1"/>
    <col min="38" max="38" width="7.85546875" bestFit="1" customWidth="1"/>
    <col min="39" max="42" width="6.140625" bestFit="1" customWidth="1"/>
    <col min="43" max="43" width="6.85546875" bestFit="1" customWidth="1"/>
    <col min="44" max="44" width="6.42578125" bestFit="1" customWidth="1"/>
    <col min="45" max="46" width="6.140625" bestFit="1" customWidth="1"/>
    <col min="47" max="56" width="7" bestFit="1" customWidth="1"/>
  </cols>
  <sheetData>
    <row r="1" spans="1:69" s="341" customFormat="1" ht="17.25" customHeight="1">
      <c r="A1" s="265"/>
      <c r="B1" s="458" t="s">
        <v>401</v>
      </c>
      <c r="C1" s="458"/>
      <c r="D1" s="458"/>
      <c r="E1" s="459"/>
      <c r="F1" s="460"/>
      <c r="G1" s="460"/>
      <c r="H1" s="460"/>
      <c r="I1" s="460"/>
      <c r="J1" s="460"/>
      <c r="K1" s="460"/>
      <c r="L1" s="460"/>
      <c r="M1" s="460"/>
      <c r="N1" s="266"/>
      <c r="O1" s="267"/>
      <c r="P1" s="54"/>
      <c r="Q1" s="508" t="s">
        <v>413</v>
      </c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  <c r="AI1" s="476"/>
      <c r="AJ1" s="476"/>
      <c r="AK1" s="508" t="s">
        <v>414</v>
      </c>
      <c r="AL1" s="476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76"/>
      <c r="AZ1" s="476"/>
      <c r="BA1" s="476"/>
      <c r="BB1" s="476"/>
      <c r="BC1" s="476"/>
      <c r="BD1" s="476"/>
      <c r="BE1" s="476"/>
      <c r="BF1" s="476"/>
      <c r="BG1" s="476"/>
      <c r="BH1" s="476"/>
      <c r="BI1" s="476"/>
      <c r="BJ1" s="476"/>
      <c r="BK1" s="476"/>
      <c r="BL1" s="476"/>
      <c r="BM1" s="476"/>
      <c r="BN1" s="476"/>
      <c r="BO1" s="476"/>
      <c r="BP1" s="476"/>
      <c r="BQ1" s="476"/>
    </row>
    <row r="2" spans="1:69" s="341" customFormat="1" ht="12.75" customHeight="1">
      <c r="A2" s="266"/>
      <c r="B2" s="461" t="str">
        <f>"Diagnozuotų onkologinių susirgimų skaičius ir sergamumo rodikliai Lietuvoje pagal lokalizaciją  " &amp; GrafikaiSerg!A1 &amp; " metais. Vyrai"</f>
        <v>Diagnozuotų onkologinių susirgimų skaičius ir sergamumo rodikliai Lietuvoje pagal lokalizaciją  2013 metais. Vyrai</v>
      </c>
      <c r="C2" s="460"/>
      <c r="D2" s="460"/>
      <c r="E2" s="462"/>
      <c r="F2" s="460"/>
      <c r="G2" s="460"/>
      <c r="H2" s="460"/>
      <c r="I2" s="460"/>
      <c r="J2" s="460"/>
      <c r="K2" s="460"/>
      <c r="L2" s="460"/>
      <c r="M2" s="460"/>
      <c r="N2" s="266"/>
      <c r="O2" s="267"/>
      <c r="P2" s="349"/>
      <c r="Q2" s="508"/>
      <c r="R2" s="479" t="s">
        <v>353</v>
      </c>
      <c r="S2" s="509" t="s">
        <v>357</v>
      </c>
      <c r="T2" s="509"/>
      <c r="U2" s="509"/>
      <c r="V2" s="510">
        <f>GrafikaiSerg!A1</f>
        <v>2013</v>
      </c>
      <c r="W2" s="476" t="s">
        <v>356</v>
      </c>
      <c r="X2" s="511" t="str">
        <f>CONCATENATE("pop",RIGHT(V2,2),"m")</f>
        <v>pop13m</v>
      </c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508"/>
      <c r="AL2" s="479" t="s">
        <v>353</v>
      </c>
      <c r="AM2" s="509" t="s">
        <v>357</v>
      </c>
      <c r="AN2" s="509"/>
      <c r="AO2" s="509"/>
      <c r="AP2" s="510">
        <f>V2</f>
        <v>2013</v>
      </c>
      <c r="AQ2" s="476" t="s">
        <v>356</v>
      </c>
      <c r="AR2" s="511" t="str">
        <f>X2</f>
        <v>pop13m</v>
      </c>
      <c r="AS2" s="476"/>
      <c r="AT2" s="476"/>
      <c r="AU2" s="476"/>
      <c r="AV2" s="476"/>
      <c r="AW2" s="476"/>
      <c r="AX2" s="476"/>
      <c r="AY2" s="476"/>
      <c r="AZ2" s="476"/>
      <c r="BA2" s="476"/>
      <c r="BB2" s="476"/>
      <c r="BC2" s="476"/>
      <c r="BD2" s="476"/>
      <c r="BE2" s="476"/>
      <c r="BF2" s="476"/>
      <c r="BG2" s="476"/>
      <c r="BH2" s="476"/>
      <c r="BI2" s="476"/>
      <c r="BJ2" s="476"/>
      <c r="BK2" s="476"/>
      <c r="BL2" s="476"/>
      <c r="BM2" s="476"/>
      <c r="BN2" s="476"/>
      <c r="BO2" s="476"/>
      <c r="BP2" s="476"/>
      <c r="BQ2" s="476"/>
    </row>
    <row r="3" spans="1:69" s="341" customFormat="1" ht="12.7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7"/>
      <c r="P3" s="350"/>
      <c r="Q3" s="512" t="s">
        <v>407</v>
      </c>
      <c r="R3" s="513">
        <f>SUM(S3:AJ3)</f>
        <v>100000</v>
      </c>
      <c r="S3" s="514">
        <v>8000</v>
      </c>
      <c r="T3" s="514">
        <v>7000</v>
      </c>
      <c r="U3" s="514">
        <v>7000</v>
      </c>
      <c r="V3" s="514">
        <v>7000</v>
      </c>
      <c r="W3" s="514">
        <v>7000</v>
      </c>
      <c r="X3" s="514">
        <v>7000</v>
      </c>
      <c r="Y3" s="514">
        <v>7000</v>
      </c>
      <c r="Z3" s="514">
        <v>7000</v>
      </c>
      <c r="AA3" s="514">
        <v>7000</v>
      </c>
      <c r="AB3" s="514">
        <v>7000</v>
      </c>
      <c r="AC3" s="514">
        <v>7000</v>
      </c>
      <c r="AD3" s="514">
        <v>6000</v>
      </c>
      <c r="AE3" s="514">
        <v>5000</v>
      </c>
      <c r="AF3" s="514">
        <v>4000</v>
      </c>
      <c r="AG3" s="514">
        <v>3000</v>
      </c>
      <c r="AH3" s="514">
        <v>2000</v>
      </c>
      <c r="AI3" s="514">
        <v>1000</v>
      </c>
      <c r="AJ3" s="514">
        <v>1000</v>
      </c>
      <c r="AK3" s="512" t="s">
        <v>408</v>
      </c>
      <c r="AL3" s="513">
        <f>SUM(AM3:BD3)</f>
        <v>100000</v>
      </c>
      <c r="AM3" s="511">
        <v>12000</v>
      </c>
      <c r="AN3" s="511">
        <v>10000</v>
      </c>
      <c r="AO3" s="511">
        <v>9000</v>
      </c>
      <c r="AP3" s="511">
        <v>9000</v>
      </c>
      <c r="AQ3" s="511">
        <v>8000</v>
      </c>
      <c r="AR3" s="511">
        <v>8000</v>
      </c>
      <c r="AS3" s="511">
        <v>6000</v>
      </c>
      <c r="AT3" s="511">
        <v>6000</v>
      </c>
      <c r="AU3" s="511">
        <v>6000</v>
      </c>
      <c r="AV3" s="511">
        <v>6000</v>
      </c>
      <c r="AW3" s="511">
        <v>5000</v>
      </c>
      <c r="AX3" s="511">
        <v>4000</v>
      </c>
      <c r="AY3" s="511">
        <v>4000</v>
      </c>
      <c r="AZ3" s="511">
        <v>3000</v>
      </c>
      <c r="BA3" s="511">
        <v>2000</v>
      </c>
      <c r="BB3" s="511">
        <v>1000</v>
      </c>
      <c r="BC3" s="511">
        <v>500</v>
      </c>
      <c r="BD3" s="511">
        <v>500</v>
      </c>
      <c r="BE3" s="476"/>
      <c r="BF3" s="476"/>
      <c r="BG3" s="476"/>
      <c r="BH3" s="476"/>
      <c r="BI3" s="476"/>
      <c r="BJ3" s="476"/>
      <c r="BK3" s="476"/>
      <c r="BL3" s="476"/>
      <c r="BM3" s="476"/>
      <c r="BN3" s="476"/>
      <c r="BO3" s="476"/>
      <c r="BP3" s="476"/>
      <c r="BQ3" s="476"/>
    </row>
    <row r="4" spans="1:69" s="341" customFormat="1" ht="12.75" customHeight="1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7"/>
      <c r="P4" s="350"/>
      <c r="Q4" s="511" t="s">
        <v>415</v>
      </c>
      <c r="R4" s="513">
        <f>SUM(S4:AJ4)</f>
        <v>1362443</v>
      </c>
      <c r="S4" s="515">
        <f>HLOOKUP($X$2,Populiacija!$B$1:$BB$20,2,FALSE)</f>
        <v>77450</v>
      </c>
      <c r="T4" s="515">
        <f>HLOOKUP($X$2,Populiacija!$B$1:$BB$20,3,FALSE)</f>
        <v>69004</v>
      </c>
      <c r="U4" s="515">
        <f>HLOOKUP($X$2,Populiacija!$B$1:$BB$20,4,FALSE)</f>
        <v>75796</v>
      </c>
      <c r="V4" s="515">
        <f>HLOOKUP($X$2,Populiacija!$B$1:$BB$20,5,FALSE)</f>
        <v>93604</v>
      </c>
      <c r="W4" s="515">
        <f>HLOOKUP($X$2,Populiacija!$B$1:$BB$20,6,FALSE)</f>
        <v>110043</v>
      </c>
      <c r="X4" s="515">
        <f>HLOOKUP($X$2,Populiacija!$B$1:$BB$20,7,FALSE)</f>
        <v>99495</v>
      </c>
      <c r="Y4" s="515">
        <f>HLOOKUP($X$2,Populiacija!$B$1:$BB$20,8,FALSE)</f>
        <v>88515</v>
      </c>
      <c r="Z4" s="515">
        <f>HLOOKUP($X$2,Populiacija!$B$1:$BB$20,9,FALSE)</f>
        <v>91233</v>
      </c>
      <c r="AA4" s="515">
        <f>HLOOKUP($X$2,Populiacija!$B$1:$BB$20,10,FALSE)</f>
        <v>101097</v>
      </c>
      <c r="AB4" s="515">
        <f>HLOOKUP($X$2,Populiacija!$B$1:$BB$20,11,FALSE)</f>
        <v>102448</v>
      </c>
      <c r="AC4" s="515">
        <f>HLOOKUP($X$2,Populiacija!$B$1:$BB$20,12,FALSE)</f>
        <v>110413</v>
      </c>
      <c r="AD4" s="515">
        <f>HLOOKUP($X$2,Populiacija!$B$1:$BB$20,13,FALSE)</f>
        <v>88386</v>
      </c>
      <c r="AE4" s="515">
        <f>HLOOKUP($X$2,Populiacija!$B$1:$BB$20,14,FALSE)</f>
        <v>72515</v>
      </c>
      <c r="AF4" s="515">
        <f>HLOOKUP($X$2,Populiacija!$B$1:$BB$20,15,FALSE)</f>
        <v>53668</v>
      </c>
      <c r="AG4" s="515">
        <f>HLOOKUP($X$2,Populiacija!$B$1:$BB$20,16,FALSE)</f>
        <v>51266</v>
      </c>
      <c r="AH4" s="515">
        <f>HLOOKUP($X$2,Populiacija!$B$1:$BB$20,17,FALSE)</f>
        <v>39045</v>
      </c>
      <c r="AI4" s="515">
        <f>HLOOKUP($X$2,Populiacija!$B$1:$BB$20,18,FALSE)</f>
        <v>25056</v>
      </c>
      <c r="AJ4" s="515">
        <f>HLOOKUP($X$2,Populiacija!$B$1:$BB$20,19,FALSE)</f>
        <v>13409</v>
      </c>
      <c r="AK4" s="511" t="s">
        <v>415</v>
      </c>
      <c r="AL4" s="513">
        <f>SUM(AM4:BD4)</f>
        <v>1362443</v>
      </c>
      <c r="AM4" s="515">
        <f>HLOOKUP($X$2,Populiacija!$B$1:$BB$20,2,FALSE)</f>
        <v>77450</v>
      </c>
      <c r="AN4" s="515">
        <f>HLOOKUP($X$2,Populiacija!$B$1:$BB$20,3,FALSE)</f>
        <v>69004</v>
      </c>
      <c r="AO4" s="515">
        <f>HLOOKUP($X$2,Populiacija!$B$1:$BB$20,4,FALSE)</f>
        <v>75796</v>
      </c>
      <c r="AP4" s="515">
        <f>HLOOKUP($X$2,Populiacija!$B$1:$BB$20,5,FALSE)</f>
        <v>93604</v>
      </c>
      <c r="AQ4" s="515">
        <f>HLOOKUP($X$2,Populiacija!$B$1:$BB$20,6,FALSE)</f>
        <v>110043</v>
      </c>
      <c r="AR4" s="515">
        <f>HLOOKUP($X$2,Populiacija!$B$1:$BB$20,7,FALSE)</f>
        <v>99495</v>
      </c>
      <c r="AS4" s="515">
        <f>HLOOKUP($X$2,Populiacija!$B$1:$BB$20,8,FALSE)</f>
        <v>88515</v>
      </c>
      <c r="AT4" s="515">
        <f>HLOOKUP($X$2,Populiacija!$B$1:$BB$20,9,FALSE)</f>
        <v>91233</v>
      </c>
      <c r="AU4" s="515">
        <f>HLOOKUP($X$2,Populiacija!$B$1:$BB$20,10,FALSE)</f>
        <v>101097</v>
      </c>
      <c r="AV4" s="515">
        <f>HLOOKUP($X$2,Populiacija!$B$1:$BB$20,11,FALSE)</f>
        <v>102448</v>
      </c>
      <c r="AW4" s="515">
        <f>HLOOKUP($X$2,Populiacija!$B$1:$BB$20,12,FALSE)</f>
        <v>110413</v>
      </c>
      <c r="AX4" s="515">
        <f>HLOOKUP($X$2,Populiacija!$B$1:$BB$20,13,FALSE)</f>
        <v>88386</v>
      </c>
      <c r="AY4" s="515">
        <f>HLOOKUP($X$2,Populiacija!$B$1:$BB$20,14,FALSE)</f>
        <v>72515</v>
      </c>
      <c r="AZ4" s="515">
        <f>HLOOKUP($X$2,Populiacija!$B$1:$BB$20,15,FALSE)</f>
        <v>53668</v>
      </c>
      <c r="BA4" s="515">
        <f>HLOOKUP($X$2,Populiacija!$B$1:$BB$20,16,FALSE)</f>
        <v>51266</v>
      </c>
      <c r="BB4" s="515">
        <f>HLOOKUP($X$2,Populiacija!$B$1:$BB$20,17,FALSE)</f>
        <v>39045</v>
      </c>
      <c r="BC4" s="515">
        <f>HLOOKUP($X$2,Populiacija!$B$1:$BB$20,18,FALSE)</f>
        <v>25056</v>
      </c>
      <c r="BD4" s="515">
        <f>HLOOKUP($X$2,Populiacija!$B$1:$BB$20,19,FALSE)</f>
        <v>13409</v>
      </c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</row>
    <row r="5" spans="1:69" s="341" customFormat="1" ht="12.75" customHeight="1">
      <c r="A5" s="266"/>
      <c r="B5" s="268" t="s">
        <v>636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7"/>
      <c r="P5" s="350"/>
      <c r="Q5" s="511" t="s">
        <v>452</v>
      </c>
      <c r="R5" s="513">
        <f>SUM(S5:AJ5)</f>
        <v>1595246</v>
      </c>
      <c r="S5" s="515">
        <f>HLOOKUP($X$2,Populiacija!$B$1:$BB$40,23,FALSE)</f>
        <v>73612</v>
      </c>
      <c r="T5" s="515">
        <f>HLOOKUP($X$2,Populiacija!$B$1:$BB$40,24,FALSE)</f>
        <v>65974</v>
      </c>
      <c r="U5" s="515">
        <f>HLOOKUP($X$2,Populiacija!$B$1:$BB$40,25,FALSE)</f>
        <v>71497</v>
      </c>
      <c r="V5" s="515">
        <f>HLOOKUP($X$2,Populiacija!$B$1:$BB$40,26,FALSE)</f>
        <v>88846</v>
      </c>
      <c r="W5" s="515">
        <f>HLOOKUP($X$2,Populiacija!$B$1:$BB$40,27,FALSE)</f>
        <v>103926</v>
      </c>
      <c r="X5" s="515">
        <f>HLOOKUP($X$2,Populiacija!$B$1:$BB$40,28,FALSE)</f>
        <v>95057</v>
      </c>
      <c r="Y5" s="515">
        <f>HLOOKUP($X$2,Populiacija!$B$1:$BB$40,29,FALSE)</f>
        <v>87387</v>
      </c>
      <c r="Z5" s="515">
        <f>HLOOKUP($X$2,Populiacija!$B$1:$BB$40,30,FALSE)</f>
        <v>95336</v>
      </c>
      <c r="AA5" s="515">
        <f>HLOOKUP($X$2,Populiacija!$B$1:$BB$40,31,FALSE)</f>
        <v>108432</v>
      </c>
      <c r="AB5" s="515">
        <f>HLOOKUP($X$2,Populiacija!$B$1:$BB$40,32,FALSE)</f>
        <v>112259</v>
      </c>
      <c r="AC5" s="515">
        <f>HLOOKUP($X$2,Populiacija!$B$1:$BB$40,33,FALSE)</f>
        <v>126113</v>
      </c>
      <c r="AD5" s="515">
        <f>HLOOKUP($X$2,Populiacija!$B$1:$BB$40,34,FALSE)</f>
        <v>107867</v>
      </c>
      <c r="AE5" s="515">
        <f>HLOOKUP($X$2,Populiacija!$B$1:$BB$40,35,FALSE)</f>
        <v>98916</v>
      </c>
      <c r="AF5" s="515">
        <f>HLOOKUP($X$2,Populiacija!$B$1:$BB$40,36,FALSE)</f>
        <v>83247</v>
      </c>
      <c r="AG5" s="515">
        <f>HLOOKUP($X$2,Populiacija!$B$1:$BB$40,37,FALSE)</f>
        <v>90066</v>
      </c>
      <c r="AH5" s="515">
        <f>HLOOKUP($X$2,Populiacija!$B$1:$BB$40,38,FALSE)</f>
        <v>80494</v>
      </c>
      <c r="AI5" s="515">
        <f>HLOOKUP($X$2,Populiacija!$B$1:$BB$40,39,FALSE)</f>
        <v>60795</v>
      </c>
      <c r="AJ5" s="515">
        <f>HLOOKUP($X$2,Populiacija!$B$1:$BB$40,40,FALSE)</f>
        <v>45422</v>
      </c>
      <c r="AK5" s="511" t="s">
        <v>452</v>
      </c>
      <c r="AL5" s="513">
        <f>SUM(AM5:BD5)</f>
        <v>1595246</v>
      </c>
      <c r="AM5" s="515">
        <f>HLOOKUP($X$2,Populiacija!$B$1:$BB$40,23,FALSE)</f>
        <v>73612</v>
      </c>
      <c r="AN5" s="515">
        <f>HLOOKUP($X$2,Populiacija!$B$1:$BB$40,24,FALSE)</f>
        <v>65974</v>
      </c>
      <c r="AO5" s="515">
        <f>HLOOKUP($X$2,Populiacija!$B$1:$BB$40,25,FALSE)</f>
        <v>71497</v>
      </c>
      <c r="AP5" s="515">
        <f>HLOOKUP($X$2,Populiacija!$B$1:$BB$40,26,FALSE)</f>
        <v>88846</v>
      </c>
      <c r="AQ5" s="515">
        <f>HLOOKUP($X$2,Populiacija!$B$1:$BB$40,27,FALSE)</f>
        <v>103926</v>
      </c>
      <c r="AR5" s="515">
        <f>HLOOKUP($X$2,Populiacija!$B$1:$BB$40,28,FALSE)</f>
        <v>95057</v>
      </c>
      <c r="AS5" s="515">
        <f>HLOOKUP($X$2,Populiacija!$B$1:$BB$40,29,FALSE)</f>
        <v>87387</v>
      </c>
      <c r="AT5" s="515">
        <f>HLOOKUP($X$2,Populiacija!$B$1:$BB$40,30,FALSE)</f>
        <v>95336</v>
      </c>
      <c r="AU5" s="515">
        <f>HLOOKUP($X$2,Populiacija!$B$1:$BB$40,31,FALSE)</f>
        <v>108432</v>
      </c>
      <c r="AV5" s="515">
        <f>HLOOKUP($X$2,Populiacija!$B$1:$BB$40,32,FALSE)</f>
        <v>112259</v>
      </c>
      <c r="AW5" s="515">
        <f>HLOOKUP($X$2,Populiacija!$B$1:$BB$40,33,FALSE)</f>
        <v>126113</v>
      </c>
      <c r="AX5" s="515">
        <f>HLOOKUP($X$2,Populiacija!$B$1:$BB$40,34,FALSE)</f>
        <v>107867</v>
      </c>
      <c r="AY5" s="515">
        <f>HLOOKUP($X$2,Populiacija!$B$1:$BB$40,35,FALSE)</f>
        <v>98916</v>
      </c>
      <c r="AZ5" s="515">
        <f>HLOOKUP($X$2,Populiacija!$B$1:$BB$40,36,FALSE)</f>
        <v>83247</v>
      </c>
      <c r="BA5" s="515">
        <f>HLOOKUP($X$2,Populiacija!$B$1:$BB$40,37,FALSE)</f>
        <v>90066</v>
      </c>
      <c r="BB5" s="515">
        <f>HLOOKUP($X$2,Populiacija!$B$1:$BB$40,38,FALSE)</f>
        <v>80494</v>
      </c>
      <c r="BC5" s="515">
        <f>HLOOKUP($X$2,Populiacija!$B$1:$BB$40,39,FALSE)</f>
        <v>60795</v>
      </c>
      <c r="BD5" s="515">
        <f>HLOOKUP($X$2,Populiacija!$B$1:$BB$40,40,FALSE)</f>
        <v>45422</v>
      </c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</row>
    <row r="6" spans="1:69" s="341" customFormat="1" ht="12.95" customHeight="1">
      <c r="A6" s="266"/>
      <c r="B6" s="414" t="s">
        <v>350</v>
      </c>
      <c r="C6" s="414" t="s">
        <v>243</v>
      </c>
      <c r="D6" s="417" t="s">
        <v>267</v>
      </c>
      <c r="E6" s="419" t="s">
        <v>354</v>
      </c>
      <c r="F6" s="416" t="s">
        <v>358</v>
      </c>
      <c r="G6" s="416"/>
      <c r="H6" s="269"/>
      <c r="I6" s="269"/>
      <c r="J6" s="269"/>
      <c r="K6" s="269"/>
      <c r="L6" s="269"/>
      <c r="M6" s="269"/>
      <c r="N6" s="269"/>
      <c r="O6" s="267"/>
      <c r="P6" s="351"/>
      <c r="Q6" s="511" t="s">
        <v>453</v>
      </c>
      <c r="R6" s="513">
        <f>SUM(R4:R5)</f>
        <v>2957689</v>
      </c>
      <c r="S6" s="513">
        <f t="shared" ref="S6:BD6" si="0">SUM(S4:S5)</f>
        <v>151062</v>
      </c>
      <c r="T6" s="513">
        <f t="shared" si="0"/>
        <v>134978</v>
      </c>
      <c r="U6" s="513">
        <f t="shared" si="0"/>
        <v>147293</v>
      </c>
      <c r="V6" s="513">
        <f t="shared" si="0"/>
        <v>182450</v>
      </c>
      <c r="W6" s="513">
        <f t="shared" si="0"/>
        <v>213969</v>
      </c>
      <c r="X6" s="513">
        <f t="shared" si="0"/>
        <v>194552</v>
      </c>
      <c r="Y6" s="513">
        <f t="shared" si="0"/>
        <v>175902</v>
      </c>
      <c r="Z6" s="513">
        <f t="shared" si="0"/>
        <v>186569</v>
      </c>
      <c r="AA6" s="513">
        <f t="shared" si="0"/>
        <v>209529</v>
      </c>
      <c r="AB6" s="513">
        <f t="shared" si="0"/>
        <v>214707</v>
      </c>
      <c r="AC6" s="513">
        <f t="shared" si="0"/>
        <v>236526</v>
      </c>
      <c r="AD6" s="513">
        <f t="shared" si="0"/>
        <v>196253</v>
      </c>
      <c r="AE6" s="513">
        <f t="shared" si="0"/>
        <v>171431</v>
      </c>
      <c r="AF6" s="513">
        <f t="shared" si="0"/>
        <v>136915</v>
      </c>
      <c r="AG6" s="513">
        <f t="shared" si="0"/>
        <v>141332</v>
      </c>
      <c r="AH6" s="513">
        <f t="shared" si="0"/>
        <v>119539</v>
      </c>
      <c r="AI6" s="513">
        <f t="shared" si="0"/>
        <v>85851</v>
      </c>
      <c r="AJ6" s="513">
        <f t="shared" si="0"/>
        <v>58831</v>
      </c>
      <c r="AK6" s="511" t="s">
        <v>453</v>
      </c>
      <c r="AL6" s="513">
        <f t="shared" si="0"/>
        <v>2957689</v>
      </c>
      <c r="AM6" s="513">
        <f t="shared" si="0"/>
        <v>151062</v>
      </c>
      <c r="AN6" s="513">
        <f t="shared" si="0"/>
        <v>134978</v>
      </c>
      <c r="AO6" s="513">
        <f t="shared" si="0"/>
        <v>147293</v>
      </c>
      <c r="AP6" s="513">
        <f t="shared" si="0"/>
        <v>182450</v>
      </c>
      <c r="AQ6" s="513">
        <f t="shared" si="0"/>
        <v>213969</v>
      </c>
      <c r="AR6" s="513">
        <f t="shared" si="0"/>
        <v>194552</v>
      </c>
      <c r="AS6" s="513">
        <f t="shared" si="0"/>
        <v>175902</v>
      </c>
      <c r="AT6" s="513">
        <f t="shared" si="0"/>
        <v>186569</v>
      </c>
      <c r="AU6" s="513">
        <f t="shared" si="0"/>
        <v>209529</v>
      </c>
      <c r="AV6" s="513">
        <f t="shared" si="0"/>
        <v>214707</v>
      </c>
      <c r="AW6" s="513">
        <f t="shared" si="0"/>
        <v>236526</v>
      </c>
      <c r="AX6" s="513">
        <f t="shared" si="0"/>
        <v>196253</v>
      </c>
      <c r="AY6" s="513">
        <f t="shared" si="0"/>
        <v>171431</v>
      </c>
      <c r="AZ6" s="513">
        <f t="shared" si="0"/>
        <v>136915</v>
      </c>
      <c r="BA6" s="513">
        <f t="shared" si="0"/>
        <v>141332</v>
      </c>
      <c r="BB6" s="513">
        <f t="shared" si="0"/>
        <v>119539</v>
      </c>
      <c r="BC6" s="513">
        <f t="shared" si="0"/>
        <v>85851</v>
      </c>
      <c r="BD6" s="513">
        <f t="shared" si="0"/>
        <v>58831</v>
      </c>
      <c r="BE6" s="476"/>
      <c r="BF6" s="476"/>
      <c r="BG6" s="476"/>
      <c r="BH6" s="476"/>
      <c r="BI6" s="476"/>
      <c r="BJ6" s="476"/>
      <c r="BK6" s="476"/>
      <c r="BL6" s="476"/>
      <c r="BM6" s="476"/>
      <c r="BN6" s="476"/>
      <c r="BO6" s="476"/>
      <c r="BP6" s="476"/>
      <c r="BQ6" s="476"/>
    </row>
    <row r="7" spans="1:69" s="341" customFormat="1" ht="12.95" customHeight="1" thickBot="1">
      <c r="A7" s="266"/>
      <c r="B7" s="415"/>
      <c r="C7" s="415"/>
      <c r="D7" s="418"/>
      <c r="E7" s="420"/>
      <c r="F7" s="272" t="s">
        <v>426</v>
      </c>
      <c r="G7" s="272" t="s">
        <v>427</v>
      </c>
      <c r="H7" s="269"/>
      <c r="I7" s="269"/>
      <c r="J7" s="269"/>
      <c r="K7" s="269"/>
      <c r="L7" s="269"/>
      <c r="M7" s="269"/>
      <c r="N7" s="269"/>
      <c r="O7" s="270"/>
      <c r="P7" s="352"/>
      <c r="Q7" s="511" t="s">
        <v>351</v>
      </c>
      <c r="R7" s="516"/>
      <c r="S7" s="517" t="s">
        <v>13</v>
      </c>
      <c r="T7" s="518" t="s">
        <v>11</v>
      </c>
      <c r="U7" s="518" t="s">
        <v>12</v>
      </c>
      <c r="V7" s="517" t="s">
        <v>14</v>
      </c>
      <c r="W7" s="517" t="s">
        <v>15</v>
      </c>
      <c r="X7" s="517" t="s">
        <v>16</v>
      </c>
      <c r="Y7" s="517" t="s">
        <v>158</v>
      </c>
      <c r="Z7" s="517" t="s">
        <v>17</v>
      </c>
      <c r="AA7" s="517" t="s">
        <v>18</v>
      </c>
      <c r="AB7" s="517" t="s">
        <v>19</v>
      </c>
      <c r="AC7" s="517" t="s">
        <v>20</v>
      </c>
      <c r="AD7" s="517" t="s">
        <v>21</v>
      </c>
      <c r="AE7" s="517" t="s">
        <v>159</v>
      </c>
      <c r="AF7" s="517" t="s">
        <v>160</v>
      </c>
      <c r="AG7" s="517" t="s">
        <v>161</v>
      </c>
      <c r="AH7" s="517" t="s">
        <v>162</v>
      </c>
      <c r="AI7" s="517" t="s">
        <v>22</v>
      </c>
      <c r="AJ7" s="517" t="s">
        <v>23</v>
      </c>
      <c r="AK7" s="511" t="s">
        <v>351</v>
      </c>
      <c r="AL7" s="516"/>
      <c r="AM7" s="519" t="s">
        <v>13</v>
      </c>
      <c r="AN7" s="520" t="s">
        <v>11</v>
      </c>
      <c r="AO7" s="520" t="s">
        <v>12</v>
      </c>
      <c r="AP7" s="519" t="s">
        <v>14</v>
      </c>
      <c r="AQ7" s="517" t="s">
        <v>15</v>
      </c>
      <c r="AR7" s="517" t="s">
        <v>16</v>
      </c>
      <c r="AS7" s="517" t="s">
        <v>158</v>
      </c>
      <c r="AT7" s="517" t="s">
        <v>17</v>
      </c>
      <c r="AU7" s="517" t="s">
        <v>18</v>
      </c>
      <c r="AV7" s="517" t="s">
        <v>19</v>
      </c>
      <c r="AW7" s="517" t="s">
        <v>20</v>
      </c>
      <c r="AX7" s="517" t="s">
        <v>21</v>
      </c>
      <c r="AY7" s="517" t="s">
        <v>159</v>
      </c>
      <c r="AZ7" s="517" t="s">
        <v>160</v>
      </c>
      <c r="BA7" s="517" t="s">
        <v>161</v>
      </c>
      <c r="BB7" s="517" t="s">
        <v>162</v>
      </c>
      <c r="BC7" s="517" t="s">
        <v>22</v>
      </c>
      <c r="BD7" s="517" t="s">
        <v>23</v>
      </c>
      <c r="BE7" s="476"/>
      <c r="BF7" s="476"/>
      <c r="BG7" s="476"/>
      <c r="BH7" s="476"/>
      <c r="BI7" s="476"/>
      <c r="BJ7" s="476"/>
      <c r="BK7" s="476"/>
      <c r="BL7" s="476"/>
      <c r="BM7" s="476"/>
      <c r="BN7" s="476"/>
      <c r="BO7" s="476"/>
      <c r="BP7" s="476"/>
      <c r="BQ7" s="476"/>
    </row>
    <row r="8" spans="1:69" s="341" customFormat="1" ht="12" customHeight="1" thickTop="1">
      <c r="A8" s="266"/>
      <c r="B8" s="123" t="str">
        <f>UPPER(LEFT(TRIM(Data!B5),1)) &amp; MID(TRIM(Data!B5),2,50)</f>
        <v>Piktybiniai navikai</v>
      </c>
      <c r="C8" s="123" t="str">
        <f>Data!C5</f>
        <v>C00-C96</v>
      </c>
      <c r="D8" s="124">
        <f>Data!D5+Data!BQ5</f>
        <v>17835</v>
      </c>
      <c r="E8" s="125">
        <f t="shared" ref="E8:E9" si="1">D8/$R$6*100000</f>
        <v>603.004575531775</v>
      </c>
      <c r="F8" s="126">
        <f>R8/$R$3</f>
        <v>441.05173562796591</v>
      </c>
      <c r="G8" s="127">
        <f t="shared" ref="G8:G9" si="2">AL8/$AL$3</f>
        <v>314.66098643289899</v>
      </c>
      <c r="H8" s="271"/>
      <c r="I8" s="271"/>
      <c r="J8" s="271"/>
      <c r="K8" s="271"/>
      <c r="L8" s="271"/>
      <c r="M8" s="271"/>
      <c r="N8" s="271"/>
      <c r="O8" s="270"/>
      <c r="P8" s="353"/>
      <c r="Q8" s="521" t="s">
        <v>352</v>
      </c>
      <c r="R8" s="513">
        <f t="shared" ref="R8:R46" si="3">SUM(S8:AJ8)</f>
        <v>44105173.562796593</v>
      </c>
      <c r="S8" s="513">
        <f>(Data!Q5+Data!CD5)/S$6*100000*S$3</f>
        <v>142987.64745601144</v>
      </c>
      <c r="T8" s="513">
        <f>(Data!R5+Data!CE5)/T$6*100000*T$3</f>
        <v>72604.424424721059</v>
      </c>
      <c r="U8" s="513">
        <f>(Data!S5+Data!CF5)/U$6*100000*U$3</f>
        <v>109305.94121920253</v>
      </c>
      <c r="V8" s="513">
        <f>(Data!T5+Data!CG5)/V$6*100000*V$3</f>
        <v>115100.02740476842</v>
      </c>
      <c r="W8" s="513">
        <f>(Data!U5+Data!CH5)/W$6*100000*W$3</f>
        <v>160303.59538063922</v>
      </c>
      <c r="X8" s="513">
        <f>(Data!V5+Data!CI5)/X$6*100000*X$3</f>
        <v>384987.04716476827</v>
      </c>
      <c r="Y8" s="513">
        <f>(Data!W5+Data!CJ5)/Y$6*100000*Y$3</f>
        <v>688451.52414412575</v>
      </c>
      <c r="Z8" s="513">
        <f>(Data!X5+Data!CK5)/Z$6*100000*Z$3</f>
        <v>870455.43471852236</v>
      </c>
      <c r="AA8" s="513">
        <f>(Data!Y5+Data!CL5)/AA$6*100000*AA$3</f>
        <v>1576870.0275379543</v>
      </c>
      <c r="AB8" s="513">
        <f>(Data!Z5+Data!CM5)/AB$6*100000*AB$3</f>
        <v>2445192.7510514329</v>
      </c>
      <c r="AC8" s="513">
        <f>(Data!AA5+Data!CN5)/AC$6*100000*AC$3</f>
        <v>4383027.6586929131</v>
      </c>
      <c r="AD8" s="513">
        <f>(Data!AB5+Data!CO5)/AD$6*100000*AD$3</f>
        <v>5683479.9977579955</v>
      </c>
      <c r="AE8" s="513">
        <f>(Data!AC5+Data!CP5)/AE$6*100000*AE$3</f>
        <v>6763654.1815657616</v>
      </c>
      <c r="AF8" s="513">
        <f>(Data!AD5+Data!CQ5)/AF$6*100000*AF$3</f>
        <v>7184019.2820362998</v>
      </c>
      <c r="AG8" s="513">
        <f>(Data!AE5+Data!CR5)/AG$6*100000*AG$3</f>
        <v>5828828.5738544697</v>
      </c>
      <c r="AH8" s="513">
        <f>(Data!AF5+Data!CS5)/AH$6*100000*AH$3</f>
        <v>3812981.5374062024</v>
      </c>
      <c r="AI8" s="513">
        <f>(Data!AG5+Data!CT5)/AI$6*100000*AI$3</f>
        <v>1963867.6311283503</v>
      </c>
      <c r="AJ8" s="513">
        <f>(Data!AH5+Data!CU5)/AJ$6*100000*AJ$3</f>
        <v>1919056.2798524587</v>
      </c>
      <c r="AK8" s="521" t="s">
        <v>352</v>
      </c>
      <c r="AL8" s="513">
        <f t="shared" ref="AL8:AL55" si="4">SUM(AM8:BD8)</f>
        <v>31466098.643289901</v>
      </c>
      <c r="AM8" s="513">
        <f>(Data!Q5+Data!CD5)/AM$6*100000*AM$3</f>
        <v>214481.47118401717</v>
      </c>
      <c r="AN8" s="513">
        <f>(Data!R5+Data!CE5)/AN$6*100000*AN$3</f>
        <v>103720.60632103009</v>
      </c>
      <c r="AO8" s="513">
        <f>(Data!S5+Data!CF5)/AO$6*100000*AO$3</f>
        <v>140536.21013897468</v>
      </c>
      <c r="AP8" s="513">
        <f>(Data!T5+Data!CG5)/AP$6*100000*AP$3</f>
        <v>147985.74952041655</v>
      </c>
      <c r="AQ8" s="513">
        <f>(Data!U5+Data!CH5)/AQ$6*100000*AQ$3</f>
        <v>183204.10900644484</v>
      </c>
      <c r="AR8" s="513">
        <f>(Data!V5+Data!CI5)/AR$6*100000*AR$3</f>
        <v>439985.19675973518</v>
      </c>
      <c r="AS8" s="513">
        <f>(Data!W5+Data!CJ5)/AS$6*100000*AS$3</f>
        <v>590101.3064092506</v>
      </c>
      <c r="AT8" s="513">
        <f>(Data!X5+Data!CK5)/AT$6*100000*AT$3</f>
        <v>746104.65833016194</v>
      </c>
      <c r="AU8" s="513">
        <f>(Data!Y5+Data!CL5)/AU$6*100000*AU$3</f>
        <v>1351602.8807468179</v>
      </c>
      <c r="AV8" s="513">
        <f>(Data!Z5+Data!CM5)/AV$6*100000*AV$3</f>
        <v>2095879.500901228</v>
      </c>
      <c r="AW8" s="513">
        <f>(Data!AA5+Data!CN5)/AW$6*100000*AW$3</f>
        <v>3130734.0419235094</v>
      </c>
      <c r="AX8" s="513">
        <f>(Data!AB5+Data!CO5)/AX$6*100000*AX$3</f>
        <v>3788986.6651719972</v>
      </c>
      <c r="AY8" s="513">
        <f>(Data!AC5+Data!CP5)/AY$6*100000*AY$3</f>
        <v>5410923.3452526098</v>
      </c>
      <c r="AZ8" s="513">
        <f>(Data!AD5+Data!CQ5)/AZ$6*100000*AZ$3</f>
        <v>5388014.4615272246</v>
      </c>
      <c r="BA8" s="513">
        <f>(Data!AE5+Data!CR5)/BA$6*100000*BA$3</f>
        <v>3885885.71590298</v>
      </c>
      <c r="BB8" s="513">
        <f>(Data!AF5+Data!CS5)/BB$6*100000*BB$3</f>
        <v>1906490.7687031012</v>
      </c>
      <c r="BC8" s="513">
        <f>(Data!AG5+Data!CT5)/BC$6*100000*BC$3</f>
        <v>981933.81556417514</v>
      </c>
      <c r="BD8" s="513">
        <f>(Data!AH5+Data!CU5)/BD$6*100000*BD$3</f>
        <v>959528.13992622937</v>
      </c>
      <c r="BE8" s="476"/>
      <c r="BF8" s="476"/>
      <c r="BG8" s="476"/>
      <c r="BH8" s="476"/>
      <c r="BI8" s="476"/>
      <c r="BJ8" s="476"/>
      <c r="BK8" s="476"/>
      <c r="BL8" s="476"/>
      <c r="BM8" s="476"/>
      <c r="BN8" s="476"/>
      <c r="BO8" s="476"/>
      <c r="BP8" s="476"/>
      <c r="BQ8" s="476"/>
    </row>
    <row r="9" spans="1:69" s="341" customFormat="1" ht="12" customHeight="1">
      <c r="A9" s="266"/>
      <c r="B9" s="273" t="str">
        <f>UPPER(LEFT(TRIM(Data!B6),1)) &amp; MID(TRIM(Data!B6),2,50)</f>
        <v>Lūpos</v>
      </c>
      <c r="C9" s="273" t="str">
        <f>Data!C6</f>
        <v>C00</v>
      </c>
      <c r="D9" s="274">
        <f>Data!D6+Data!BQ6</f>
        <v>41</v>
      </c>
      <c r="E9" s="275">
        <f t="shared" si="1"/>
        <v>1.3862174150155746</v>
      </c>
      <c r="F9" s="276">
        <f>R9/$R$3</f>
        <v>0.7872688032301931</v>
      </c>
      <c r="G9" s="276">
        <f t="shared" si="2"/>
        <v>0.50261613749467304</v>
      </c>
      <c r="H9" s="271"/>
      <c r="I9" s="271"/>
      <c r="J9" s="271"/>
      <c r="K9" s="271"/>
      <c r="L9" s="271"/>
      <c r="M9" s="271"/>
      <c r="N9" s="271"/>
      <c r="O9" s="270"/>
      <c r="P9" s="354"/>
      <c r="Q9" s="521" t="s">
        <v>352</v>
      </c>
      <c r="R9" s="513">
        <f t="shared" si="3"/>
        <v>78726.880323019315</v>
      </c>
      <c r="S9" s="513">
        <f>(Data!Q6+Data!CD6)/S$6*100000*S$3</f>
        <v>0</v>
      </c>
      <c r="T9" s="513">
        <f>(Data!R6+Data!CE6)/T$6*100000*T$3</f>
        <v>0</v>
      </c>
      <c r="U9" s="513">
        <f>(Data!S6+Data!CF6)/U$6*100000*U$3</f>
        <v>0</v>
      </c>
      <c r="V9" s="513">
        <f>(Data!T6+Data!CG6)/V$6*100000*V$3</f>
        <v>0</v>
      </c>
      <c r="W9" s="513">
        <f>(Data!U6+Data!CH6)/W$6*100000*W$3</f>
        <v>0</v>
      </c>
      <c r="X9" s="513">
        <f>(Data!V6+Data!CI6)/X$6*100000*X$3</f>
        <v>0</v>
      </c>
      <c r="Y9" s="513">
        <f>(Data!W6+Data!CJ6)/Y$6*100000*Y$3</f>
        <v>0</v>
      </c>
      <c r="Z9" s="513">
        <f>(Data!X6+Data!CK6)/Z$6*100000*Z$3</f>
        <v>3751.9630806832861</v>
      </c>
      <c r="AA9" s="513">
        <f>(Data!Y6+Data!CL6)/AA$6*100000*AA$3</f>
        <v>3340.8263295295642</v>
      </c>
      <c r="AB9" s="513">
        <f>(Data!Z6+Data!CM6)/AB$6*100000*AB$3</f>
        <v>0</v>
      </c>
      <c r="AC9" s="513">
        <f>(Data!AA6+Data!CN6)/AC$6*100000*AC$3</f>
        <v>0</v>
      </c>
      <c r="AD9" s="513">
        <f>(Data!AB6+Data!CO6)/AD$6*100000*AD$3</f>
        <v>3057.2781053028489</v>
      </c>
      <c r="AE9" s="513">
        <f>(Data!AC6+Data!CP6)/AE$6*100000*AE$3</f>
        <v>5833.2506956151456</v>
      </c>
      <c r="AF9" s="513">
        <f>(Data!AD6+Data!CQ6)/AF$6*100000*AF$3</f>
        <v>11686.08260599642</v>
      </c>
      <c r="AG9" s="513">
        <f>(Data!AE6+Data!CR6)/AG$6*100000*AG$3</f>
        <v>19103.953810885007</v>
      </c>
      <c r="AH9" s="513">
        <f>(Data!AF6+Data!CS6)/AH$6*100000*AH$3</f>
        <v>11711.658956491186</v>
      </c>
      <c r="AI9" s="513">
        <f>(Data!AG6+Data!CT6)/AI$6*100000*AI$3</f>
        <v>15142.514356268417</v>
      </c>
      <c r="AJ9" s="513">
        <f>(Data!AH6+Data!CU6)/AJ$6*100000*AJ$3</f>
        <v>5099.3523822474544</v>
      </c>
      <c r="AK9" s="521" t="s">
        <v>352</v>
      </c>
      <c r="AL9" s="513">
        <f t="shared" si="4"/>
        <v>50261.613749467302</v>
      </c>
      <c r="AM9" s="513">
        <f>(Data!Q6+Data!CD6)/AM$6*100000*AM$3</f>
        <v>0</v>
      </c>
      <c r="AN9" s="513">
        <f>(Data!R6+Data!CE6)/AN$6*100000*AN$3</f>
        <v>0</v>
      </c>
      <c r="AO9" s="513">
        <f>(Data!S6+Data!CF6)/AO$6*100000*AO$3</f>
        <v>0</v>
      </c>
      <c r="AP9" s="513">
        <f>(Data!T6+Data!CG6)/AP$6*100000*AP$3</f>
        <v>0</v>
      </c>
      <c r="AQ9" s="513">
        <f>(Data!U6+Data!CH6)/AQ$6*100000*AQ$3</f>
        <v>0</v>
      </c>
      <c r="AR9" s="513">
        <f>(Data!V6+Data!CI6)/AR$6*100000*AR$3</f>
        <v>0</v>
      </c>
      <c r="AS9" s="513">
        <f>(Data!W6+Data!CJ6)/AS$6*100000*AS$3</f>
        <v>0</v>
      </c>
      <c r="AT9" s="513">
        <f>(Data!X6+Data!CK6)/AT$6*100000*AT$3</f>
        <v>3215.9683548713879</v>
      </c>
      <c r="AU9" s="513">
        <f>(Data!Y6+Data!CL6)/AU$6*100000*AU$3</f>
        <v>2863.5654253110547</v>
      </c>
      <c r="AV9" s="513">
        <f>(Data!Z6+Data!CM6)/AV$6*100000*AV$3</f>
        <v>0</v>
      </c>
      <c r="AW9" s="513">
        <f>(Data!AA6+Data!CN6)/AW$6*100000*AW$3</f>
        <v>0</v>
      </c>
      <c r="AX9" s="513">
        <f>(Data!AB6+Data!CO6)/AX$6*100000*AX$3</f>
        <v>2038.1854035352328</v>
      </c>
      <c r="AY9" s="513">
        <f>(Data!AC6+Data!CP6)/AY$6*100000*AY$3</f>
        <v>4666.6005564921161</v>
      </c>
      <c r="AZ9" s="513">
        <f>(Data!AD6+Data!CQ6)/AZ$6*100000*AZ$3</f>
        <v>8764.5619544973142</v>
      </c>
      <c r="BA9" s="513">
        <f>(Data!AE6+Data!CR6)/BA$6*100000*BA$3</f>
        <v>12735.96920725667</v>
      </c>
      <c r="BB9" s="513">
        <f>(Data!AF6+Data!CS6)/BB$6*100000*BB$3</f>
        <v>5855.8294782455932</v>
      </c>
      <c r="BC9" s="513">
        <f>(Data!AG6+Data!CT6)/BC$6*100000*BC$3</f>
        <v>7571.2571781342085</v>
      </c>
      <c r="BD9" s="513">
        <f>(Data!AH6+Data!CU6)/BD$6*100000*BD$3</f>
        <v>2549.6761911237272</v>
      </c>
      <c r="BE9" s="476"/>
      <c r="BF9" s="476"/>
      <c r="BG9" s="476"/>
      <c r="BH9" s="476"/>
      <c r="BI9" s="476"/>
      <c r="BJ9" s="476"/>
      <c r="BK9" s="476"/>
      <c r="BL9" s="476"/>
      <c r="BM9" s="476"/>
      <c r="BN9" s="476"/>
      <c r="BO9" s="476"/>
      <c r="BP9" s="476"/>
      <c r="BQ9" s="476"/>
    </row>
    <row r="10" spans="1:69" s="341" customFormat="1" ht="12" customHeight="1">
      <c r="A10" s="266"/>
      <c r="B10" s="123" t="str">
        <f>UPPER(LEFT(TRIM(Data!B7),1)) &amp; MID(TRIM(Data!B7),2,50)</f>
        <v>Burnos ertmės ir ryklės</v>
      </c>
      <c r="C10" s="123" t="str">
        <f>Data!C7</f>
        <v>C01-C14</v>
      </c>
      <c r="D10" s="124">
        <f>Data!D7+Data!BQ7</f>
        <v>317</v>
      </c>
      <c r="E10" s="125">
        <f t="shared" ref="E10:E55" si="5">D10/$R$6*100000</f>
        <v>10.717827330730175</v>
      </c>
      <c r="F10" s="126">
        <f t="shared" ref="F10:F55" si="6">R10/$R$3</f>
        <v>8.7601908052036723</v>
      </c>
      <c r="G10" s="127">
        <f t="shared" ref="G10:G55" si="7">AL10/$AL$3</f>
        <v>6.4590972203783386</v>
      </c>
      <c r="H10" s="271"/>
      <c r="I10" s="271"/>
      <c r="J10" s="271"/>
      <c r="K10" s="271"/>
      <c r="L10" s="271"/>
      <c r="M10" s="271"/>
      <c r="N10" s="271"/>
      <c r="O10" s="270"/>
      <c r="P10" s="349"/>
      <c r="Q10" s="521" t="s">
        <v>352</v>
      </c>
      <c r="R10" s="513">
        <f t="shared" si="3"/>
        <v>876019.08052036725</v>
      </c>
      <c r="S10" s="513">
        <f>(Data!Q7+Data!CD7)/S$6*100000*S$3</f>
        <v>0</v>
      </c>
      <c r="T10" s="513">
        <f>(Data!R7+Data!CE7)/T$6*100000*T$3</f>
        <v>0</v>
      </c>
      <c r="U10" s="513">
        <f>(Data!S7+Data!CF7)/U$6*100000*U$3</f>
        <v>0</v>
      </c>
      <c r="V10" s="513">
        <f>(Data!T7+Data!CG7)/V$6*100000*V$3</f>
        <v>0</v>
      </c>
      <c r="W10" s="513">
        <f>(Data!U7+Data!CH7)/W$6*100000*W$3</f>
        <v>0</v>
      </c>
      <c r="X10" s="513">
        <f>(Data!V7+Data!CI7)/X$6*100000*X$3</f>
        <v>3598.0097865866192</v>
      </c>
      <c r="Y10" s="513">
        <f>(Data!W7+Data!CJ7)/Y$6*100000*Y$3</f>
        <v>3979.488578867778</v>
      </c>
      <c r="Z10" s="513">
        <f>(Data!X7+Data!CK7)/Z$6*100000*Z$3</f>
        <v>41271.593887516145</v>
      </c>
      <c r="AA10" s="513">
        <f>(Data!Y7+Data!CL7)/AA$6*100000*AA$3</f>
        <v>46771.568613413889</v>
      </c>
      <c r="AB10" s="513">
        <f>(Data!Z7+Data!CM7)/AB$6*100000*AB$3</f>
        <v>78246.168033645852</v>
      </c>
      <c r="AC10" s="513">
        <f>(Data!AA7+Data!CN7)/AC$6*100000*AC$3</f>
        <v>97663.681793967684</v>
      </c>
      <c r="AD10" s="513">
        <f>(Data!AB7+Data!CO7)/AD$6*100000*AD$3</f>
        <v>165093.01768635382</v>
      </c>
      <c r="AE10" s="513">
        <f>(Data!AC7+Data!CP7)/AE$6*100000*AE$3</f>
        <v>174997.52086845436</v>
      </c>
      <c r="AF10" s="513">
        <f>(Data!AD7+Data!CQ7)/AF$6*100000*AF$3</f>
        <v>131468.42931745973</v>
      </c>
      <c r="AG10" s="513">
        <f>(Data!AE7+Data!CR7)/AG$6*100000*AG$3</f>
        <v>65802.507570826143</v>
      </c>
      <c r="AH10" s="513">
        <f>(Data!AF7+Data!CS7)/AH$6*100000*AH$3</f>
        <v>38481.165142756756</v>
      </c>
      <c r="AI10" s="513">
        <f>(Data!AG7+Data!CT7)/AI$6*100000*AI$3</f>
        <v>11648.087966360323</v>
      </c>
      <c r="AJ10" s="513">
        <f>(Data!AH7+Data!CU7)/AJ$6*100000*AJ$3</f>
        <v>16997.841274158181</v>
      </c>
      <c r="AK10" s="521" t="s">
        <v>352</v>
      </c>
      <c r="AL10" s="513">
        <f t="shared" si="4"/>
        <v>645909.72203783388</v>
      </c>
      <c r="AM10" s="513">
        <f>(Data!Q7+Data!CD7)/AM$6*100000*AM$3</f>
        <v>0</v>
      </c>
      <c r="AN10" s="513">
        <f>(Data!R7+Data!CE7)/AN$6*100000*AN$3</f>
        <v>0</v>
      </c>
      <c r="AO10" s="513">
        <f>(Data!S7+Data!CF7)/AO$6*100000*AO$3</f>
        <v>0</v>
      </c>
      <c r="AP10" s="513">
        <f>(Data!T7+Data!CG7)/AP$6*100000*AP$3</f>
        <v>0</v>
      </c>
      <c r="AQ10" s="513">
        <f>(Data!U7+Data!CH7)/AQ$6*100000*AQ$3</f>
        <v>0</v>
      </c>
      <c r="AR10" s="513">
        <f>(Data!V7+Data!CI7)/AR$6*100000*AR$3</f>
        <v>4112.0111846704222</v>
      </c>
      <c r="AS10" s="513">
        <f>(Data!W7+Data!CJ7)/AS$6*100000*AS$3</f>
        <v>3410.9902104580956</v>
      </c>
      <c r="AT10" s="513">
        <f>(Data!X7+Data!CK7)/AT$6*100000*AT$3</f>
        <v>35375.651903585269</v>
      </c>
      <c r="AU10" s="513">
        <f>(Data!Y7+Data!CL7)/AU$6*100000*AU$3</f>
        <v>40089.915954354765</v>
      </c>
      <c r="AV10" s="513">
        <f>(Data!Z7+Data!CM7)/AV$6*100000*AV$3</f>
        <v>67068.144028839306</v>
      </c>
      <c r="AW10" s="513">
        <f>(Data!AA7+Data!CN7)/AW$6*100000*AW$3</f>
        <v>69759.772709976911</v>
      </c>
      <c r="AX10" s="513">
        <f>(Data!AB7+Data!CO7)/AX$6*100000*AX$3</f>
        <v>110062.01179090254</v>
      </c>
      <c r="AY10" s="513">
        <f>(Data!AC7+Data!CP7)/AY$6*100000*AY$3</f>
        <v>139998.0166947635</v>
      </c>
      <c r="AZ10" s="513">
        <f>(Data!AD7+Data!CQ7)/AZ$6*100000*AZ$3</f>
        <v>98601.321988094802</v>
      </c>
      <c r="BA10" s="513">
        <f>(Data!AE7+Data!CR7)/BA$6*100000*BA$3</f>
        <v>43868.338380550762</v>
      </c>
      <c r="BB10" s="513">
        <f>(Data!AF7+Data!CS7)/BB$6*100000*BB$3</f>
        <v>19240.582571378378</v>
      </c>
      <c r="BC10" s="513">
        <f>(Data!AG7+Data!CT7)/BC$6*100000*BC$3</f>
        <v>5824.0439831801614</v>
      </c>
      <c r="BD10" s="513">
        <f>(Data!AH7+Data!CU7)/BD$6*100000*BD$3</f>
        <v>8498.9206370790907</v>
      </c>
      <c r="BE10" s="476"/>
      <c r="BF10" s="476"/>
      <c r="BG10" s="476"/>
      <c r="BH10" s="476"/>
      <c r="BI10" s="476"/>
      <c r="BJ10" s="476"/>
      <c r="BK10" s="476"/>
      <c r="BL10" s="476"/>
      <c r="BM10" s="476"/>
      <c r="BN10" s="476"/>
      <c r="BO10" s="476"/>
      <c r="BP10" s="476"/>
      <c r="BQ10" s="476"/>
    </row>
    <row r="11" spans="1:69" s="341" customFormat="1" ht="12" customHeight="1">
      <c r="A11" s="266"/>
      <c r="B11" s="273" t="str">
        <f>UPPER(LEFT(TRIM(Data!B8),1)) &amp; MID(TRIM(Data!B8),2,50)</f>
        <v>Stemplės</v>
      </c>
      <c r="C11" s="273" t="str">
        <f>Data!C8</f>
        <v>C15</v>
      </c>
      <c r="D11" s="274">
        <f>Data!D8+Data!BQ8</f>
        <v>194</v>
      </c>
      <c r="E11" s="275">
        <f t="shared" si="5"/>
        <v>6.5591750856834503</v>
      </c>
      <c r="F11" s="276">
        <f t="shared" si="6"/>
        <v>5.046429833589027</v>
      </c>
      <c r="G11" s="276">
        <f t="shared" si="7"/>
        <v>3.5938205560425618</v>
      </c>
      <c r="H11" s="271"/>
      <c r="I11" s="271"/>
      <c r="J11" s="271"/>
      <c r="K11" s="271"/>
      <c r="L11" s="271"/>
      <c r="M11" s="271"/>
      <c r="N11" s="271"/>
      <c r="O11" s="270"/>
      <c r="P11" s="349"/>
      <c r="Q11" s="521" t="s">
        <v>352</v>
      </c>
      <c r="R11" s="513">
        <f t="shared" si="3"/>
        <v>504642.98335890268</v>
      </c>
      <c r="S11" s="513">
        <f>(Data!Q8+Data!CD8)/S$6*100000*S$3</f>
        <v>0</v>
      </c>
      <c r="T11" s="513">
        <f>(Data!R8+Data!CE8)/T$6*100000*T$3</f>
        <v>0</v>
      </c>
      <c r="U11" s="513">
        <f>(Data!S8+Data!CF8)/U$6*100000*U$3</f>
        <v>0</v>
      </c>
      <c r="V11" s="513">
        <f>(Data!T8+Data!CG8)/V$6*100000*V$3</f>
        <v>0</v>
      </c>
      <c r="W11" s="513">
        <f>(Data!U8+Data!CH8)/W$6*100000*W$3</f>
        <v>0</v>
      </c>
      <c r="X11" s="513">
        <f>(Data!V8+Data!CI8)/X$6*100000*X$3</f>
        <v>0</v>
      </c>
      <c r="Y11" s="513">
        <f>(Data!W8+Data!CJ8)/Y$6*100000*Y$3</f>
        <v>0</v>
      </c>
      <c r="Z11" s="513">
        <f>(Data!X8+Data!CK8)/Z$6*100000*Z$3</f>
        <v>3751.9630806832861</v>
      </c>
      <c r="AA11" s="513">
        <f>(Data!Y8+Data!CL8)/AA$6*100000*AA$3</f>
        <v>10022.478988588691</v>
      </c>
      <c r="AB11" s="513">
        <f>(Data!Z8+Data!CM8)/AB$6*100000*AB$3</f>
        <v>29342.313012617193</v>
      </c>
      <c r="AC11" s="513">
        <f>(Data!AA8+Data!CN8)/AC$6*100000*AC$3</f>
        <v>62149.615687070342</v>
      </c>
      <c r="AD11" s="513">
        <f>(Data!AB8+Data!CO8)/AD$6*100000*AD$3</f>
        <v>100890.17747499401</v>
      </c>
      <c r="AE11" s="513">
        <f>(Data!AC8+Data!CP8)/AE$6*100000*AE$3</f>
        <v>110831.76321668777</v>
      </c>
      <c r="AF11" s="513">
        <f>(Data!AD8+Data!CQ8)/AF$6*100000*AF$3</f>
        <v>87645.61954497316</v>
      </c>
      <c r="AG11" s="513">
        <f>(Data!AE8+Data!CR8)/AG$6*100000*AG$3</f>
        <v>38207.907621770013</v>
      </c>
      <c r="AH11" s="513">
        <f>(Data!AF8+Data!CS8)/AH$6*100000*AH$3</f>
        <v>25096.41204962397</v>
      </c>
      <c r="AI11" s="513">
        <f>(Data!AG8+Data!CT8)/AI$6*100000*AI$3</f>
        <v>16307.323152904451</v>
      </c>
      <c r="AJ11" s="513">
        <f>(Data!AH8+Data!CU8)/AJ$6*100000*AJ$3</f>
        <v>20397.409528989818</v>
      </c>
      <c r="AK11" s="521" t="s">
        <v>352</v>
      </c>
      <c r="AL11" s="513">
        <f t="shared" si="4"/>
        <v>359382.05560425617</v>
      </c>
      <c r="AM11" s="513">
        <f>(Data!Q8+Data!CD8)/AM$6*100000*AM$3</f>
        <v>0</v>
      </c>
      <c r="AN11" s="513">
        <f>(Data!R8+Data!CE8)/AN$6*100000*AN$3</f>
        <v>0</v>
      </c>
      <c r="AO11" s="513">
        <f>(Data!S8+Data!CF8)/AO$6*100000*AO$3</f>
        <v>0</v>
      </c>
      <c r="AP11" s="513">
        <f>(Data!T8+Data!CG8)/AP$6*100000*AP$3</f>
        <v>0</v>
      </c>
      <c r="AQ11" s="513">
        <f>(Data!U8+Data!CH8)/AQ$6*100000*AQ$3</f>
        <v>0</v>
      </c>
      <c r="AR11" s="513">
        <f>(Data!V8+Data!CI8)/AR$6*100000*AR$3</f>
        <v>0</v>
      </c>
      <c r="AS11" s="513">
        <f>(Data!W8+Data!CJ8)/AS$6*100000*AS$3</f>
        <v>0</v>
      </c>
      <c r="AT11" s="513">
        <f>(Data!X8+Data!CK8)/AT$6*100000*AT$3</f>
        <v>3215.9683548713879</v>
      </c>
      <c r="AU11" s="513">
        <f>(Data!Y8+Data!CL8)/AU$6*100000*AU$3</f>
        <v>8590.6962759331636</v>
      </c>
      <c r="AV11" s="513">
        <f>(Data!Z8+Data!CM8)/AV$6*100000*AV$3</f>
        <v>25150.554010814736</v>
      </c>
      <c r="AW11" s="513">
        <f>(Data!AA8+Data!CN8)/AW$6*100000*AW$3</f>
        <v>44392.582633621671</v>
      </c>
      <c r="AX11" s="513">
        <f>(Data!AB8+Data!CO8)/AX$6*100000*AX$3</f>
        <v>67260.118316662672</v>
      </c>
      <c r="AY11" s="513">
        <f>(Data!AC8+Data!CP8)/AY$6*100000*AY$3</f>
        <v>88665.410573350222</v>
      </c>
      <c r="AZ11" s="513">
        <f>(Data!AD8+Data!CQ8)/AZ$6*100000*AZ$3</f>
        <v>65734.214658729863</v>
      </c>
      <c r="BA11" s="513">
        <f>(Data!AE8+Data!CR8)/BA$6*100000*BA$3</f>
        <v>25471.938414513341</v>
      </c>
      <c r="BB11" s="513">
        <f>(Data!AF8+Data!CS8)/BB$6*100000*BB$3</f>
        <v>12548.206024811985</v>
      </c>
      <c r="BC11" s="513">
        <f>(Data!AG8+Data!CT8)/BC$6*100000*BC$3</f>
        <v>8153.6615764522257</v>
      </c>
      <c r="BD11" s="513">
        <f>(Data!AH8+Data!CU8)/BD$6*100000*BD$3</f>
        <v>10198.704764494909</v>
      </c>
      <c r="BE11" s="476"/>
      <c r="BF11" s="476"/>
      <c r="BG11" s="476"/>
      <c r="BH11" s="476"/>
      <c r="BI11" s="476"/>
      <c r="BJ11" s="476"/>
      <c r="BK11" s="476"/>
      <c r="BL11" s="476"/>
      <c r="BM11" s="476"/>
      <c r="BN11" s="476"/>
      <c r="BO11" s="476"/>
      <c r="BP11" s="476"/>
      <c r="BQ11" s="476"/>
    </row>
    <row r="12" spans="1:69" s="341" customFormat="1" ht="12" customHeight="1">
      <c r="A12" s="266"/>
      <c r="B12" s="123" t="str">
        <f>UPPER(LEFT(TRIM(Data!B9),1)) &amp; MID(TRIM(Data!B9),2,50)</f>
        <v>Skrandžio</v>
      </c>
      <c r="C12" s="123" t="str">
        <f>Data!C9</f>
        <v>C16</v>
      </c>
      <c r="D12" s="124">
        <f>Data!D9+Data!BQ9</f>
        <v>844</v>
      </c>
      <c r="E12" s="125">
        <f t="shared" si="5"/>
        <v>28.535792640808417</v>
      </c>
      <c r="F12" s="126">
        <f t="shared" si="6"/>
        <v>19.38332709934156</v>
      </c>
      <c r="G12" s="127">
        <f t="shared" si="7"/>
        <v>13.264680259289733</v>
      </c>
      <c r="H12" s="271"/>
      <c r="I12" s="271"/>
      <c r="J12" s="271"/>
      <c r="K12" s="271"/>
      <c r="L12" s="271"/>
      <c r="M12" s="271"/>
      <c r="N12" s="271"/>
      <c r="O12" s="270"/>
      <c r="P12" s="349"/>
      <c r="Q12" s="521" t="s">
        <v>352</v>
      </c>
      <c r="R12" s="513">
        <f t="shared" si="3"/>
        <v>1938332.7099341559</v>
      </c>
      <c r="S12" s="513">
        <f>(Data!Q9+Data!CD9)/S$6*100000*S$3</f>
        <v>0</v>
      </c>
      <c r="T12" s="513">
        <f>(Data!R9+Data!CE9)/T$6*100000*T$3</f>
        <v>0</v>
      </c>
      <c r="U12" s="513">
        <f>(Data!S9+Data!CF9)/U$6*100000*U$3</f>
        <v>0</v>
      </c>
      <c r="V12" s="513">
        <f>(Data!T9+Data!CG9)/V$6*100000*V$3</f>
        <v>0</v>
      </c>
      <c r="W12" s="513">
        <f>(Data!U9+Data!CH9)/W$6*100000*W$3</f>
        <v>3271.5019465436585</v>
      </c>
      <c r="X12" s="513">
        <f>(Data!V9+Data!CI9)/X$6*100000*X$3</f>
        <v>7196.0195731732383</v>
      </c>
      <c r="Y12" s="513">
        <f>(Data!W9+Data!CJ9)/Y$6*100000*Y$3</f>
        <v>31835.908630942224</v>
      </c>
      <c r="Z12" s="513">
        <f>(Data!X9+Data!CK9)/Z$6*100000*Z$3</f>
        <v>22511.778484099719</v>
      </c>
      <c r="AA12" s="513">
        <f>(Data!Y9+Data!CL9)/AA$6*100000*AA$3</f>
        <v>60134.873931532158</v>
      </c>
      <c r="AB12" s="513">
        <f>(Data!Z9+Data!CM9)/AB$6*100000*AB$3</f>
        <v>101067.96704345923</v>
      </c>
      <c r="AC12" s="513">
        <f>(Data!AA9+Data!CN9)/AC$6*100000*AC$3</f>
        <v>177570.33053448671</v>
      </c>
      <c r="AD12" s="513">
        <f>(Data!AB9+Data!CO9)/AD$6*100000*AD$3</f>
        <v>198723.07684468516</v>
      </c>
      <c r="AE12" s="513">
        <f>(Data!AC9+Data!CP9)/AE$6*100000*AE$3</f>
        <v>265412.90665048914</v>
      </c>
      <c r="AF12" s="513">
        <f>(Data!AD9+Data!CQ9)/AF$6*100000*AF$3</f>
        <v>321367.27166490158</v>
      </c>
      <c r="AG12" s="513">
        <f>(Data!AE9+Data!CR9)/AG$6*100000*AG$3</f>
        <v>254719.38414513346</v>
      </c>
      <c r="AH12" s="513">
        <f>(Data!AF9+Data!CS9)/AH$6*100000*AH$3</f>
        <v>217502.23776340779</v>
      </c>
      <c r="AI12" s="513">
        <f>(Data!AG9+Data!CT9)/AI$6*100000*AI$3</f>
        <v>144436.29078286799</v>
      </c>
      <c r="AJ12" s="513">
        <f>(Data!AH9+Data!CU9)/AJ$6*100000*AJ$3</f>
        <v>132583.16193843383</v>
      </c>
      <c r="AK12" s="521" t="s">
        <v>352</v>
      </c>
      <c r="AL12" s="513">
        <f t="shared" si="4"/>
        <v>1326468.0259289732</v>
      </c>
      <c r="AM12" s="513">
        <f>(Data!Q9+Data!CD9)/AM$6*100000*AM$3</f>
        <v>0</v>
      </c>
      <c r="AN12" s="513">
        <f>(Data!R9+Data!CE9)/AN$6*100000*AN$3</f>
        <v>0</v>
      </c>
      <c r="AO12" s="513">
        <f>(Data!S9+Data!CF9)/AO$6*100000*AO$3</f>
        <v>0</v>
      </c>
      <c r="AP12" s="513">
        <f>(Data!T9+Data!CG9)/AP$6*100000*AP$3</f>
        <v>0</v>
      </c>
      <c r="AQ12" s="513">
        <f>(Data!U9+Data!CH9)/AQ$6*100000*AQ$3</f>
        <v>3738.859367478467</v>
      </c>
      <c r="AR12" s="513">
        <f>(Data!V9+Data!CI9)/AR$6*100000*AR$3</f>
        <v>8224.0223693408443</v>
      </c>
      <c r="AS12" s="513">
        <f>(Data!W9+Data!CJ9)/AS$6*100000*AS$3</f>
        <v>27287.921683664765</v>
      </c>
      <c r="AT12" s="513">
        <f>(Data!X9+Data!CK9)/AT$6*100000*AT$3</f>
        <v>19295.810129228332</v>
      </c>
      <c r="AU12" s="513">
        <f>(Data!Y9+Data!CL9)/AU$6*100000*AU$3</f>
        <v>51544.177655598993</v>
      </c>
      <c r="AV12" s="513">
        <f>(Data!Z9+Data!CM9)/AV$6*100000*AV$3</f>
        <v>86629.686037250765</v>
      </c>
      <c r="AW12" s="513">
        <f>(Data!AA9+Data!CN9)/AW$6*100000*AW$3</f>
        <v>126835.95038177622</v>
      </c>
      <c r="AX12" s="513">
        <f>(Data!AB9+Data!CO9)/AX$6*100000*AX$3</f>
        <v>132482.05122979012</v>
      </c>
      <c r="AY12" s="513">
        <f>(Data!AC9+Data!CP9)/AY$6*100000*AY$3</f>
        <v>212330.32532039133</v>
      </c>
      <c r="AZ12" s="513">
        <f>(Data!AD9+Data!CQ9)/AZ$6*100000*AZ$3</f>
        <v>241025.4537486762</v>
      </c>
      <c r="BA12" s="513">
        <f>(Data!AE9+Data!CR9)/BA$6*100000*BA$3</f>
        <v>169812.92276342231</v>
      </c>
      <c r="BB12" s="513">
        <f>(Data!AF9+Data!CS9)/BB$6*100000*BB$3</f>
        <v>108751.11888170389</v>
      </c>
      <c r="BC12" s="513">
        <f>(Data!AG9+Data!CT9)/BC$6*100000*BC$3</f>
        <v>72218.145391433995</v>
      </c>
      <c r="BD12" s="513">
        <f>(Data!AH9+Data!CU9)/BD$6*100000*BD$3</f>
        <v>66291.580969216913</v>
      </c>
      <c r="BE12" s="476"/>
      <c r="BF12" s="476"/>
      <c r="BG12" s="476"/>
      <c r="BH12" s="476"/>
      <c r="BI12" s="476"/>
      <c r="BJ12" s="476"/>
      <c r="BK12" s="476"/>
      <c r="BL12" s="476"/>
      <c r="BM12" s="476"/>
      <c r="BN12" s="476"/>
      <c r="BO12" s="476"/>
      <c r="BP12" s="476"/>
      <c r="BQ12" s="476"/>
    </row>
    <row r="13" spans="1:69" s="341" customFormat="1" ht="12" customHeight="1">
      <c r="A13" s="266"/>
      <c r="B13" s="273" t="str">
        <f>UPPER(LEFT(TRIM(Data!B10),1)) &amp; MID(TRIM(Data!B10),2,50)</f>
        <v>Gaubtinės žarnos</v>
      </c>
      <c r="C13" s="273" t="str">
        <f>Data!C10</f>
        <v>C18</v>
      </c>
      <c r="D13" s="274">
        <f>Data!D10+Data!BQ10</f>
        <v>912</v>
      </c>
      <c r="E13" s="275">
        <f t="shared" si="5"/>
        <v>30.834884938883029</v>
      </c>
      <c r="F13" s="276">
        <f t="shared" si="6"/>
        <v>20.39782358998151</v>
      </c>
      <c r="G13" s="276">
        <f t="shared" si="7"/>
        <v>13.69200347333671</v>
      </c>
      <c r="H13" s="271"/>
      <c r="I13" s="271"/>
      <c r="J13" s="271"/>
      <c r="K13" s="271"/>
      <c r="L13" s="271"/>
      <c r="M13" s="271"/>
      <c r="N13" s="271"/>
      <c r="O13" s="270"/>
      <c r="P13" s="349"/>
      <c r="Q13" s="521" t="s">
        <v>352</v>
      </c>
      <c r="R13" s="513">
        <f t="shared" si="3"/>
        <v>2039782.358998151</v>
      </c>
      <c r="S13" s="513">
        <f>(Data!Q10+Data!CD10)/S$6*100000*S$3</f>
        <v>0</v>
      </c>
      <c r="T13" s="513">
        <f>(Data!R10+Data!CE10)/T$6*100000*T$3</f>
        <v>0</v>
      </c>
      <c r="U13" s="513">
        <f>(Data!S10+Data!CF10)/U$6*100000*U$3</f>
        <v>0</v>
      </c>
      <c r="V13" s="513">
        <f>(Data!T10+Data!CG10)/V$6*100000*V$3</f>
        <v>0</v>
      </c>
      <c r="W13" s="513">
        <f>(Data!U10+Data!CH10)/W$6*100000*W$3</f>
        <v>3271.5019465436585</v>
      </c>
      <c r="X13" s="513">
        <f>(Data!V10+Data!CI10)/X$6*100000*X$3</f>
        <v>3598.0097865866192</v>
      </c>
      <c r="Y13" s="513">
        <f>(Data!W10+Data!CJ10)/Y$6*100000*Y$3</f>
        <v>19897.442894338892</v>
      </c>
      <c r="Z13" s="513">
        <f>(Data!X10+Data!CK10)/Z$6*100000*Z$3</f>
        <v>7503.9261613665722</v>
      </c>
      <c r="AA13" s="513">
        <f>(Data!Y10+Data!CL10)/AA$6*100000*AA$3</f>
        <v>36749.089624825203</v>
      </c>
      <c r="AB13" s="513">
        <f>(Data!Z10+Data!CM10)/AB$6*100000*AB$3</f>
        <v>58684.626025234385</v>
      </c>
      <c r="AC13" s="513">
        <f>(Data!AA10+Data!CN10)/AC$6*100000*AC$3</f>
        <v>168691.81400776235</v>
      </c>
      <c r="AD13" s="513">
        <f>(Data!AB10+Data!CO10)/AD$6*100000*AD$3</f>
        <v>214009.46737119943</v>
      </c>
      <c r="AE13" s="513">
        <f>(Data!AC10+Data!CP10)/AE$6*100000*AE$3</f>
        <v>253746.40525925884</v>
      </c>
      <c r="AF13" s="513">
        <f>(Data!AD10+Data!CQ10)/AF$6*100000*AF$3</f>
        <v>394405.28795237927</v>
      </c>
      <c r="AG13" s="513">
        <f>(Data!AE10+Data!CR10)/AG$6*100000*AG$3</f>
        <v>326889.87631958793</v>
      </c>
      <c r="AH13" s="513">
        <f>(Data!AF10+Data!CS10)/AH$6*100000*AH$3</f>
        <v>245944.83808631491</v>
      </c>
      <c r="AI13" s="513">
        <f>(Data!AG10+Data!CT10)/AI$6*100000*AI$3</f>
        <v>161908.42273240848</v>
      </c>
      <c r="AJ13" s="513">
        <f>(Data!AH10+Data!CU10)/AJ$6*100000*AJ$3</f>
        <v>144481.65083034453</v>
      </c>
      <c r="AK13" s="521" t="s">
        <v>352</v>
      </c>
      <c r="AL13" s="513">
        <f t="shared" si="4"/>
        <v>1369200.3473336711</v>
      </c>
      <c r="AM13" s="513">
        <f>(Data!Q10+Data!CD10)/AM$6*100000*AM$3</f>
        <v>0</v>
      </c>
      <c r="AN13" s="513">
        <f>(Data!R10+Data!CE10)/AN$6*100000*AN$3</f>
        <v>0</v>
      </c>
      <c r="AO13" s="513">
        <f>(Data!S10+Data!CF10)/AO$6*100000*AO$3</f>
        <v>0</v>
      </c>
      <c r="AP13" s="513">
        <f>(Data!T10+Data!CG10)/AP$6*100000*AP$3</f>
        <v>0</v>
      </c>
      <c r="AQ13" s="513">
        <f>(Data!U10+Data!CH10)/AQ$6*100000*AQ$3</f>
        <v>3738.859367478467</v>
      </c>
      <c r="AR13" s="513">
        <f>(Data!V10+Data!CI10)/AR$6*100000*AR$3</f>
        <v>4112.0111846704222</v>
      </c>
      <c r="AS13" s="513">
        <f>(Data!W10+Data!CJ10)/AS$6*100000*AS$3</f>
        <v>17054.951052290478</v>
      </c>
      <c r="AT13" s="513">
        <f>(Data!X10+Data!CK10)/AT$6*100000*AT$3</f>
        <v>6431.9367097427757</v>
      </c>
      <c r="AU13" s="513">
        <f>(Data!Y10+Data!CL10)/AU$6*100000*AU$3</f>
        <v>31499.219678421603</v>
      </c>
      <c r="AV13" s="513">
        <f>(Data!Z10+Data!CM10)/AV$6*100000*AV$3</f>
        <v>50301.108021629472</v>
      </c>
      <c r="AW13" s="513">
        <f>(Data!AA10+Data!CN10)/AW$6*100000*AW$3</f>
        <v>120494.15286268741</v>
      </c>
      <c r="AX13" s="513">
        <f>(Data!AB10+Data!CO10)/AX$6*100000*AX$3</f>
        <v>142672.97824746629</v>
      </c>
      <c r="AY13" s="513">
        <f>(Data!AC10+Data!CP10)/AY$6*100000*AY$3</f>
        <v>202997.12420740706</v>
      </c>
      <c r="AZ13" s="513">
        <f>(Data!AD10+Data!CQ10)/AZ$6*100000*AZ$3</f>
        <v>295803.96596428443</v>
      </c>
      <c r="BA13" s="513">
        <f>(Data!AE10+Data!CR10)/BA$6*100000*BA$3</f>
        <v>217926.58421305861</v>
      </c>
      <c r="BB13" s="513">
        <f>(Data!AF10+Data!CS10)/BB$6*100000*BB$3</f>
        <v>122972.41904315745</v>
      </c>
      <c r="BC13" s="513">
        <f>(Data!AG10+Data!CT10)/BC$6*100000*BC$3</f>
        <v>80954.211366204239</v>
      </c>
      <c r="BD13" s="513">
        <f>(Data!AH10+Data!CU10)/BD$6*100000*BD$3</f>
        <v>72240.825415172265</v>
      </c>
      <c r="BE13" s="476"/>
      <c r="BF13" s="476"/>
      <c r="BG13" s="476"/>
      <c r="BH13" s="476"/>
      <c r="BI13" s="476"/>
      <c r="BJ13" s="476"/>
      <c r="BK13" s="476"/>
      <c r="BL13" s="476"/>
      <c r="BM13" s="476"/>
      <c r="BN13" s="476"/>
      <c r="BO13" s="476"/>
      <c r="BP13" s="476"/>
      <c r="BQ13" s="476"/>
    </row>
    <row r="14" spans="1:69" s="341" customFormat="1" ht="12" customHeight="1">
      <c r="A14" s="266"/>
      <c r="B14" s="123" t="str">
        <f>UPPER(LEFT(TRIM(Data!B11),1)) &amp; MID(TRIM(Data!B11),2,50)</f>
        <v>Tiesiosios žarnos, išangės</v>
      </c>
      <c r="C14" s="123" t="str">
        <f>Data!C11</f>
        <v>C19-C21</v>
      </c>
      <c r="D14" s="124">
        <f>Data!D11+Data!BQ11</f>
        <v>710</v>
      </c>
      <c r="E14" s="125">
        <f t="shared" si="5"/>
        <v>24.005228406367269</v>
      </c>
      <c r="F14" s="126">
        <f t="shared" si="6"/>
        <v>16.56650078931121</v>
      </c>
      <c r="G14" s="127">
        <f t="shared" si="7"/>
        <v>11.356751103159016</v>
      </c>
      <c r="H14" s="271"/>
      <c r="I14" s="271"/>
      <c r="J14" s="271"/>
      <c r="K14" s="271"/>
      <c r="L14" s="271"/>
      <c r="M14" s="271"/>
      <c r="N14" s="271"/>
      <c r="O14" s="270"/>
      <c r="P14" s="349"/>
      <c r="Q14" s="521" t="s">
        <v>352</v>
      </c>
      <c r="R14" s="513">
        <f t="shared" si="3"/>
        <v>1656650.0789311209</v>
      </c>
      <c r="S14" s="513">
        <f>(Data!Q11+Data!CD11)/S$6*100000*S$3</f>
        <v>0</v>
      </c>
      <c r="T14" s="513">
        <f>(Data!R11+Data!CE11)/T$6*100000*T$3</f>
        <v>0</v>
      </c>
      <c r="U14" s="513">
        <f>(Data!S11+Data!CF11)/U$6*100000*U$3</f>
        <v>0</v>
      </c>
      <c r="V14" s="513">
        <f>(Data!T11+Data!CG11)/V$6*100000*V$3</f>
        <v>0</v>
      </c>
      <c r="W14" s="513">
        <f>(Data!U11+Data!CH11)/W$6*100000*W$3</f>
        <v>0</v>
      </c>
      <c r="X14" s="513">
        <f>(Data!V11+Data!CI11)/X$6*100000*X$3</f>
        <v>7196.0195731732383</v>
      </c>
      <c r="Y14" s="513">
        <f>(Data!W11+Data!CJ11)/Y$6*100000*Y$3</f>
        <v>7958.9771577355559</v>
      </c>
      <c r="Z14" s="513">
        <f>(Data!X11+Data!CK11)/Z$6*100000*Z$3</f>
        <v>18759.815403416433</v>
      </c>
      <c r="AA14" s="513">
        <f>(Data!Y11+Data!CL11)/AA$6*100000*AA$3</f>
        <v>40089.915954354765</v>
      </c>
      <c r="AB14" s="513">
        <f>(Data!Z11+Data!CM11)/AB$6*100000*AB$3</f>
        <v>84766.682036449667</v>
      </c>
      <c r="AC14" s="513">
        <f>(Data!AA11+Data!CN11)/AC$6*100000*AC$3</f>
        <v>156853.79197212993</v>
      </c>
      <c r="AD14" s="513">
        <f>(Data!AB11+Data!CO11)/AD$6*100000*AD$3</f>
        <v>192608.52063407947</v>
      </c>
      <c r="AE14" s="513">
        <f>(Data!AC11+Data!CP11)/AE$6*100000*AE$3</f>
        <v>242079.90386802854</v>
      </c>
      <c r="AF14" s="513">
        <f>(Data!AD11+Data!CQ11)/AF$6*100000*AF$3</f>
        <v>300916.62710440782</v>
      </c>
      <c r="AG14" s="513">
        <f>(Data!AE11+Data!CR11)/AG$6*100000*AG$3</f>
        <v>210143.4919197351</v>
      </c>
      <c r="AH14" s="513">
        <f>(Data!AF11+Data!CS11)/AH$6*100000*AH$3</f>
        <v>187386.54330385898</v>
      </c>
      <c r="AI14" s="513">
        <f>(Data!AG11+Data!CT11)/AI$6*100000*AI$3</f>
        <v>102503.17410397083</v>
      </c>
      <c r="AJ14" s="513">
        <f>(Data!AH11+Data!CU11)/AJ$6*100000*AJ$3</f>
        <v>105386.61589978072</v>
      </c>
      <c r="AK14" s="521" t="s">
        <v>352</v>
      </c>
      <c r="AL14" s="513">
        <f t="shared" si="4"/>
        <v>1135675.1103159017</v>
      </c>
      <c r="AM14" s="513">
        <f>(Data!Q11+Data!CD11)/AM$6*100000*AM$3</f>
        <v>0</v>
      </c>
      <c r="AN14" s="513">
        <f>(Data!R11+Data!CE11)/AN$6*100000*AN$3</f>
        <v>0</v>
      </c>
      <c r="AO14" s="513">
        <f>(Data!S11+Data!CF11)/AO$6*100000*AO$3</f>
        <v>0</v>
      </c>
      <c r="AP14" s="513">
        <f>(Data!T11+Data!CG11)/AP$6*100000*AP$3</f>
        <v>0</v>
      </c>
      <c r="AQ14" s="513">
        <f>(Data!U11+Data!CH11)/AQ$6*100000*AQ$3</f>
        <v>0</v>
      </c>
      <c r="AR14" s="513">
        <f>(Data!V11+Data!CI11)/AR$6*100000*AR$3</f>
        <v>8224.0223693408443</v>
      </c>
      <c r="AS14" s="513">
        <f>(Data!W11+Data!CJ11)/AS$6*100000*AS$3</f>
        <v>6821.9804209161912</v>
      </c>
      <c r="AT14" s="513">
        <f>(Data!X11+Data!CK11)/AT$6*100000*AT$3</f>
        <v>16079.841774356941</v>
      </c>
      <c r="AU14" s="513">
        <f>(Data!Y11+Data!CL11)/AU$6*100000*AU$3</f>
        <v>34362.785103732655</v>
      </c>
      <c r="AV14" s="513">
        <f>(Data!Z11+Data!CM11)/AV$6*100000*AV$3</f>
        <v>72657.156031242572</v>
      </c>
      <c r="AW14" s="513">
        <f>(Data!AA11+Data!CN11)/AW$6*100000*AW$3</f>
        <v>112038.42283723566</v>
      </c>
      <c r="AX14" s="513">
        <f>(Data!AB11+Data!CO11)/AX$6*100000*AX$3</f>
        <v>128405.68042271966</v>
      </c>
      <c r="AY14" s="513">
        <f>(Data!AC11+Data!CP11)/AY$6*100000*AY$3</f>
        <v>193663.92309442285</v>
      </c>
      <c r="AZ14" s="513">
        <f>(Data!AD11+Data!CQ11)/AZ$6*100000*AZ$3</f>
        <v>225687.47032830588</v>
      </c>
      <c r="BA14" s="513">
        <f>(Data!AE11+Data!CR11)/BA$6*100000*BA$3</f>
        <v>140095.6612798234</v>
      </c>
      <c r="BB14" s="513">
        <f>(Data!AF11+Data!CS11)/BB$6*100000*BB$3</f>
        <v>93693.271651929492</v>
      </c>
      <c r="BC14" s="513">
        <f>(Data!AG11+Data!CT11)/BC$6*100000*BC$3</f>
        <v>51251.587051985414</v>
      </c>
      <c r="BD14" s="513">
        <f>(Data!AH11+Data!CU11)/BD$6*100000*BD$3</f>
        <v>52693.307949890361</v>
      </c>
      <c r="BE14" s="476"/>
      <c r="BF14" s="476"/>
      <c r="BG14" s="476"/>
      <c r="BH14" s="476"/>
      <c r="BI14" s="476"/>
      <c r="BJ14" s="476"/>
      <c r="BK14" s="476"/>
      <c r="BL14" s="476"/>
      <c r="BM14" s="476"/>
      <c r="BN14" s="476"/>
      <c r="BO14" s="476"/>
      <c r="BP14" s="476"/>
      <c r="BQ14" s="476"/>
    </row>
    <row r="15" spans="1:69" s="341" customFormat="1" ht="12" customHeight="1">
      <c r="A15" s="266"/>
      <c r="B15" s="273" t="str">
        <f>UPPER(LEFT(TRIM(Data!B12),1)) &amp; MID(TRIM(Data!B12),2,50)</f>
        <v>Kepenų</v>
      </c>
      <c r="C15" s="273" t="str">
        <f>Data!C12</f>
        <v>C22</v>
      </c>
      <c r="D15" s="274">
        <f>Data!D12+Data!BQ12</f>
        <v>181</v>
      </c>
      <c r="E15" s="275">
        <f t="shared" si="5"/>
        <v>6.1196427345809514</v>
      </c>
      <c r="F15" s="276">
        <f t="shared" si="6"/>
        <v>4.3660805095694375</v>
      </c>
      <c r="G15" s="276">
        <f t="shared" si="7"/>
        <v>3.1178801063304125</v>
      </c>
      <c r="H15" s="271"/>
      <c r="I15" s="271"/>
      <c r="J15" s="271"/>
      <c r="K15" s="271"/>
      <c r="L15" s="271"/>
      <c r="M15" s="271"/>
      <c r="N15" s="271"/>
      <c r="O15" s="270"/>
      <c r="P15" s="349"/>
      <c r="Q15" s="521" t="s">
        <v>352</v>
      </c>
      <c r="R15" s="513">
        <f t="shared" si="3"/>
        <v>436608.05095694377</v>
      </c>
      <c r="S15" s="513">
        <f>(Data!Q12+Data!CD12)/S$6*100000*S$3</f>
        <v>10591.67758933418</v>
      </c>
      <c r="T15" s="513">
        <f>(Data!R12+Data!CE12)/T$6*100000*T$3</f>
        <v>0</v>
      </c>
      <c r="U15" s="513">
        <f>(Data!S12+Data!CF12)/U$6*100000*U$3</f>
        <v>4752.4322269218501</v>
      </c>
      <c r="V15" s="513">
        <f>(Data!T12+Data!CG12)/V$6*100000*V$3</f>
        <v>0</v>
      </c>
      <c r="W15" s="513">
        <f>(Data!U12+Data!CH12)/W$6*100000*W$3</f>
        <v>0</v>
      </c>
      <c r="X15" s="513">
        <f>(Data!V12+Data!CI12)/X$6*100000*X$3</f>
        <v>3598.0097865866192</v>
      </c>
      <c r="Y15" s="513">
        <f>(Data!W12+Data!CJ12)/Y$6*100000*Y$3</f>
        <v>0</v>
      </c>
      <c r="Z15" s="513">
        <f>(Data!X12+Data!CK12)/Z$6*100000*Z$3</f>
        <v>0</v>
      </c>
      <c r="AA15" s="513">
        <f>(Data!Y12+Data!CL12)/AA$6*100000*AA$3</f>
        <v>13363.305318118257</v>
      </c>
      <c r="AB15" s="513">
        <f>(Data!Z12+Data!CM12)/AB$6*100000*AB$3</f>
        <v>32602.570014019107</v>
      </c>
      <c r="AC15" s="513">
        <f>(Data!AA12+Data!CN12)/AC$6*100000*AC$3</f>
        <v>38473.571615805449</v>
      </c>
      <c r="AD15" s="513">
        <f>(Data!AB12+Data!CO12)/AD$6*100000*AD$3</f>
        <v>70317.396421965532</v>
      </c>
      <c r="AE15" s="513">
        <f>(Data!AC12+Data!CP12)/AE$6*100000*AE$3</f>
        <v>64165.757651766595</v>
      </c>
      <c r="AF15" s="513">
        <f>(Data!AD12+Data!CQ12)/AF$6*100000*AF$3</f>
        <v>43822.80977248658</v>
      </c>
      <c r="AG15" s="513">
        <f>(Data!AE12+Data!CR12)/AG$6*100000*AG$3</f>
        <v>61557.184501740579</v>
      </c>
      <c r="AH15" s="513">
        <f>(Data!AF12+Data!CS12)/AH$6*100000*AH$3</f>
        <v>43500.447552681551</v>
      </c>
      <c r="AI15" s="513">
        <f>(Data!AG12+Data!CT12)/AI$6*100000*AI$3</f>
        <v>20966.55833944858</v>
      </c>
      <c r="AJ15" s="513">
        <f>(Data!AH12+Data!CU12)/AJ$6*100000*AJ$3</f>
        <v>28896.33016606891</v>
      </c>
      <c r="AK15" s="521" t="s">
        <v>352</v>
      </c>
      <c r="AL15" s="513">
        <f t="shared" si="4"/>
        <v>311788.01063304127</v>
      </c>
      <c r="AM15" s="513">
        <f>(Data!Q12+Data!CD12)/AM$6*100000*AM$3</f>
        <v>15887.51638400127</v>
      </c>
      <c r="AN15" s="513">
        <f>(Data!R12+Data!CE12)/AN$6*100000*AN$3</f>
        <v>0</v>
      </c>
      <c r="AO15" s="513">
        <f>(Data!S12+Data!CF12)/AO$6*100000*AO$3</f>
        <v>6110.2700060423786</v>
      </c>
      <c r="AP15" s="513">
        <f>(Data!T12+Data!CG12)/AP$6*100000*AP$3</f>
        <v>0</v>
      </c>
      <c r="AQ15" s="513">
        <f>(Data!U12+Data!CH12)/AQ$6*100000*AQ$3</f>
        <v>0</v>
      </c>
      <c r="AR15" s="513">
        <f>(Data!V12+Data!CI12)/AR$6*100000*AR$3</f>
        <v>4112.0111846704222</v>
      </c>
      <c r="AS15" s="513">
        <f>(Data!W12+Data!CJ12)/AS$6*100000*AS$3</f>
        <v>0</v>
      </c>
      <c r="AT15" s="513">
        <f>(Data!X12+Data!CK12)/AT$6*100000*AT$3</f>
        <v>0</v>
      </c>
      <c r="AU15" s="513">
        <f>(Data!Y12+Data!CL12)/AU$6*100000*AU$3</f>
        <v>11454.261701244219</v>
      </c>
      <c r="AV15" s="513">
        <f>(Data!Z12+Data!CM12)/AV$6*100000*AV$3</f>
        <v>27945.06001201638</v>
      </c>
      <c r="AW15" s="513">
        <f>(Data!AA12+Data!CN12)/AW$6*100000*AW$3</f>
        <v>27481.122582718181</v>
      </c>
      <c r="AX15" s="513">
        <f>(Data!AB12+Data!CO12)/AX$6*100000*AX$3</f>
        <v>46878.264281310352</v>
      </c>
      <c r="AY15" s="513">
        <f>(Data!AC12+Data!CP12)/AY$6*100000*AY$3</f>
        <v>51332.606121413279</v>
      </c>
      <c r="AZ15" s="513">
        <f>(Data!AD12+Data!CQ12)/AZ$6*100000*AZ$3</f>
        <v>32867.107329364932</v>
      </c>
      <c r="BA15" s="513">
        <f>(Data!AE12+Data!CR12)/BA$6*100000*BA$3</f>
        <v>41038.123001160384</v>
      </c>
      <c r="BB15" s="513">
        <f>(Data!AF12+Data!CS12)/BB$6*100000*BB$3</f>
        <v>21750.223776340776</v>
      </c>
      <c r="BC15" s="513">
        <f>(Data!AG12+Data!CT12)/BC$6*100000*BC$3</f>
        <v>10483.27916972429</v>
      </c>
      <c r="BD15" s="513">
        <f>(Data!AH12+Data!CU12)/BD$6*100000*BD$3</f>
        <v>14448.165083034455</v>
      </c>
      <c r="BE15" s="476"/>
      <c r="BF15" s="476"/>
      <c r="BG15" s="476"/>
      <c r="BH15" s="476"/>
      <c r="BI15" s="476"/>
      <c r="BJ15" s="476"/>
      <c r="BK15" s="476"/>
      <c r="BL15" s="476"/>
      <c r="BM15" s="476"/>
      <c r="BN15" s="476"/>
      <c r="BO15" s="476"/>
      <c r="BP15" s="476"/>
      <c r="BQ15" s="476"/>
    </row>
    <row r="16" spans="1:69" s="341" customFormat="1" ht="12" customHeight="1">
      <c r="A16" s="266"/>
      <c r="B16" s="123" t="str">
        <f>UPPER(LEFT(TRIM(Data!B13),1)) &amp; MID(TRIM(Data!B13),2,50)</f>
        <v>Tulžies pūslės, ekstrahepatinių takų</v>
      </c>
      <c r="C16" s="123" t="str">
        <f>Data!C13</f>
        <v>C23, C24</v>
      </c>
      <c r="D16" s="124">
        <f>Data!D13+Data!BQ13</f>
        <v>118</v>
      </c>
      <c r="E16" s="125">
        <f t="shared" si="5"/>
        <v>3.9896013407765323</v>
      </c>
      <c r="F16" s="126">
        <f t="shared" si="6"/>
        <v>2.6158906345133497</v>
      </c>
      <c r="G16" s="127">
        <f t="shared" si="7"/>
        <v>1.7495819233666579</v>
      </c>
      <c r="H16" s="271"/>
      <c r="I16" s="271"/>
      <c r="J16" s="271"/>
      <c r="K16" s="271"/>
      <c r="L16" s="271"/>
      <c r="M16" s="271"/>
      <c r="N16" s="271"/>
      <c r="O16" s="270"/>
      <c r="P16" s="349"/>
      <c r="Q16" s="521" t="s">
        <v>352</v>
      </c>
      <c r="R16" s="513">
        <f t="shared" si="3"/>
        <v>261589.06345133498</v>
      </c>
      <c r="S16" s="513">
        <f>(Data!Q13+Data!CD13)/S$6*100000*S$3</f>
        <v>0</v>
      </c>
      <c r="T16" s="513">
        <f>(Data!R13+Data!CE13)/T$6*100000*T$3</f>
        <v>0</v>
      </c>
      <c r="U16" s="513">
        <f>(Data!S13+Data!CF13)/U$6*100000*U$3</f>
        <v>0</v>
      </c>
      <c r="V16" s="513">
        <f>(Data!T13+Data!CG13)/V$6*100000*V$3</f>
        <v>0</v>
      </c>
      <c r="W16" s="513">
        <f>(Data!U13+Data!CH13)/W$6*100000*W$3</f>
        <v>0</v>
      </c>
      <c r="X16" s="513">
        <f>(Data!V13+Data!CI13)/X$6*100000*X$3</f>
        <v>0</v>
      </c>
      <c r="Y16" s="513">
        <f>(Data!W13+Data!CJ13)/Y$6*100000*Y$3</f>
        <v>0</v>
      </c>
      <c r="Z16" s="513">
        <f>(Data!X13+Data!CK13)/Z$6*100000*Z$3</f>
        <v>3751.9630806832861</v>
      </c>
      <c r="AA16" s="513">
        <f>(Data!Y13+Data!CL13)/AA$6*100000*AA$3</f>
        <v>6681.6526590591284</v>
      </c>
      <c r="AB16" s="513">
        <f>(Data!Z13+Data!CM13)/AB$6*100000*AB$3</f>
        <v>6520.5140028038213</v>
      </c>
      <c r="AC16" s="513">
        <f>(Data!AA13+Data!CN13)/AC$6*100000*AC$3</f>
        <v>17757.033053448671</v>
      </c>
      <c r="AD16" s="513">
        <f>(Data!AB13+Data!CO13)/AD$6*100000*AD$3</f>
        <v>33630.059158331343</v>
      </c>
      <c r="AE16" s="513">
        <f>(Data!AC13+Data!CP13)/AE$6*100000*AE$3</f>
        <v>37916.129521498442</v>
      </c>
      <c r="AF16" s="513">
        <f>(Data!AD13+Data!CQ13)/AF$6*100000*AF$3</f>
        <v>43822.80977248658</v>
      </c>
      <c r="AG16" s="513">
        <f>(Data!AE13+Data!CR13)/AG$6*100000*AG$3</f>
        <v>38207.907621770013</v>
      </c>
      <c r="AH16" s="513">
        <f>(Data!AF13+Data!CS13)/AH$6*100000*AH$3</f>
        <v>28442.600322907168</v>
      </c>
      <c r="AI16" s="513">
        <f>(Data!AG13+Data!CT13)/AI$6*100000*AI$3</f>
        <v>24460.984729356675</v>
      </c>
      <c r="AJ16" s="513">
        <f>(Data!AH13+Data!CU13)/AJ$6*100000*AJ$3</f>
        <v>20397.409528989818</v>
      </c>
      <c r="AK16" s="521" t="s">
        <v>352</v>
      </c>
      <c r="AL16" s="513">
        <f t="shared" si="4"/>
        <v>174958.19233666579</v>
      </c>
      <c r="AM16" s="513">
        <f>(Data!Q13+Data!CD13)/AM$6*100000*AM$3</f>
        <v>0</v>
      </c>
      <c r="AN16" s="513">
        <f>(Data!R13+Data!CE13)/AN$6*100000*AN$3</f>
        <v>0</v>
      </c>
      <c r="AO16" s="513">
        <f>(Data!S13+Data!CF13)/AO$6*100000*AO$3</f>
        <v>0</v>
      </c>
      <c r="AP16" s="513">
        <f>(Data!T13+Data!CG13)/AP$6*100000*AP$3</f>
        <v>0</v>
      </c>
      <c r="AQ16" s="513">
        <f>(Data!U13+Data!CH13)/AQ$6*100000*AQ$3</f>
        <v>0</v>
      </c>
      <c r="AR16" s="513">
        <f>(Data!V13+Data!CI13)/AR$6*100000*AR$3</f>
        <v>0</v>
      </c>
      <c r="AS16" s="513">
        <f>(Data!W13+Data!CJ13)/AS$6*100000*AS$3</f>
        <v>0</v>
      </c>
      <c r="AT16" s="513">
        <f>(Data!X13+Data!CK13)/AT$6*100000*AT$3</f>
        <v>3215.9683548713879</v>
      </c>
      <c r="AU16" s="513">
        <f>(Data!Y13+Data!CL13)/AU$6*100000*AU$3</f>
        <v>5727.1308506221094</v>
      </c>
      <c r="AV16" s="513">
        <f>(Data!Z13+Data!CM13)/AV$6*100000*AV$3</f>
        <v>5589.0120024032749</v>
      </c>
      <c r="AW16" s="513">
        <f>(Data!AA13+Data!CN13)/AW$6*100000*AW$3</f>
        <v>12683.595038177622</v>
      </c>
      <c r="AX16" s="513">
        <f>(Data!AB13+Data!CO13)/AX$6*100000*AX$3</f>
        <v>22420.039438887561</v>
      </c>
      <c r="AY16" s="513">
        <f>(Data!AC13+Data!CP13)/AY$6*100000*AY$3</f>
        <v>30332.903617198757</v>
      </c>
      <c r="AZ16" s="513">
        <f>(Data!AD13+Data!CQ13)/AZ$6*100000*AZ$3</f>
        <v>32867.107329364932</v>
      </c>
      <c r="BA16" s="513">
        <f>(Data!AE13+Data!CR13)/BA$6*100000*BA$3</f>
        <v>25471.938414513341</v>
      </c>
      <c r="BB16" s="513">
        <f>(Data!AF13+Data!CS13)/BB$6*100000*BB$3</f>
        <v>14221.300161453584</v>
      </c>
      <c r="BC16" s="513">
        <f>(Data!AG13+Data!CT13)/BC$6*100000*BC$3</f>
        <v>12230.492364678337</v>
      </c>
      <c r="BD16" s="513">
        <f>(Data!AH13+Data!CU13)/BD$6*100000*BD$3</f>
        <v>10198.704764494909</v>
      </c>
      <c r="BE16" s="476"/>
      <c r="BF16" s="476"/>
      <c r="BG16" s="476"/>
      <c r="BH16" s="476"/>
      <c r="BI16" s="476"/>
      <c r="BJ16" s="476"/>
      <c r="BK16" s="476"/>
      <c r="BL16" s="476"/>
      <c r="BM16" s="476"/>
      <c r="BN16" s="476"/>
      <c r="BO16" s="476"/>
      <c r="BP16" s="476"/>
      <c r="BQ16" s="476"/>
    </row>
    <row r="17" spans="1:69" s="341" customFormat="1" ht="12" customHeight="1">
      <c r="A17" s="266"/>
      <c r="B17" s="273" t="str">
        <f>UPPER(LEFT(TRIM(Data!B14),1)) &amp; MID(TRIM(Data!B14),2,50)</f>
        <v>Kasos</v>
      </c>
      <c r="C17" s="273" t="str">
        <f>Data!C14</f>
        <v>C25</v>
      </c>
      <c r="D17" s="274">
        <f>Data!D14+Data!BQ14</f>
        <v>499</v>
      </c>
      <c r="E17" s="275">
        <f t="shared" si="5"/>
        <v>16.871280246165167</v>
      </c>
      <c r="F17" s="276">
        <f t="shared" si="6"/>
        <v>11.43341746060845</v>
      </c>
      <c r="G17" s="276">
        <f t="shared" si="7"/>
        <v>7.7682732581479268</v>
      </c>
      <c r="H17" s="271"/>
      <c r="I17" s="271"/>
      <c r="J17" s="271"/>
      <c r="K17" s="271"/>
      <c r="L17" s="271"/>
      <c r="M17" s="271"/>
      <c r="N17" s="271"/>
      <c r="O17" s="270"/>
      <c r="P17" s="349"/>
      <c r="Q17" s="521" t="s">
        <v>352</v>
      </c>
      <c r="R17" s="513">
        <f t="shared" si="3"/>
        <v>1143341.746060845</v>
      </c>
      <c r="S17" s="513">
        <f>(Data!Q14+Data!CD14)/S$6*100000*S$3</f>
        <v>0</v>
      </c>
      <c r="T17" s="513">
        <f>(Data!R14+Data!CE14)/T$6*100000*T$3</f>
        <v>0</v>
      </c>
      <c r="U17" s="513">
        <f>(Data!S14+Data!CF14)/U$6*100000*U$3</f>
        <v>0</v>
      </c>
      <c r="V17" s="513">
        <f>(Data!T14+Data!CG14)/V$6*100000*V$3</f>
        <v>0</v>
      </c>
      <c r="W17" s="513">
        <f>(Data!U14+Data!CH14)/W$6*100000*W$3</f>
        <v>0</v>
      </c>
      <c r="X17" s="513">
        <f>(Data!V14+Data!CI14)/X$6*100000*X$3</f>
        <v>0</v>
      </c>
      <c r="Y17" s="513">
        <f>(Data!W14+Data!CJ14)/Y$6*100000*Y$3</f>
        <v>11938.465736603335</v>
      </c>
      <c r="Z17" s="513">
        <f>(Data!X14+Data!CK14)/Z$6*100000*Z$3</f>
        <v>0</v>
      </c>
      <c r="AA17" s="513">
        <f>(Data!Y14+Data!CL14)/AA$6*100000*AA$3</f>
        <v>33408.263295295641</v>
      </c>
      <c r="AB17" s="513">
        <f>(Data!Z14+Data!CM14)/AB$6*100000*AB$3</f>
        <v>55424.369023832478</v>
      </c>
      <c r="AC17" s="513">
        <f>(Data!AA14+Data!CN14)/AC$6*100000*AC$3</f>
        <v>121339.72586523255</v>
      </c>
      <c r="AD17" s="513">
        <f>(Data!AB14+Data!CO14)/AD$6*100000*AD$3</f>
        <v>107004.73368559971</v>
      </c>
      <c r="AE17" s="513">
        <f>(Data!AC14+Data!CP14)/AE$6*100000*AE$3</f>
        <v>148747.8927381862</v>
      </c>
      <c r="AF17" s="513">
        <f>(Data!AD14+Data!CQ14)/AF$6*100000*AF$3</f>
        <v>186977.32169594272</v>
      </c>
      <c r="AG17" s="513">
        <f>(Data!AE14+Data!CR14)/AG$6*100000*AG$3</f>
        <v>203775.50731610676</v>
      </c>
      <c r="AH17" s="513">
        <f>(Data!AF14+Data!CS14)/AH$6*100000*AH$3</f>
        <v>125482.06024811986</v>
      </c>
      <c r="AI17" s="513">
        <f>(Data!AG14+Data!CT14)/AI$6*100000*AI$3</f>
        <v>71053.336594797962</v>
      </c>
      <c r="AJ17" s="513">
        <f>(Data!AH14+Data!CU14)/AJ$6*100000*AJ$3</f>
        <v>78190.069861127646</v>
      </c>
      <c r="AK17" s="521" t="s">
        <v>352</v>
      </c>
      <c r="AL17" s="513">
        <f t="shared" si="4"/>
        <v>776827.32581479265</v>
      </c>
      <c r="AM17" s="513">
        <f>(Data!Q14+Data!CD14)/AM$6*100000*AM$3</f>
        <v>0</v>
      </c>
      <c r="AN17" s="513">
        <f>(Data!R14+Data!CE14)/AN$6*100000*AN$3</f>
        <v>0</v>
      </c>
      <c r="AO17" s="513">
        <f>(Data!S14+Data!CF14)/AO$6*100000*AO$3</f>
        <v>0</v>
      </c>
      <c r="AP17" s="513">
        <f>(Data!T14+Data!CG14)/AP$6*100000*AP$3</f>
        <v>0</v>
      </c>
      <c r="AQ17" s="513">
        <f>(Data!U14+Data!CH14)/AQ$6*100000*AQ$3</f>
        <v>0</v>
      </c>
      <c r="AR17" s="513">
        <f>(Data!V14+Data!CI14)/AR$6*100000*AR$3</f>
        <v>0</v>
      </c>
      <c r="AS17" s="513">
        <f>(Data!W14+Data!CJ14)/AS$6*100000*AS$3</f>
        <v>10232.970631374288</v>
      </c>
      <c r="AT17" s="513">
        <f>(Data!X14+Data!CK14)/AT$6*100000*AT$3</f>
        <v>0</v>
      </c>
      <c r="AU17" s="513">
        <f>(Data!Y14+Data!CL14)/AU$6*100000*AU$3</f>
        <v>28635.654253110548</v>
      </c>
      <c r="AV17" s="513">
        <f>(Data!Z14+Data!CM14)/AV$6*100000*AV$3</f>
        <v>47506.602020427839</v>
      </c>
      <c r="AW17" s="513">
        <f>(Data!AA14+Data!CN14)/AW$6*100000*AW$3</f>
        <v>86671.23276088039</v>
      </c>
      <c r="AX17" s="513">
        <f>(Data!AB14+Data!CO14)/AX$6*100000*AX$3</f>
        <v>71336.489123733147</v>
      </c>
      <c r="AY17" s="513">
        <f>(Data!AC14+Data!CP14)/AY$6*100000*AY$3</f>
        <v>118998.31419054896</v>
      </c>
      <c r="AZ17" s="513">
        <f>(Data!AD14+Data!CQ14)/AZ$6*100000*AZ$3</f>
        <v>140232.99127195703</v>
      </c>
      <c r="BA17" s="513">
        <f>(Data!AE14+Data!CR14)/BA$6*100000*BA$3</f>
        <v>135850.33821073786</v>
      </c>
      <c r="BB17" s="513">
        <f>(Data!AF14+Data!CS14)/BB$6*100000*BB$3</f>
        <v>62741.030124059929</v>
      </c>
      <c r="BC17" s="513">
        <f>(Data!AG14+Data!CT14)/BC$6*100000*BC$3</f>
        <v>35526.668297398981</v>
      </c>
      <c r="BD17" s="513">
        <f>(Data!AH14+Data!CU14)/BD$6*100000*BD$3</f>
        <v>39095.034930563823</v>
      </c>
      <c r="BE17" s="476"/>
      <c r="BF17" s="476"/>
      <c r="BG17" s="476"/>
      <c r="BH17" s="476"/>
      <c r="BI17" s="476"/>
      <c r="BJ17" s="476"/>
      <c r="BK17" s="476"/>
      <c r="BL17" s="476"/>
      <c r="BM17" s="476"/>
      <c r="BN17" s="476"/>
      <c r="BO17" s="476"/>
      <c r="BP17" s="476"/>
      <c r="BQ17" s="476"/>
    </row>
    <row r="18" spans="1:69" s="341" customFormat="1" ht="12" customHeight="1">
      <c r="A18" s="266"/>
      <c r="B18" s="123" t="str">
        <f>UPPER(LEFT(TRIM(Data!B15),1)) &amp; MID(TRIM(Data!B15),2,50)</f>
        <v>Kitų virškinimo sistemos organų</v>
      </c>
      <c r="C18" s="123" t="str">
        <f>Data!C15</f>
        <v>C17, C26, C48</v>
      </c>
      <c r="D18" s="124">
        <f>Data!D15+Data!BQ15</f>
        <v>75</v>
      </c>
      <c r="E18" s="125">
        <f t="shared" si="5"/>
        <v>2.5357635640528802</v>
      </c>
      <c r="F18" s="126">
        <f t="shared" si="6"/>
        <v>1.8172414645795836</v>
      </c>
      <c r="G18" s="127">
        <f t="shared" si="7"/>
        <v>1.4020732538093039</v>
      </c>
      <c r="H18" s="271"/>
      <c r="I18" s="271"/>
      <c r="J18" s="271"/>
      <c r="K18" s="271"/>
      <c r="L18" s="271"/>
      <c r="M18" s="271"/>
      <c r="N18" s="271"/>
      <c r="O18" s="270"/>
      <c r="P18" s="349"/>
      <c r="Q18" s="521" t="s">
        <v>352</v>
      </c>
      <c r="R18" s="513">
        <f t="shared" si="3"/>
        <v>181724.14645795836</v>
      </c>
      <c r="S18" s="513">
        <f>(Data!Q15+Data!CD15)/S$6*100000*S$3</f>
        <v>15887.516384001272</v>
      </c>
      <c r="T18" s="513">
        <f>(Data!R15+Data!CE15)/T$6*100000*T$3</f>
        <v>5186.030316051505</v>
      </c>
      <c r="U18" s="513">
        <f>(Data!S15+Data!CF15)/U$6*100000*U$3</f>
        <v>0</v>
      </c>
      <c r="V18" s="513">
        <f>(Data!T15+Data!CG15)/V$6*100000*V$3</f>
        <v>0</v>
      </c>
      <c r="W18" s="513">
        <f>(Data!U15+Data!CH15)/W$6*100000*W$3</f>
        <v>0</v>
      </c>
      <c r="X18" s="513">
        <f>(Data!V15+Data!CI15)/X$6*100000*X$3</f>
        <v>0</v>
      </c>
      <c r="Y18" s="513">
        <f>(Data!W15+Data!CJ15)/Y$6*100000*Y$3</f>
        <v>0</v>
      </c>
      <c r="Z18" s="513">
        <f>(Data!X15+Data!CK15)/Z$6*100000*Z$3</f>
        <v>3751.9630806832861</v>
      </c>
      <c r="AA18" s="513">
        <f>(Data!Y15+Data!CL15)/AA$6*100000*AA$3</f>
        <v>16704.131647647821</v>
      </c>
      <c r="AB18" s="513">
        <f>(Data!Z15+Data!CM15)/AB$6*100000*AB$3</f>
        <v>6520.5140028038213</v>
      </c>
      <c r="AC18" s="513">
        <f>(Data!AA15+Data!CN15)/AC$6*100000*AC$3</f>
        <v>11838.022035632446</v>
      </c>
      <c r="AD18" s="513">
        <f>(Data!AB15+Data!CO15)/AD$6*100000*AD$3</f>
        <v>15286.390526514244</v>
      </c>
      <c r="AE18" s="513">
        <f>(Data!AC15+Data!CP15)/AE$6*100000*AE$3</f>
        <v>17499.752086845438</v>
      </c>
      <c r="AF18" s="513">
        <f>(Data!AD15+Data!CQ15)/AF$6*100000*AF$3</f>
        <v>23372.16521199284</v>
      </c>
      <c r="AG18" s="513">
        <f>(Data!AE15+Data!CR15)/AG$6*100000*AG$3</f>
        <v>16981.292276342228</v>
      </c>
      <c r="AH18" s="513">
        <f>(Data!AF15+Data!CS15)/AH$6*100000*AH$3</f>
        <v>21750.223776340776</v>
      </c>
      <c r="AI18" s="513">
        <f>(Data!AG15+Data!CT15)/AI$6*100000*AI$3</f>
        <v>11648.087966360323</v>
      </c>
      <c r="AJ18" s="513">
        <f>(Data!AH15+Data!CU15)/AJ$6*100000*AJ$3</f>
        <v>15298.057146742363</v>
      </c>
      <c r="AK18" s="521" t="s">
        <v>352</v>
      </c>
      <c r="AL18" s="513">
        <f t="shared" si="4"/>
        <v>140207.32538093039</v>
      </c>
      <c r="AM18" s="513">
        <f>(Data!Q15+Data!CD15)/AM$6*100000*AM$3</f>
        <v>23831.274576001906</v>
      </c>
      <c r="AN18" s="513">
        <f>(Data!R15+Data!CE15)/AN$6*100000*AN$3</f>
        <v>7408.614737216436</v>
      </c>
      <c r="AO18" s="513">
        <f>(Data!S15+Data!CF15)/AO$6*100000*AO$3</f>
        <v>0</v>
      </c>
      <c r="AP18" s="513">
        <f>(Data!T15+Data!CG15)/AP$6*100000*AP$3</f>
        <v>0</v>
      </c>
      <c r="AQ18" s="513">
        <f>(Data!U15+Data!CH15)/AQ$6*100000*AQ$3</f>
        <v>0</v>
      </c>
      <c r="AR18" s="513">
        <f>(Data!V15+Data!CI15)/AR$6*100000*AR$3</f>
        <v>0</v>
      </c>
      <c r="AS18" s="513">
        <f>(Data!W15+Data!CJ15)/AS$6*100000*AS$3</f>
        <v>0</v>
      </c>
      <c r="AT18" s="513">
        <f>(Data!X15+Data!CK15)/AT$6*100000*AT$3</f>
        <v>3215.9683548713879</v>
      </c>
      <c r="AU18" s="513">
        <f>(Data!Y15+Data!CL15)/AU$6*100000*AU$3</f>
        <v>14317.827126555274</v>
      </c>
      <c r="AV18" s="513">
        <f>(Data!Z15+Data!CM15)/AV$6*100000*AV$3</f>
        <v>5589.0120024032749</v>
      </c>
      <c r="AW18" s="513">
        <f>(Data!AA15+Data!CN15)/AW$6*100000*AW$3</f>
        <v>8455.7300254517468</v>
      </c>
      <c r="AX18" s="513">
        <f>(Data!AB15+Data!CO15)/AX$6*100000*AX$3</f>
        <v>10190.927017676164</v>
      </c>
      <c r="AY18" s="513">
        <f>(Data!AC15+Data!CP15)/AY$6*100000*AY$3</f>
        <v>13999.80166947635</v>
      </c>
      <c r="AZ18" s="513">
        <f>(Data!AD15+Data!CQ15)/AZ$6*100000*AZ$3</f>
        <v>17529.123908994628</v>
      </c>
      <c r="BA18" s="513">
        <f>(Data!AE15+Data!CR15)/BA$6*100000*BA$3</f>
        <v>11320.861517561487</v>
      </c>
      <c r="BB18" s="513">
        <f>(Data!AF15+Data!CS15)/BB$6*100000*BB$3</f>
        <v>10875.111888170388</v>
      </c>
      <c r="BC18" s="513">
        <f>(Data!AG15+Data!CT15)/BC$6*100000*BC$3</f>
        <v>5824.0439831801614</v>
      </c>
      <c r="BD18" s="513">
        <f>(Data!AH15+Data!CU15)/BD$6*100000*BD$3</f>
        <v>7649.0285733711817</v>
      </c>
      <c r="BE18" s="476"/>
      <c r="BF18" s="476"/>
      <c r="BG18" s="476"/>
      <c r="BH18" s="476"/>
      <c r="BI18" s="476"/>
      <c r="BJ18" s="476"/>
      <c r="BK18" s="476"/>
      <c r="BL18" s="476"/>
      <c r="BM18" s="476"/>
      <c r="BN18" s="476"/>
      <c r="BO18" s="476"/>
      <c r="BP18" s="476"/>
      <c r="BQ18" s="476"/>
    </row>
    <row r="19" spans="1:69" s="341" customFormat="1" ht="12" customHeight="1">
      <c r="A19" s="266"/>
      <c r="B19" s="273" t="str">
        <f>UPPER(LEFT(TRIM(Data!B16),1)) &amp; MID(TRIM(Data!B16),2,50)</f>
        <v>Nosies ertmės, vid.ausies ir ančių</v>
      </c>
      <c r="C19" s="273" t="str">
        <f>Data!C16</f>
        <v>C30, C31</v>
      </c>
      <c r="D19" s="274">
        <f>Data!D16+Data!BQ16</f>
        <v>40</v>
      </c>
      <c r="E19" s="275">
        <f t="shared" si="5"/>
        <v>1.3524072341615363</v>
      </c>
      <c r="F19" s="276">
        <f t="shared" si="6"/>
        <v>1.0511735601704664</v>
      </c>
      <c r="G19" s="276">
        <f t="shared" si="7"/>
        <v>0.7840602827327362</v>
      </c>
      <c r="H19" s="271"/>
      <c r="I19" s="271"/>
      <c r="J19" s="271"/>
      <c r="K19" s="271"/>
      <c r="L19" s="271"/>
      <c r="M19" s="271"/>
      <c r="N19" s="271"/>
      <c r="O19" s="270"/>
      <c r="P19" s="349"/>
      <c r="Q19" s="521" t="s">
        <v>352</v>
      </c>
      <c r="R19" s="513">
        <f t="shared" si="3"/>
        <v>105117.35601704664</v>
      </c>
      <c r="S19" s="513">
        <f>(Data!Q16+Data!CD16)/S$6*100000*S$3</f>
        <v>0</v>
      </c>
      <c r="T19" s="513">
        <f>(Data!R16+Data!CE16)/T$6*100000*T$3</f>
        <v>0</v>
      </c>
      <c r="U19" s="513">
        <f>(Data!S16+Data!CF16)/U$6*100000*U$3</f>
        <v>0</v>
      </c>
      <c r="V19" s="513">
        <f>(Data!T16+Data!CG16)/V$6*100000*V$3</f>
        <v>0</v>
      </c>
      <c r="W19" s="513">
        <f>(Data!U16+Data!CH16)/W$6*100000*W$3</f>
        <v>3271.5019465436585</v>
      </c>
      <c r="X19" s="513">
        <f>(Data!V16+Data!CI16)/X$6*100000*X$3</f>
        <v>0</v>
      </c>
      <c r="Y19" s="513">
        <f>(Data!W16+Data!CJ16)/Y$6*100000*Y$3</f>
        <v>0</v>
      </c>
      <c r="Z19" s="513">
        <f>(Data!X16+Data!CK16)/Z$6*100000*Z$3</f>
        <v>0</v>
      </c>
      <c r="AA19" s="513">
        <f>(Data!Y16+Data!CL16)/AA$6*100000*AA$3</f>
        <v>3340.8263295295642</v>
      </c>
      <c r="AB19" s="513">
        <f>(Data!Z16+Data!CM16)/AB$6*100000*AB$3</f>
        <v>16301.285007009554</v>
      </c>
      <c r="AC19" s="513">
        <f>(Data!AA16+Data!CN16)/AC$6*100000*AC$3</f>
        <v>11838.022035632446</v>
      </c>
      <c r="AD19" s="513">
        <f>(Data!AB16+Data!CO16)/AD$6*100000*AD$3</f>
        <v>12229.112421211395</v>
      </c>
      <c r="AE19" s="513">
        <f>(Data!AC16+Data!CP16)/AE$6*100000*AE$3</f>
        <v>17499.752086845438</v>
      </c>
      <c r="AF19" s="513">
        <f>(Data!AD16+Data!CQ16)/AF$6*100000*AF$3</f>
        <v>23372.16521199284</v>
      </c>
      <c r="AG19" s="513">
        <f>(Data!AE16+Data!CR16)/AG$6*100000*AG$3</f>
        <v>6367.9846036283361</v>
      </c>
      <c r="AH19" s="513">
        <f>(Data!AF16+Data!CS16)/AH$6*100000*AH$3</f>
        <v>1673.0941366415982</v>
      </c>
      <c r="AI19" s="513">
        <f>(Data!AG16+Data!CT16)/AI$6*100000*AI$3</f>
        <v>5824.0439831801614</v>
      </c>
      <c r="AJ19" s="513">
        <f>(Data!AH16+Data!CU16)/AJ$6*100000*AJ$3</f>
        <v>3399.5682548316368</v>
      </c>
      <c r="AK19" s="521" t="s">
        <v>352</v>
      </c>
      <c r="AL19" s="513">
        <f t="shared" si="4"/>
        <v>78406.028273273623</v>
      </c>
      <c r="AM19" s="513">
        <f>(Data!Q16+Data!CD16)/AM$6*100000*AM$3</f>
        <v>0</v>
      </c>
      <c r="AN19" s="513">
        <f>(Data!R16+Data!CE16)/AN$6*100000*AN$3</f>
        <v>0</v>
      </c>
      <c r="AO19" s="513">
        <f>(Data!S16+Data!CF16)/AO$6*100000*AO$3</f>
        <v>0</v>
      </c>
      <c r="AP19" s="513">
        <f>(Data!T16+Data!CG16)/AP$6*100000*AP$3</f>
        <v>0</v>
      </c>
      <c r="AQ19" s="513">
        <f>(Data!U16+Data!CH16)/AQ$6*100000*AQ$3</f>
        <v>3738.859367478467</v>
      </c>
      <c r="AR19" s="513">
        <f>(Data!V16+Data!CI16)/AR$6*100000*AR$3</f>
        <v>0</v>
      </c>
      <c r="AS19" s="513">
        <f>(Data!W16+Data!CJ16)/AS$6*100000*AS$3</f>
        <v>0</v>
      </c>
      <c r="AT19" s="513">
        <f>(Data!X16+Data!CK16)/AT$6*100000*AT$3</f>
        <v>0</v>
      </c>
      <c r="AU19" s="513">
        <f>(Data!Y16+Data!CL16)/AU$6*100000*AU$3</f>
        <v>2863.5654253110547</v>
      </c>
      <c r="AV19" s="513">
        <f>(Data!Z16+Data!CM16)/AV$6*100000*AV$3</f>
        <v>13972.53000600819</v>
      </c>
      <c r="AW19" s="513">
        <f>(Data!AA16+Data!CN16)/AW$6*100000*AW$3</f>
        <v>8455.7300254517468</v>
      </c>
      <c r="AX19" s="513">
        <f>(Data!AB16+Data!CO16)/AX$6*100000*AX$3</f>
        <v>8152.7416141409312</v>
      </c>
      <c r="AY19" s="513">
        <f>(Data!AC16+Data!CP16)/AY$6*100000*AY$3</f>
        <v>13999.80166947635</v>
      </c>
      <c r="AZ19" s="513">
        <f>(Data!AD16+Data!CQ16)/AZ$6*100000*AZ$3</f>
        <v>17529.123908994628</v>
      </c>
      <c r="BA19" s="513">
        <f>(Data!AE16+Data!CR16)/BA$6*100000*BA$3</f>
        <v>4245.323069085558</v>
      </c>
      <c r="BB19" s="513">
        <f>(Data!AF16+Data!CS16)/BB$6*100000*BB$3</f>
        <v>836.5470683207991</v>
      </c>
      <c r="BC19" s="513">
        <f>(Data!AG16+Data!CT16)/BC$6*100000*BC$3</f>
        <v>2912.0219915900807</v>
      </c>
      <c r="BD19" s="513">
        <f>(Data!AH16+Data!CU16)/BD$6*100000*BD$3</f>
        <v>1699.7841274158184</v>
      </c>
      <c r="BE19" s="476"/>
      <c r="BF19" s="476"/>
      <c r="BG19" s="476"/>
      <c r="BH19" s="476"/>
      <c r="BI19" s="476"/>
      <c r="BJ19" s="476"/>
      <c r="BK19" s="476"/>
      <c r="BL19" s="476"/>
      <c r="BM19" s="476"/>
      <c r="BN19" s="476"/>
      <c r="BO19" s="476"/>
      <c r="BP19" s="476"/>
      <c r="BQ19" s="476"/>
    </row>
    <row r="20" spans="1:69" s="341" customFormat="1" ht="12" customHeight="1">
      <c r="A20" s="266"/>
      <c r="B20" s="123" t="str">
        <f>UPPER(LEFT(TRIM(Data!B17),1)) &amp; MID(TRIM(Data!B17),2,50)</f>
        <v>Gerklų</v>
      </c>
      <c r="C20" s="123" t="str">
        <f>Data!C17</f>
        <v>C32</v>
      </c>
      <c r="D20" s="124">
        <f>Data!D17+Data!BQ17</f>
        <v>162</v>
      </c>
      <c r="E20" s="125">
        <f t="shared" si="5"/>
        <v>5.4772492983542218</v>
      </c>
      <c r="F20" s="126">
        <f t="shared" si="6"/>
        <v>4.296151580771844</v>
      </c>
      <c r="G20" s="127">
        <f t="shared" si="7"/>
        <v>3.0925748233127308</v>
      </c>
      <c r="H20" s="271"/>
      <c r="I20" s="271"/>
      <c r="J20" s="271"/>
      <c r="K20" s="271"/>
      <c r="L20" s="271"/>
      <c r="M20" s="271"/>
      <c r="N20" s="271"/>
      <c r="O20" s="270"/>
      <c r="P20" s="349"/>
      <c r="Q20" s="521" t="s">
        <v>352</v>
      </c>
      <c r="R20" s="513">
        <f t="shared" si="3"/>
        <v>429615.1580771844</v>
      </c>
      <c r="S20" s="513">
        <f>(Data!Q17+Data!CD17)/S$6*100000*S$3</f>
        <v>0</v>
      </c>
      <c r="T20" s="513">
        <f>(Data!R17+Data!CE17)/T$6*100000*T$3</f>
        <v>0</v>
      </c>
      <c r="U20" s="513">
        <f>(Data!S17+Data!CF17)/U$6*100000*U$3</f>
        <v>0</v>
      </c>
      <c r="V20" s="513">
        <f>(Data!T17+Data!CG17)/V$6*100000*V$3</f>
        <v>3836.6675801589472</v>
      </c>
      <c r="W20" s="513">
        <f>(Data!U17+Data!CH17)/W$6*100000*W$3</f>
        <v>0</v>
      </c>
      <c r="X20" s="513">
        <f>(Data!V17+Data!CI17)/X$6*100000*X$3</f>
        <v>0</v>
      </c>
      <c r="Y20" s="513">
        <f>(Data!W17+Data!CJ17)/Y$6*100000*Y$3</f>
        <v>3979.488578867778</v>
      </c>
      <c r="Z20" s="513">
        <f>(Data!X17+Data!CK17)/Z$6*100000*Z$3</f>
        <v>3751.9630806832861</v>
      </c>
      <c r="AA20" s="513">
        <f>(Data!Y17+Data!CL17)/AA$6*100000*AA$3</f>
        <v>13363.305318118257</v>
      </c>
      <c r="AB20" s="513">
        <f>(Data!Z17+Data!CM17)/AB$6*100000*AB$3</f>
        <v>29342.313012617193</v>
      </c>
      <c r="AC20" s="513">
        <f>(Data!AA17+Data!CN17)/AC$6*100000*AC$3</f>
        <v>38473.571615805449</v>
      </c>
      <c r="AD20" s="513">
        <f>(Data!AB17+Data!CO17)/AD$6*100000*AD$3</f>
        <v>97832.899369691164</v>
      </c>
      <c r="AE20" s="513">
        <f>(Data!AC17+Data!CP17)/AE$6*100000*AE$3</f>
        <v>84582.135086419614</v>
      </c>
      <c r="AF20" s="513">
        <f>(Data!AD17+Data!CQ17)/AF$6*100000*AF$3</f>
        <v>64273.45433298032</v>
      </c>
      <c r="AG20" s="513">
        <f>(Data!AE17+Data!CR17)/AG$6*100000*AG$3</f>
        <v>44575.892225398355</v>
      </c>
      <c r="AH20" s="513">
        <f>(Data!AF17+Data!CS17)/AH$6*100000*AH$3</f>
        <v>30115.694459548766</v>
      </c>
      <c r="AI20" s="513">
        <f>(Data!AG17+Data!CT17)/AI$6*100000*AI$3</f>
        <v>6988.8527798161922</v>
      </c>
      <c r="AJ20" s="513">
        <f>(Data!AH17+Data!CU17)/AJ$6*100000*AJ$3</f>
        <v>8498.9206370790907</v>
      </c>
      <c r="AK20" s="521" t="s">
        <v>352</v>
      </c>
      <c r="AL20" s="513">
        <f t="shared" si="4"/>
        <v>309257.48233127309</v>
      </c>
      <c r="AM20" s="513">
        <f>(Data!Q17+Data!CD17)/AM$6*100000*AM$3</f>
        <v>0</v>
      </c>
      <c r="AN20" s="513">
        <f>(Data!R17+Data!CE17)/AN$6*100000*AN$3</f>
        <v>0</v>
      </c>
      <c r="AO20" s="513">
        <f>(Data!S17+Data!CF17)/AO$6*100000*AO$3</f>
        <v>0</v>
      </c>
      <c r="AP20" s="513">
        <f>(Data!T17+Data!CG17)/AP$6*100000*AP$3</f>
        <v>4932.858317347218</v>
      </c>
      <c r="AQ20" s="513">
        <f>(Data!U17+Data!CH17)/AQ$6*100000*AQ$3</f>
        <v>0</v>
      </c>
      <c r="AR20" s="513">
        <f>(Data!V17+Data!CI17)/AR$6*100000*AR$3</f>
        <v>0</v>
      </c>
      <c r="AS20" s="513">
        <f>(Data!W17+Data!CJ17)/AS$6*100000*AS$3</f>
        <v>3410.9902104580956</v>
      </c>
      <c r="AT20" s="513">
        <f>(Data!X17+Data!CK17)/AT$6*100000*AT$3</f>
        <v>3215.9683548713879</v>
      </c>
      <c r="AU20" s="513">
        <f>(Data!Y17+Data!CL17)/AU$6*100000*AU$3</f>
        <v>11454.261701244219</v>
      </c>
      <c r="AV20" s="513">
        <f>(Data!Z17+Data!CM17)/AV$6*100000*AV$3</f>
        <v>25150.554010814736</v>
      </c>
      <c r="AW20" s="513">
        <f>(Data!AA17+Data!CN17)/AW$6*100000*AW$3</f>
        <v>27481.122582718181</v>
      </c>
      <c r="AX20" s="513">
        <f>(Data!AB17+Data!CO17)/AX$6*100000*AX$3</f>
        <v>65221.93291312745</v>
      </c>
      <c r="AY20" s="513">
        <f>(Data!AC17+Data!CP17)/AY$6*100000*AY$3</f>
        <v>67665.708069135697</v>
      </c>
      <c r="AZ20" s="513">
        <f>(Data!AD17+Data!CQ17)/AZ$6*100000*AZ$3</f>
        <v>48205.090749735238</v>
      </c>
      <c r="BA20" s="513">
        <f>(Data!AE17+Data!CR17)/BA$6*100000*BA$3</f>
        <v>29717.261483598904</v>
      </c>
      <c r="BB20" s="513">
        <f>(Data!AF17+Data!CS17)/BB$6*100000*BB$3</f>
        <v>15057.847229774383</v>
      </c>
      <c r="BC20" s="513">
        <f>(Data!AG17+Data!CT17)/BC$6*100000*BC$3</f>
        <v>3494.4263899080961</v>
      </c>
      <c r="BD20" s="513">
        <f>(Data!AH17+Data!CU17)/BD$6*100000*BD$3</f>
        <v>4249.4603185395454</v>
      </c>
      <c r="BE20" s="476"/>
      <c r="BF20" s="476"/>
      <c r="BG20" s="476"/>
      <c r="BH20" s="476"/>
      <c r="BI20" s="476"/>
      <c r="BJ20" s="476"/>
      <c r="BK20" s="476"/>
      <c r="BL20" s="476"/>
      <c r="BM20" s="476"/>
      <c r="BN20" s="476"/>
      <c r="BO20" s="476"/>
      <c r="BP20" s="476"/>
      <c r="BQ20" s="476"/>
    </row>
    <row r="21" spans="1:69" s="341" customFormat="1" ht="12" customHeight="1">
      <c r="A21" s="266"/>
      <c r="B21" s="273" t="str">
        <f>UPPER(LEFT(TRIM(Data!B18),1)) &amp; MID(TRIM(Data!B18),2,50)</f>
        <v>Plaučių, trachėjos, bronchų</v>
      </c>
      <c r="C21" s="273" t="str">
        <f>Data!C18</f>
        <v>C33, C34</v>
      </c>
      <c r="D21" s="274">
        <f>Data!D18+Data!BQ18</f>
        <v>1437</v>
      </c>
      <c r="E21" s="275">
        <f t="shared" si="5"/>
        <v>48.585229887253192</v>
      </c>
      <c r="F21" s="276">
        <f t="shared" si="6"/>
        <v>34.677380779548997</v>
      </c>
      <c r="G21" s="276">
        <f t="shared" si="7"/>
        <v>23.991727284755857</v>
      </c>
      <c r="H21" s="271"/>
      <c r="I21" s="271"/>
      <c r="J21" s="271"/>
      <c r="K21" s="271"/>
      <c r="L21" s="271"/>
      <c r="M21" s="271"/>
      <c r="N21" s="271"/>
      <c r="O21" s="270"/>
      <c r="P21" s="349"/>
      <c r="Q21" s="521" t="s">
        <v>352</v>
      </c>
      <c r="R21" s="513">
        <f t="shared" si="3"/>
        <v>3467738.0779548995</v>
      </c>
      <c r="S21" s="513">
        <f>(Data!Q18+Data!CD18)/S$6*100000*S$3</f>
        <v>0</v>
      </c>
      <c r="T21" s="513">
        <f>(Data!R18+Data!CE18)/T$6*100000*T$3</f>
        <v>0</v>
      </c>
      <c r="U21" s="513">
        <f>(Data!S18+Data!CF18)/U$6*100000*U$3</f>
        <v>0</v>
      </c>
      <c r="V21" s="513">
        <f>(Data!T18+Data!CG18)/V$6*100000*V$3</f>
        <v>0</v>
      </c>
      <c r="W21" s="513">
        <f>(Data!U18+Data!CH18)/W$6*100000*W$3</f>
        <v>0</v>
      </c>
      <c r="X21" s="513">
        <f>(Data!V18+Data!CI18)/X$6*100000*X$3</f>
        <v>7196.0195731732383</v>
      </c>
      <c r="Y21" s="513">
        <f>(Data!W18+Data!CJ18)/Y$6*100000*Y$3</f>
        <v>0</v>
      </c>
      <c r="Z21" s="513">
        <f>(Data!X18+Data!CK18)/Z$6*100000*Z$3</f>
        <v>18759.815403416433</v>
      </c>
      <c r="AA21" s="513">
        <f>(Data!Y18+Data!CL18)/AA$6*100000*AA$3</f>
        <v>43430.742283884334</v>
      </c>
      <c r="AB21" s="513">
        <f>(Data!Z18+Data!CM18)/AB$6*100000*AB$3</f>
        <v>123889.76605327259</v>
      </c>
      <c r="AC21" s="513">
        <f>(Data!AA18+Data!CN18)/AC$6*100000*AC$3</f>
        <v>269315.00131063815</v>
      </c>
      <c r="AD21" s="513">
        <f>(Data!AB18+Data!CO18)/AD$6*100000*AD$3</f>
        <v>538080.9465333015</v>
      </c>
      <c r="AE21" s="513">
        <f>(Data!AC18+Data!CP18)/AE$6*100000*AE$3</f>
        <v>685406.95673477952</v>
      </c>
      <c r="AF21" s="513">
        <f>(Data!AD18+Data!CQ18)/AF$6*100000*AF$3</f>
        <v>625205.41942080855</v>
      </c>
      <c r="AG21" s="513">
        <f>(Data!AE18+Data!CR18)/AG$6*100000*AG$3</f>
        <v>509438.76829026692</v>
      </c>
      <c r="AH21" s="513">
        <f>(Data!AF18+Data!CS18)/AH$6*100000*AH$3</f>
        <v>388157.83970085077</v>
      </c>
      <c r="AI21" s="513">
        <f>(Data!AG18+Data!CT18)/AI$6*100000*AI$3</f>
        <v>143271.48198623196</v>
      </c>
      <c r="AJ21" s="513">
        <f>(Data!AH18+Data!CU18)/AJ$6*100000*AJ$3</f>
        <v>115585.32066427564</v>
      </c>
      <c r="AK21" s="521" t="s">
        <v>352</v>
      </c>
      <c r="AL21" s="513">
        <f t="shared" si="4"/>
        <v>2399172.7284755856</v>
      </c>
      <c r="AM21" s="513">
        <f>(Data!Q18+Data!CD18)/AM$6*100000*AM$3</f>
        <v>0</v>
      </c>
      <c r="AN21" s="513">
        <f>(Data!R18+Data!CE18)/AN$6*100000*AN$3</f>
        <v>0</v>
      </c>
      <c r="AO21" s="513">
        <f>(Data!S18+Data!CF18)/AO$6*100000*AO$3</f>
        <v>0</v>
      </c>
      <c r="AP21" s="513">
        <f>(Data!T18+Data!CG18)/AP$6*100000*AP$3</f>
        <v>0</v>
      </c>
      <c r="AQ21" s="513">
        <f>(Data!U18+Data!CH18)/AQ$6*100000*AQ$3</f>
        <v>0</v>
      </c>
      <c r="AR21" s="513">
        <f>(Data!V18+Data!CI18)/AR$6*100000*AR$3</f>
        <v>8224.0223693408443</v>
      </c>
      <c r="AS21" s="513">
        <f>(Data!W18+Data!CJ18)/AS$6*100000*AS$3</f>
        <v>0</v>
      </c>
      <c r="AT21" s="513">
        <f>(Data!X18+Data!CK18)/AT$6*100000*AT$3</f>
        <v>16079.841774356941</v>
      </c>
      <c r="AU21" s="513">
        <f>(Data!Y18+Data!CL18)/AU$6*100000*AU$3</f>
        <v>37226.350529043717</v>
      </c>
      <c r="AV21" s="513">
        <f>(Data!Z18+Data!CM18)/AV$6*100000*AV$3</f>
        <v>106191.22804566222</v>
      </c>
      <c r="AW21" s="513">
        <f>(Data!AA18+Data!CN18)/AW$6*100000*AW$3</f>
        <v>192367.85807902724</v>
      </c>
      <c r="AX21" s="513">
        <f>(Data!AB18+Data!CO18)/AX$6*100000*AX$3</f>
        <v>358720.63102220098</v>
      </c>
      <c r="AY21" s="513">
        <f>(Data!AC18+Data!CP18)/AY$6*100000*AY$3</f>
        <v>548325.56538782362</v>
      </c>
      <c r="AZ21" s="513">
        <f>(Data!AD18+Data!CQ18)/AZ$6*100000*AZ$3</f>
        <v>468904.06456560642</v>
      </c>
      <c r="BA21" s="513">
        <f>(Data!AE18+Data!CR18)/BA$6*100000*BA$3</f>
        <v>339625.84552684461</v>
      </c>
      <c r="BB21" s="513">
        <f>(Data!AF18+Data!CS18)/BB$6*100000*BB$3</f>
        <v>194078.91985042539</v>
      </c>
      <c r="BC21" s="513">
        <f>(Data!AG18+Data!CT18)/BC$6*100000*BC$3</f>
        <v>71635.740993115978</v>
      </c>
      <c r="BD21" s="513">
        <f>(Data!AH18+Data!CU18)/BD$6*100000*BD$3</f>
        <v>57792.660332137821</v>
      </c>
      <c r="BE21" s="476"/>
      <c r="BF21" s="476"/>
      <c r="BG21" s="476"/>
      <c r="BH21" s="476"/>
      <c r="BI21" s="476"/>
      <c r="BJ21" s="476"/>
      <c r="BK21" s="476"/>
      <c r="BL21" s="476"/>
      <c r="BM21" s="476"/>
      <c r="BN21" s="476"/>
      <c r="BO21" s="476"/>
      <c r="BP21" s="476"/>
      <c r="BQ21" s="476"/>
    </row>
    <row r="22" spans="1:69" s="341" customFormat="1" ht="12" customHeight="1">
      <c r="A22" s="266"/>
      <c r="B22" s="123" t="str">
        <f>UPPER(LEFT(TRIM(Data!B19),1)) &amp; MID(TRIM(Data!B19),2,50)</f>
        <v>Kitų kvėpavimo sistemos organų</v>
      </c>
      <c r="C22" s="123" t="str">
        <f>Data!C19</f>
        <v>C37-C39</v>
      </c>
      <c r="D22" s="124">
        <f>Data!D19+Data!BQ19</f>
        <v>14</v>
      </c>
      <c r="E22" s="125">
        <f t="shared" si="5"/>
        <v>0.47334253195653769</v>
      </c>
      <c r="F22" s="126">
        <f t="shared" si="6"/>
        <v>0.37232144557122182</v>
      </c>
      <c r="G22" s="127">
        <f t="shared" si="7"/>
        <v>0.30187227869514677</v>
      </c>
      <c r="H22" s="271"/>
      <c r="I22" s="271"/>
      <c r="J22" s="271"/>
      <c r="K22" s="271"/>
      <c r="L22" s="271"/>
      <c r="M22" s="271"/>
      <c r="N22" s="271"/>
      <c r="O22" s="270"/>
      <c r="P22" s="349"/>
      <c r="Q22" s="521" t="s">
        <v>352</v>
      </c>
      <c r="R22" s="513">
        <f t="shared" si="3"/>
        <v>37232.144557122185</v>
      </c>
      <c r="S22" s="513">
        <f>(Data!Q19+Data!CD19)/S$6*100000*S$3</f>
        <v>5295.83879466709</v>
      </c>
      <c r="T22" s="513">
        <f>(Data!R19+Data!CE19)/T$6*100000*T$3</f>
        <v>0</v>
      </c>
      <c r="U22" s="513">
        <f>(Data!S19+Data!CF19)/U$6*100000*U$3</f>
        <v>0</v>
      </c>
      <c r="V22" s="513">
        <f>(Data!T19+Data!CG19)/V$6*100000*V$3</f>
        <v>0</v>
      </c>
      <c r="W22" s="513">
        <f>(Data!U19+Data!CH19)/W$6*100000*W$3</f>
        <v>0</v>
      </c>
      <c r="X22" s="513">
        <f>(Data!V19+Data!CI19)/X$6*100000*X$3</f>
        <v>0</v>
      </c>
      <c r="Y22" s="513">
        <f>(Data!W19+Data!CJ19)/Y$6*100000*Y$3</f>
        <v>0</v>
      </c>
      <c r="Z22" s="513">
        <f>(Data!X19+Data!CK19)/Z$6*100000*Z$3</f>
        <v>0</v>
      </c>
      <c r="AA22" s="513">
        <f>(Data!Y19+Data!CL19)/AA$6*100000*AA$3</f>
        <v>3340.8263295295642</v>
      </c>
      <c r="AB22" s="513">
        <f>(Data!Z19+Data!CM19)/AB$6*100000*AB$3</f>
        <v>3260.2570014019107</v>
      </c>
      <c r="AC22" s="513">
        <f>(Data!AA19+Data!CN19)/AC$6*100000*AC$3</f>
        <v>0</v>
      </c>
      <c r="AD22" s="513">
        <f>(Data!AB19+Data!CO19)/AD$6*100000*AD$3</f>
        <v>6114.5562106056977</v>
      </c>
      <c r="AE22" s="513">
        <f>(Data!AC19+Data!CP19)/AE$6*100000*AE$3</f>
        <v>0</v>
      </c>
      <c r="AF22" s="513">
        <f>(Data!AD19+Data!CQ19)/AF$6*100000*AF$3</f>
        <v>8764.561954497316</v>
      </c>
      <c r="AG22" s="513">
        <f>(Data!AE19+Data!CR19)/AG$6*100000*AG$3</f>
        <v>4245.3230690855571</v>
      </c>
      <c r="AH22" s="513">
        <f>(Data!AF19+Data!CS19)/AH$6*100000*AH$3</f>
        <v>3346.1882732831964</v>
      </c>
      <c r="AI22" s="513">
        <f>(Data!AG19+Data!CT19)/AI$6*100000*AI$3</f>
        <v>1164.8087966360322</v>
      </c>
      <c r="AJ22" s="513">
        <f>(Data!AH19+Data!CU19)/AJ$6*100000*AJ$3</f>
        <v>1699.7841274158184</v>
      </c>
      <c r="AK22" s="521" t="s">
        <v>352</v>
      </c>
      <c r="AL22" s="513">
        <f t="shared" si="4"/>
        <v>30187.227869514674</v>
      </c>
      <c r="AM22" s="513">
        <f>(Data!Q19+Data!CD19)/AM$6*100000*AM$3</f>
        <v>7943.7581920006351</v>
      </c>
      <c r="AN22" s="513">
        <f>(Data!R19+Data!CE19)/AN$6*100000*AN$3</f>
        <v>0</v>
      </c>
      <c r="AO22" s="513">
        <f>(Data!S19+Data!CF19)/AO$6*100000*AO$3</f>
        <v>0</v>
      </c>
      <c r="AP22" s="513">
        <f>(Data!T19+Data!CG19)/AP$6*100000*AP$3</f>
        <v>0</v>
      </c>
      <c r="AQ22" s="513">
        <f>(Data!U19+Data!CH19)/AQ$6*100000*AQ$3</f>
        <v>0</v>
      </c>
      <c r="AR22" s="513">
        <f>(Data!V19+Data!CI19)/AR$6*100000*AR$3</f>
        <v>0</v>
      </c>
      <c r="AS22" s="513">
        <f>(Data!W19+Data!CJ19)/AS$6*100000*AS$3</f>
        <v>0</v>
      </c>
      <c r="AT22" s="513">
        <f>(Data!X19+Data!CK19)/AT$6*100000*AT$3</f>
        <v>0</v>
      </c>
      <c r="AU22" s="513">
        <f>(Data!Y19+Data!CL19)/AU$6*100000*AU$3</f>
        <v>2863.5654253110547</v>
      </c>
      <c r="AV22" s="513">
        <f>(Data!Z19+Data!CM19)/AV$6*100000*AV$3</f>
        <v>2794.5060012016374</v>
      </c>
      <c r="AW22" s="513">
        <f>(Data!AA19+Data!CN19)/AW$6*100000*AW$3</f>
        <v>0</v>
      </c>
      <c r="AX22" s="513">
        <f>(Data!AB19+Data!CO19)/AX$6*100000*AX$3</f>
        <v>4076.3708070704656</v>
      </c>
      <c r="AY22" s="513">
        <f>(Data!AC19+Data!CP19)/AY$6*100000*AY$3</f>
        <v>0</v>
      </c>
      <c r="AZ22" s="513">
        <f>(Data!AD19+Data!CQ19)/AZ$6*100000*AZ$3</f>
        <v>6573.421465872987</v>
      </c>
      <c r="BA22" s="513">
        <f>(Data!AE19+Data!CR19)/BA$6*100000*BA$3</f>
        <v>2830.2153793903717</v>
      </c>
      <c r="BB22" s="513">
        <f>(Data!AF19+Data!CS19)/BB$6*100000*BB$3</f>
        <v>1673.0941366415982</v>
      </c>
      <c r="BC22" s="513">
        <f>(Data!AG19+Data!CT19)/BC$6*100000*BC$3</f>
        <v>582.40439831801609</v>
      </c>
      <c r="BD22" s="513">
        <f>(Data!AH19+Data!CU19)/BD$6*100000*BD$3</f>
        <v>849.89206370790919</v>
      </c>
      <c r="BE22" s="476"/>
      <c r="BF22" s="476"/>
      <c r="BG22" s="476"/>
      <c r="BH22" s="476"/>
      <c r="BI22" s="476"/>
      <c r="BJ22" s="476"/>
      <c r="BK22" s="476"/>
      <c r="BL22" s="476"/>
      <c r="BM22" s="476"/>
      <c r="BN22" s="476"/>
      <c r="BO22" s="476"/>
      <c r="BP22" s="476"/>
      <c r="BQ22" s="476"/>
    </row>
    <row r="23" spans="1:69" s="341" customFormat="1" ht="12" customHeight="1">
      <c r="A23" s="266"/>
      <c r="B23" s="273" t="str">
        <f>UPPER(LEFT(TRIM(Data!B20),1)) &amp; MID(TRIM(Data!B20),2,50)</f>
        <v>Kaulų ir jungiamojo audinio</v>
      </c>
      <c r="C23" s="273" t="str">
        <f>Data!C20</f>
        <v>C40-C41, C45-C47, C49</v>
      </c>
      <c r="D23" s="274">
        <f>Data!D20+Data!BQ20</f>
        <v>133</v>
      </c>
      <c r="E23" s="275">
        <f t="shared" si="5"/>
        <v>4.4967540535871082</v>
      </c>
      <c r="F23" s="276">
        <f t="shared" si="6"/>
        <v>3.6609284973105725</v>
      </c>
      <c r="G23" s="276">
        <f t="shared" si="7"/>
        <v>2.9827607611080635</v>
      </c>
      <c r="H23" s="271"/>
      <c r="I23" s="271"/>
      <c r="J23" s="271"/>
      <c r="K23" s="271"/>
      <c r="L23" s="271"/>
      <c r="M23" s="271"/>
      <c r="N23" s="271"/>
      <c r="O23" s="270"/>
      <c r="P23" s="349"/>
      <c r="Q23" s="521" t="s">
        <v>352</v>
      </c>
      <c r="R23" s="513">
        <f t="shared" si="3"/>
        <v>366092.84973105724</v>
      </c>
      <c r="S23" s="513">
        <f>(Data!Q20+Data!CD20)/S$6*100000*S$3</f>
        <v>5295.83879466709</v>
      </c>
      <c r="T23" s="513">
        <f>(Data!R20+Data!CE20)/T$6*100000*T$3</f>
        <v>5186.030316051505</v>
      </c>
      <c r="U23" s="513">
        <f>(Data!S20+Data!CF20)/U$6*100000*U$3</f>
        <v>23762.16113460925</v>
      </c>
      <c r="V23" s="513">
        <f>(Data!T20+Data!CG20)/V$6*100000*V$3</f>
        <v>7673.3351603178944</v>
      </c>
      <c r="W23" s="513">
        <f>(Data!U20+Data!CH20)/W$6*100000*W$3</f>
        <v>9814.5058396309742</v>
      </c>
      <c r="X23" s="513">
        <f>(Data!V20+Data!CI20)/X$6*100000*X$3</f>
        <v>10794.029359759857</v>
      </c>
      <c r="Y23" s="513">
        <f>(Data!W20+Data!CJ20)/Y$6*100000*Y$3</f>
        <v>15917.954315471112</v>
      </c>
      <c r="Z23" s="513">
        <f>(Data!X20+Data!CK20)/Z$6*100000*Z$3</f>
        <v>11255.88924204986</v>
      </c>
      <c r="AA23" s="513">
        <f>(Data!Y20+Data!CL20)/AA$6*100000*AA$3</f>
        <v>16704.131647647821</v>
      </c>
      <c r="AB23" s="513">
        <f>(Data!Z20+Data!CM20)/AB$6*100000*AB$3</f>
        <v>29342.313012617193</v>
      </c>
      <c r="AC23" s="513">
        <f>(Data!AA20+Data!CN20)/AC$6*100000*AC$3</f>
        <v>47352.088142529785</v>
      </c>
      <c r="AD23" s="513">
        <f>(Data!AB20+Data!CO20)/AD$6*100000*AD$3</f>
        <v>15286.390526514244</v>
      </c>
      <c r="AE23" s="513">
        <f>(Data!AC20+Data!CP20)/AE$6*100000*AE$3</f>
        <v>43749.38021711359</v>
      </c>
      <c r="AF23" s="513">
        <f>(Data!AD20+Data!CQ20)/AF$6*100000*AF$3</f>
        <v>43822.80977248658</v>
      </c>
      <c r="AG23" s="513">
        <f>(Data!AE20+Data!CR20)/AG$6*100000*AG$3</f>
        <v>25471.938414513344</v>
      </c>
      <c r="AH23" s="513">
        <f>(Data!AF20+Data!CS20)/AH$6*100000*AH$3</f>
        <v>28442.600322907168</v>
      </c>
      <c r="AI23" s="513">
        <f>(Data!AG20+Data!CT20)/AI$6*100000*AI$3</f>
        <v>5824.0439831801614</v>
      </c>
      <c r="AJ23" s="513">
        <f>(Data!AH20+Data!CU20)/AJ$6*100000*AJ$3</f>
        <v>20397.409528989818</v>
      </c>
      <c r="AK23" s="521" t="s">
        <v>352</v>
      </c>
      <c r="AL23" s="513">
        <f t="shared" si="4"/>
        <v>298276.07611080637</v>
      </c>
      <c r="AM23" s="513">
        <f>(Data!Q20+Data!CD20)/AM$6*100000*AM$3</f>
        <v>7943.7581920006351</v>
      </c>
      <c r="AN23" s="513">
        <f>(Data!R20+Data!CE20)/AN$6*100000*AN$3</f>
        <v>7408.614737216436</v>
      </c>
      <c r="AO23" s="513">
        <f>(Data!S20+Data!CF20)/AO$6*100000*AO$3</f>
        <v>30551.350030211892</v>
      </c>
      <c r="AP23" s="513">
        <f>(Data!T20+Data!CG20)/AP$6*100000*AP$3</f>
        <v>9865.7166346944359</v>
      </c>
      <c r="AQ23" s="513">
        <f>(Data!U20+Data!CH20)/AQ$6*100000*AQ$3</f>
        <v>11216.578102435398</v>
      </c>
      <c r="AR23" s="513">
        <f>(Data!V20+Data!CI20)/AR$6*100000*AR$3</f>
        <v>12336.033554011266</v>
      </c>
      <c r="AS23" s="513">
        <f>(Data!W20+Data!CJ20)/AS$6*100000*AS$3</f>
        <v>13643.960841832382</v>
      </c>
      <c r="AT23" s="513">
        <f>(Data!X20+Data!CK20)/AT$6*100000*AT$3</f>
        <v>9647.9050646141659</v>
      </c>
      <c r="AU23" s="513">
        <f>(Data!Y20+Data!CL20)/AU$6*100000*AU$3</f>
        <v>14317.827126555274</v>
      </c>
      <c r="AV23" s="513">
        <f>(Data!Z20+Data!CM20)/AV$6*100000*AV$3</f>
        <v>25150.554010814736</v>
      </c>
      <c r="AW23" s="513">
        <f>(Data!AA20+Data!CN20)/AW$6*100000*AW$3</f>
        <v>33822.920101806987</v>
      </c>
      <c r="AX23" s="513">
        <f>(Data!AB20+Data!CO20)/AX$6*100000*AX$3</f>
        <v>10190.927017676164</v>
      </c>
      <c r="AY23" s="513">
        <f>(Data!AC20+Data!CP20)/AY$6*100000*AY$3</f>
        <v>34999.504173690875</v>
      </c>
      <c r="AZ23" s="513">
        <f>(Data!AD20+Data!CQ20)/AZ$6*100000*AZ$3</f>
        <v>32867.107329364932</v>
      </c>
      <c r="BA23" s="513">
        <f>(Data!AE20+Data!CR20)/BA$6*100000*BA$3</f>
        <v>16981.292276342232</v>
      </c>
      <c r="BB23" s="513">
        <f>(Data!AF20+Data!CS20)/BB$6*100000*BB$3</f>
        <v>14221.300161453584</v>
      </c>
      <c r="BC23" s="513">
        <f>(Data!AG20+Data!CT20)/BC$6*100000*BC$3</f>
        <v>2912.0219915900807</v>
      </c>
      <c r="BD23" s="513">
        <f>(Data!AH20+Data!CU20)/BD$6*100000*BD$3</f>
        <v>10198.704764494909</v>
      </c>
      <c r="BE23" s="476"/>
      <c r="BF23" s="476"/>
      <c r="BG23" s="476"/>
      <c r="BH23" s="476"/>
      <c r="BI23" s="476"/>
      <c r="BJ23" s="476"/>
      <c r="BK23" s="476"/>
      <c r="BL23" s="476"/>
      <c r="BM23" s="476"/>
      <c r="BN23" s="476"/>
      <c r="BO23" s="476"/>
      <c r="BP23" s="476"/>
      <c r="BQ23" s="476"/>
    </row>
    <row r="24" spans="1:69" s="341" customFormat="1" ht="12" customHeight="1">
      <c r="A24" s="266"/>
      <c r="B24" s="123" t="str">
        <f>UPPER(LEFT(TRIM(Data!B21),1)) &amp; MID(TRIM(Data!B21),2,50)</f>
        <v>Odos melanoma</v>
      </c>
      <c r="C24" s="123" t="str">
        <f>Data!C21</f>
        <v>C43</v>
      </c>
      <c r="D24" s="124">
        <f>Data!D21+Data!BQ21</f>
        <v>291</v>
      </c>
      <c r="E24" s="125">
        <f t="shared" si="5"/>
        <v>9.8387626285251759</v>
      </c>
      <c r="F24" s="126">
        <f t="shared" si="6"/>
        <v>7.5821353178059185</v>
      </c>
      <c r="G24" s="127">
        <f t="shared" si="7"/>
        <v>5.6299832192419528</v>
      </c>
      <c r="H24" s="271"/>
      <c r="I24" s="271"/>
      <c r="J24" s="271"/>
      <c r="K24" s="271"/>
      <c r="L24" s="271"/>
      <c r="M24" s="271"/>
      <c r="N24" s="271"/>
      <c r="O24" s="270"/>
      <c r="P24" s="349"/>
      <c r="Q24" s="521" t="s">
        <v>352</v>
      </c>
      <c r="R24" s="513">
        <f t="shared" si="3"/>
        <v>758213.53178059182</v>
      </c>
      <c r="S24" s="513">
        <f>(Data!Q21+Data!CD21)/S$6*100000*S$3</f>
        <v>0</v>
      </c>
      <c r="T24" s="513">
        <f>(Data!R21+Data!CE21)/T$6*100000*T$3</f>
        <v>0</v>
      </c>
      <c r="U24" s="513">
        <f>(Data!S21+Data!CF21)/U$6*100000*U$3</f>
        <v>4752.4322269218501</v>
      </c>
      <c r="V24" s="513">
        <f>(Data!T21+Data!CG21)/V$6*100000*V$3</f>
        <v>3836.6675801589472</v>
      </c>
      <c r="W24" s="513">
        <f>(Data!U21+Data!CH21)/W$6*100000*W$3</f>
        <v>6543.003893087317</v>
      </c>
      <c r="X24" s="513">
        <f>(Data!V21+Data!CI21)/X$6*100000*X$3</f>
        <v>17990.048932933099</v>
      </c>
      <c r="Y24" s="513">
        <f>(Data!W21+Data!CJ21)/Y$6*100000*Y$3</f>
        <v>23876.93147320667</v>
      </c>
      <c r="Z24" s="513">
        <f>(Data!X21+Data!CK21)/Z$6*100000*Z$3</f>
        <v>41271.593887516145</v>
      </c>
      <c r="AA24" s="513">
        <f>(Data!Y21+Data!CL21)/AA$6*100000*AA$3</f>
        <v>70157.352920120844</v>
      </c>
      <c r="AB24" s="513">
        <f>(Data!Z21+Data!CM21)/AB$6*100000*AB$3</f>
        <v>58684.626025234385</v>
      </c>
      <c r="AC24" s="513">
        <f>(Data!AA21+Data!CN21)/AC$6*100000*AC$3</f>
        <v>100623.1873028758</v>
      </c>
      <c r="AD24" s="513">
        <f>(Data!AB21+Data!CO21)/AD$6*100000*AD$3</f>
        <v>82546.508843176911</v>
      </c>
      <c r="AE24" s="513">
        <f>(Data!AC21+Data!CP21)/AE$6*100000*AE$3</f>
        <v>84582.135086419614</v>
      </c>
      <c r="AF24" s="513">
        <f>(Data!AD21+Data!CQ21)/AF$6*100000*AF$3</f>
        <v>78881.05759047583</v>
      </c>
      <c r="AG24" s="513">
        <f>(Data!AE21+Data!CR21)/AG$6*100000*AG$3</f>
        <v>70047.830639911699</v>
      </c>
      <c r="AH24" s="513">
        <f>(Data!AF21+Data!CS21)/AH$6*100000*AH$3</f>
        <v>53539.012372531142</v>
      </c>
      <c r="AI24" s="513">
        <f>(Data!AG21+Data!CT21)/AI$6*100000*AI$3</f>
        <v>30285.028712536834</v>
      </c>
      <c r="AJ24" s="513">
        <f>(Data!AH21+Data!CU21)/AJ$6*100000*AJ$3</f>
        <v>30596.114293484727</v>
      </c>
      <c r="AK24" s="521" t="s">
        <v>352</v>
      </c>
      <c r="AL24" s="513">
        <f t="shared" si="4"/>
        <v>562998.32192419528</v>
      </c>
      <c r="AM24" s="513">
        <f>(Data!Q21+Data!CD21)/AM$6*100000*AM$3</f>
        <v>0</v>
      </c>
      <c r="AN24" s="513">
        <f>(Data!R21+Data!CE21)/AN$6*100000*AN$3</f>
        <v>0</v>
      </c>
      <c r="AO24" s="513">
        <f>(Data!S21+Data!CF21)/AO$6*100000*AO$3</f>
        <v>6110.2700060423786</v>
      </c>
      <c r="AP24" s="513">
        <f>(Data!T21+Data!CG21)/AP$6*100000*AP$3</f>
        <v>4932.858317347218</v>
      </c>
      <c r="AQ24" s="513">
        <f>(Data!U21+Data!CH21)/AQ$6*100000*AQ$3</f>
        <v>7477.718734956934</v>
      </c>
      <c r="AR24" s="513">
        <f>(Data!V21+Data!CI21)/AR$6*100000*AR$3</f>
        <v>20560.055923352113</v>
      </c>
      <c r="AS24" s="513">
        <f>(Data!W21+Data!CJ21)/AS$6*100000*AS$3</f>
        <v>20465.941262748576</v>
      </c>
      <c r="AT24" s="513">
        <f>(Data!X21+Data!CK21)/AT$6*100000*AT$3</f>
        <v>35375.651903585269</v>
      </c>
      <c r="AU24" s="513">
        <f>(Data!Y21+Data!CL21)/AU$6*100000*AU$3</f>
        <v>60134.873931532151</v>
      </c>
      <c r="AV24" s="513">
        <f>(Data!Z21+Data!CM21)/AV$6*100000*AV$3</f>
        <v>50301.108021629472</v>
      </c>
      <c r="AW24" s="513">
        <f>(Data!AA21+Data!CN21)/AW$6*100000*AW$3</f>
        <v>71873.705216339848</v>
      </c>
      <c r="AX24" s="513">
        <f>(Data!AB21+Data!CO21)/AX$6*100000*AX$3</f>
        <v>55031.005895451271</v>
      </c>
      <c r="AY24" s="513">
        <f>(Data!AC21+Data!CP21)/AY$6*100000*AY$3</f>
        <v>67665.708069135697</v>
      </c>
      <c r="AZ24" s="513">
        <f>(Data!AD21+Data!CQ21)/AZ$6*100000*AZ$3</f>
        <v>59160.793192856872</v>
      </c>
      <c r="BA24" s="513">
        <f>(Data!AE21+Data!CR21)/BA$6*100000*BA$3</f>
        <v>46698.553759941133</v>
      </c>
      <c r="BB24" s="513">
        <f>(Data!AF21+Data!CS21)/BB$6*100000*BB$3</f>
        <v>26769.506186265571</v>
      </c>
      <c r="BC24" s="513">
        <f>(Data!AG21+Data!CT21)/BC$6*100000*BC$3</f>
        <v>15142.514356268417</v>
      </c>
      <c r="BD24" s="513">
        <f>(Data!AH21+Data!CU21)/BD$6*100000*BD$3</f>
        <v>15298.057146742363</v>
      </c>
      <c r="BE24" s="476"/>
      <c r="BF24" s="476"/>
      <c r="BG24" s="476"/>
      <c r="BH24" s="476"/>
      <c r="BI24" s="476"/>
      <c r="BJ24" s="476"/>
      <c r="BK24" s="476"/>
      <c r="BL24" s="476"/>
      <c r="BM24" s="476"/>
      <c r="BN24" s="476"/>
      <c r="BO24" s="476"/>
      <c r="BP24" s="476"/>
      <c r="BQ24" s="476"/>
    </row>
    <row r="25" spans="1:69" s="341" customFormat="1" ht="12" customHeight="1">
      <c r="A25" s="266"/>
      <c r="B25" s="273" t="str">
        <f>UPPER(LEFT(TRIM(Data!B22),1)) &amp; MID(TRIM(Data!B22),2,50)</f>
        <v>Kiti odos piktybiniai navikai</v>
      </c>
      <c r="C25" s="273" t="str">
        <f>Data!C22</f>
        <v>C44</v>
      </c>
      <c r="D25" s="274">
        <f>Data!D22+Data!BQ22</f>
        <v>2330</v>
      </c>
      <c r="E25" s="275">
        <f t="shared" si="5"/>
        <v>78.777721389909487</v>
      </c>
      <c r="F25" s="276">
        <f t="shared" si="6"/>
        <v>53.454436761085304</v>
      </c>
      <c r="G25" s="276">
        <f t="shared" si="7"/>
        <v>36.663337681270654</v>
      </c>
      <c r="H25" s="271"/>
      <c r="I25" s="271"/>
      <c r="J25" s="271"/>
      <c r="K25" s="271"/>
      <c r="L25" s="271"/>
      <c r="M25" s="271"/>
      <c r="N25" s="271"/>
      <c r="O25" s="270"/>
      <c r="P25" s="349"/>
      <c r="Q25" s="521" t="s">
        <v>352</v>
      </c>
      <c r="R25" s="513">
        <f t="shared" si="3"/>
        <v>5345443.6761085307</v>
      </c>
      <c r="S25" s="513">
        <f>(Data!Q22+Data!CD22)/S$6*100000*S$3</f>
        <v>0</v>
      </c>
      <c r="T25" s="513">
        <f>(Data!R22+Data!CE22)/T$6*100000*T$3</f>
        <v>5186.030316051505</v>
      </c>
      <c r="U25" s="513">
        <f>(Data!S22+Data!CF22)/U$6*100000*U$3</f>
        <v>4752.4322269218501</v>
      </c>
      <c r="V25" s="513">
        <f>(Data!T22+Data!CG22)/V$6*100000*V$3</f>
        <v>7673.3351603178944</v>
      </c>
      <c r="W25" s="513">
        <f>(Data!U22+Data!CH22)/W$6*100000*W$3</f>
        <v>13086.007786174634</v>
      </c>
      <c r="X25" s="513">
        <f>(Data!V22+Data!CI22)/X$6*100000*X$3</f>
        <v>35980.097865866199</v>
      </c>
      <c r="Y25" s="513">
        <f>(Data!W22+Data!CJ22)/Y$6*100000*Y$3</f>
        <v>83569.260156223347</v>
      </c>
      <c r="Z25" s="513">
        <f>(Data!X22+Data!CK22)/Z$6*100000*Z$3</f>
        <v>75039.261613665731</v>
      </c>
      <c r="AA25" s="513">
        <f>(Data!Y22+Data!CL22)/AA$6*100000*AA$3</f>
        <v>173722.96913553734</v>
      </c>
      <c r="AB25" s="513">
        <f>(Data!Z22+Data!CM22)/AB$6*100000*AB$3</f>
        <v>290162.87312477006</v>
      </c>
      <c r="AC25" s="513">
        <f>(Data!AA22+Data!CN22)/AC$6*100000*AC$3</f>
        <v>402492.74921150319</v>
      </c>
      <c r="AD25" s="513">
        <f>(Data!AB22+Data!CO22)/AD$6*100000*AD$3</f>
        <v>528909.11221739289</v>
      </c>
      <c r="AE25" s="513">
        <f>(Data!AC22+Data!CP22)/AE$6*100000*AE$3</f>
        <v>650407.45256108872</v>
      </c>
      <c r="AF25" s="513">
        <f>(Data!AD22+Data!CQ22)/AF$6*100000*AF$3</f>
        <v>873534.6747982325</v>
      </c>
      <c r="AG25" s="513">
        <f>(Data!AE22+Data!CR22)/AG$6*100000*AG$3</f>
        <v>823592.67540259822</v>
      </c>
      <c r="AH25" s="513">
        <f>(Data!AF22+Data!CS22)/AH$6*100000*AH$3</f>
        <v>669237.65465663932</v>
      </c>
      <c r="AI25" s="513">
        <f>(Data!AG22+Data!CT22)/AI$6*100000*AI$3</f>
        <v>349442.63899080968</v>
      </c>
      <c r="AJ25" s="513">
        <f>(Data!AH22+Data!CU22)/AJ$6*100000*AJ$3</f>
        <v>358654.45088473766</v>
      </c>
      <c r="AK25" s="521" t="s">
        <v>352</v>
      </c>
      <c r="AL25" s="513">
        <f t="shared" si="4"/>
        <v>3666333.7681270656</v>
      </c>
      <c r="AM25" s="513">
        <f>(Data!Q22+Data!CD22)/AM$6*100000*AM$3</f>
        <v>0</v>
      </c>
      <c r="AN25" s="513">
        <f>(Data!R22+Data!CE22)/AN$6*100000*AN$3</f>
        <v>7408.614737216436</v>
      </c>
      <c r="AO25" s="513">
        <f>(Data!S22+Data!CF22)/AO$6*100000*AO$3</f>
        <v>6110.2700060423786</v>
      </c>
      <c r="AP25" s="513">
        <f>(Data!T22+Data!CG22)/AP$6*100000*AP$3</f>
        <v>9865.7166346944359</v>
      </c>
      <c r="AQ25" s="513">
        <f>(Data!U22+Data!CH22)/AQ$6*100000*AQ$3</f>
        <v>14955.437469913868</v>
      </c>
      <c r="AR25" s="513">
        <f>(Data!V22+Data!CI22)/AR$6*100000*AR$3</f>
        <v>41120.111846704225</v>
      </c>
      <c r="AS25" s="513">
        <f>(Data!W22+Data!CJ22)/AS$6*100000*AS$3</f>
        <v>71630.794419620011</v>
      </c>
      <c r="AT25" s="513">
        <f>(Data!X22+Data!CK22)/AT$6*100000*AT$3</f>
        <v>64319.367097427763</v>
      </c>
      <c r="AU25" s="513">
        <f>(Data!Y22+Data!CL22)/AU$6*100000*AU$3</f>
        <v>148905.40211617487</v>
      </c>
      <c r="AV25" s="513">
        <f>(Data!Z22+Data!CM22)/AV$6*100000*AV$3</f>
        <v>248711.03410694574</v>
      </c>
      <c r="AW25" s="513">
        <f>(Data!AA22+Data!CN22)/AW$6*100000*AW$3</f>
        <v>287494.82086535939</v>
      </c>
      <c r="AX25" s="513">
        <f>(Data!AB22+Data!CO22)/AX$6*100000*AX$3</f>
        <v>352606.07481159526</v>
      </c>
      <c r="AY25" s="513">
        <f>(Data!AC22+Data!CP22)/AY$6*100000*AY$3</f>
        <v>520325.96204887104</v>
      </c>
      <c r="AZ25" s="513">
        <f>(Data!AD22+Data!CQ22)/AZ$6*100000*AZ$3</f>
        <v>655151.00609867438</v>
      </c>
      <c r="BA25" s="513">
        <f>(Data!AE22+Data!CR22)/BA$6*100000*BA$3</f>
        <v>549061.78360173211</v>
      </c>
      <c r="BB25" s="513">
        <f>(Data!AF22+Data!CS22)/BB$6*100000*BB$3</f>
        <v>334618.82732831966</v>
      </c>
      <c r="BC25" s="513">
        <f>(Data!AG22+Data!CT22)/BC$6*100000*BC$3</f>
        <v>174721.31949540484</v>
      </c>
      <c r="BD25" s="513">
        <f>(Data!AH22+Data!CU22)/BD$6*100000*BD$3</f>
        <v>179327.22544236883</v>
      </c>
      <c r="BE25" s="476"/>
      <c r="BF25" s="476"/>
      <c r="BG25" s="476"/>
      <c r="BH25" s="476"/>
      <c r="BI25" s="476"/>
      <c r="BJ25" s="476"/>
      <c r="BK25" s="476"/>
      <c r="BL25" s="476"/>
      <c r="BM25" s="476"/>
      <c r="BN25" s="476"/>
      <c r="BO25" s="476"/>
      <c r="BP25" s="476"/>
      <c r="BQ25" s="476"/>
    </row>
    <row r="26" spans="1:69" s="341" customFormat="1" ht="12" customHeight="1">
      <c r="A26" s="266"/>
      <c r="B26" s="123" t="str">
        <f>UPPER(LEFT(TRIM(Data!B23),1)) &amp; MID(TRIM(Data!B23),2,50)</f>
        <v>Krūties</v>
      </c>
      <c r="C26" s="123" t="str">
        <f>Data!C23</f>
        <v>C50</v>
      </c>
      <c r="D26" s="124">
        <f>Data!D23+Data!BQ23</f>
        <v>1544</v>
      </c>
      <c r="E26" s="125">
        <f t="shared" si="5"/>
        <v>52.202919238635296</v>
      </c>
      <c r="F26" s="126">
        <f t="shared" si="6"/>
        <v>41.508850957654538</v>
      </c>
      <c r="G26" s="127">
        <f t="shared" si="7"/>
        <v>30.574086900094738</v>
      </c>
      <c r="H26" s="271"/>
      <c r="I26" s="271"/>
      <c r="J26" s="271"/>
      <c r="K26" s="271"/>
      <c r="L26" s="271"/>
      <c r="M26" s="271"/>
      <c r="N26" s="271"/>
      <c r="O26" s="270"/>
      <c r="P26" s="349"/>
      <c r="Q26" s="521" t="s">
        <v>352</v>
      </c>
      <c r="R26" s="513">
        <f t="shared" si="3"/>
        <v>4150885.0957654538</v>
      </c>
      <c r="S26" s="513">
        <f>(Data!Q23+Data!CD23)/S$6*100000*S$3</f>
        <v>0</v>
      </c>
      <c r="T26" s="513">
        <f>(Data!R23+Data!CE23)/T$6*100000*T$3</f>
        <v>0</v>
      </c>
      <c r="U26" s="513">
        <f>(Data!S23+Data!CF23)/U$6*100000*U$3</f>
        <v>0</v>
      </c>
      <c r="V26" s="513">
        <f>(Data!T23+Data!CG23)/V$6*100000*V$3</f>
        <v>0</v>
      </c>
      <c r="W26" s="513">
        <f>(Data!U23+Data!CH23)/W$6*100000*W$3</f>
        <v>3271.5019465436585</v>
      </c>
      <c r="X26" s="513">
        <f>(Data!V23+Data!CI23)/X$6*100000*X$3</f>
        <v>43176.11743903943</v>
      </c>
      <c r="Y26" s="513">
        <f>(Data!W23+Data!CJ23)/Y$6*100000*Y$3</f>
        <v>79589.771577355568</v>
      </c>
      <c r="Z26" s="513">
        <f>(Data!X23+Data!CK23)/Z$6*100000*Z$3</f>
        <v>180094.22787279775</v>
      </c>
      <c r="AA26" s="513">
        <f>(Data!Y23+Data!CL23)/AA$6*100000*AA$3</f>
        <v>344105.1119415451</v>
      </c>
      <c r="AB26" s="513">
        <f>(Data!Z23+Data!CM23)/AB$6*100000*AB$3</f>
        <v>417312.89617944456</v>
      </c>
      <c r="AC26" s="513">
        <f>(Data!AA23+Data!CN23)/AC$6*100000*AC$3</f>
        <v>544549.01363909256</v>
      </c>
      <c r="AD26" s="513">
        <f>(Data!AB23+Data!CO23)/AD$6*100000*AD$3</f>
        <v>617570.17727117543</v>
      </c>
      <c r="AE26" s="513">
        <f>(Data!AC23+Data!CP23)/AE$6*100000*AE$3</f>
        <v>589158.32025712973</v>
      </c>
      <c r="AF26" s="513">
        <f>(Data!AD23+Data!CQ23)/AF$6*100000*AF$3</f>
        <v>546324.36183033267</v>
      </c>
      <c r="AG26" s="513">
        <f>(Data!AE23+Data!CR23)/AG$6*100000*AG$3</f>
        <v>326889.87631958793</v>
      </c>
      <c r="AH26" s="513">
        <f>(Data!AF23+Data!CS23)/AH$6*100000*AH$3</f>
        <v>235906.27326646532</v>
      </c>
      <c r="AI26" s="513">
        <f>(Data!AG23+Data!CT23)/AI$6*100000*AI$3</f>
        <v>114151.26207033115</v>
      </c>
      <c r="AJ26" s="513">
        <f>(Data!AH23+Data!CU23)/AJ$6*100000*AJ$3</f>
        <v>108786.18415461238</v>
      </c>
      <c r="AK26" s="521" t="s">
        <v>352</v>
      </c>
      <c r="AL26" s="513">
        <f t="shared" si="4"/>
        <v>3057408.6900094738</v>
      </c>
      <c r="AM26" s="513">
        <f>(Data!Q23+Data!CD23)/AM$6*100000*AM$3</f>
        <v>0</v>
      </c>
      <c r="AN26" s="513">
        <f>(Data!R23+Data!CE23)/AN$6*100000*AN$3</f>
        <v>0</v>
      </c>
      <c r="AO26" s="513">
        <f>(Data!S23+Data!CF23)/AO$6*100000*AO$3</f>
        <v>0</v>
      </c>
      <c r="AP26" s="513">
        <f>(Data!T23+Data!CG23)/AP$6*100000*AP$3</f>
        <v>0</v>
      </c>
      <c r="AQ26" s="513">
        <f>(Data!U23+Data!CH23)/AQ$6*100000*AQ$3</f>
        <v>3738.859367478467</v>
      </c>
      <c r="AR26" s="513">
        <f>(Data!V23+Data!CI23)/AR$6*100000*AR$3</f>
        <v>49344.134216045066</v>
      </c>
      <c r="AS26" s="513">
        <f>(Data!W23+Data!CJ23)/AS$6*100000*AS$3</f>
        <v>68219.804209161914</v>
      </c>
      <c r="AT26" s="513">
        <f>(Data!X23+Data!CK23)/AT$6*100000*AT$3</f>
        <v>154366.48103382665</v>
      </c>
      <c r="AU26" s="513">
        <f>(Data!Y23+Data!CL23)/AU$6*100000*AU$3</f>
        <v>294947.23880703864</v>
      </c>
      <c r="AV26" s="513">
        <f>(Data!Z23+Data!CM23)/AV$6*100000*AV$3</f>
        <v>357696.76815380959</v>
      </c>
      <c r="AW26" s="513">
        <f>(Data!AA23+Data!CN23)/AW$6*100000*AW$3</f>
        <v>388963.58117078035</v>
      </c>
      <c r="AX26" s="513">
        <f>(Data!AB23+Data!CO23)/AX$6*100000*AX$3</f>
        <v>411713.45151411695</v>
      </c>
      <c r="AY26" s="513">
        <f>(Data!AC23+Data!CP23)/AY$6*100000*AY$3</f>
        <v>471326.6562057038</v>
      </c>
      <c r="AZ26" s="513">
        <f>(Data!AD23+Data!CQ23)/AZ$6*100000*AZ$3</f>
        <v>409743.27137274953</v>
      </c>
      <c r="BA26" s="513">
        <f>(Data!AE23+Data!CR23)/BA$6*100000*BA$3</f>
        <v>217926.58421305861</v>
      </c>
      <c r="BB26" s="513">
        <f>(Data!AF23+Data!CS23)/BB$6*100000*BB$3</f>
        <v>117953.13663323266</v>
      </c>
      <c r="BC26" s="513">
        <f>(Data!AG23+Data!CT23)/BC$6*100000*BC$3</f>
        <v>57075.631035165577</v>
      </c>
      <c r="BD26" s="513">
        <f>(Data!AH23+Data!CU23)/BD$6*100000*BD$3</f>
        <v>54393.092077306188</v>
      </c>
      <c r="BE26" s="476"/>
      <c r="BF26" s="476"/>
      <c r="BG26" s="476"/>
      <c r="BH26" s="476"/>
      <c r="BI26" s="476"/>
      <c r="BJ26" s="476"/>
      <c r="BK26" s="476"/>
      <c r="BL26" s="476"/>
      <c r="BM26" s="476"/>
      <c r="BN26" s="476"/>
      <c r="BO26" s="476"/>
      <c r="BP26" s="476"/>
      <c r="BQ26" s="476"/>
    </row>
    <row r="27" spans="1:69" s="341" customFormat="1" ht="12" customHeight="1">
      <c r="A27" s="266"/>
      <c r="B27" s="273" t="str">
        <f>UPPER(LEFT(TRIM(Data!B24),1)) &amp; MID(TRIM(Data!B24),2,50)</f>
        <v>Vulvos</v>
      </c>
      <c r="C27" s="273" t="str">
        <f>Data!C24</f>
        <v>C51</v>
      </c>
      <c r="D27" s="274">
        <f>Lent02m!D25</f>
        <v>55</v>
      </c>
      <c r="E27" s="275">
        <f>Lent02m!E25</f>
        <v>3.4477441096859041</v>
      </c>
      <c r="F27" s="276">
        <f>Lent02m!F25</f>
        <v>1.9045939927502165</v>
      </c>
      <c r="G27" s="276">
        <f>Lent02m!G25</f>
        <v>1.2717709912512369</v>
      </c>
      <c r="H27" s="271"/>
      <c r="I27" s="271"/>
      <c r="J27" s="271"/>
      <c r="K27" s="271"/>
      <c r="L27" s="271"/>
      <c r="M27" s="271"/>
      <c r="N27" s="271"/>
      <c r="O27" s="267"/>
      <c r="P27" s="349"/>
      <c r="Q27" s="521"/>
      <c r="R27" s="513"/>
      <c r="S27" s="513"/>
      <c r="T27" s="513"/>
      <c r="U27" s="513"/>
      <c r="V27" s="513"/>
      <c r="W27" s="513"/>
      <c r="X27" s="513"/>
      <c r="Y27" s="513"/>
      <c r="Z27" s="513"/>
      <c r="AA27" s="513"/>
      <c r="AB27" s="513"/>
      <c r="AC27" s="513"/>
      <c r="AD27" s="513"/>
      <c r="AE27" s="513"/>
      <c r="AF27" s="513"/>
      <c r="AG27" s="513"/>
      <c r="AH27" s="513"/>
      <c r="AI27" s="513"/>
      <c r="AJ27" s="513"/>
      <c r="AK27" s="521"/>
      <c r="AL27" s="513"/>
      <c r="AM27" s="513"/>
      <c r="AN27" s="513"/>
      <c r="AO27" s="513"/>
      <c r="AP27" s="513"/>
      <c r="AQ27" s="513"/>
      <c r="AR27" s="513"/>
      <c r="AS27" s="513"/>
      <c r="AT27" s="513"/>
      <c r="AU27" s="513"/>
      <c r="AV27" s="513"/>
      <c r="AW27" s="513"/>
      <c r="AX27" s="513"/>
      <c r="AY27" s="513"/>
      <c r="AZ27" s="513"/>
      <c r="BA27" s="513"/>
      <c r="BB27" s="513"/>
      <c r="BC27" s="513"/>
      <c r="BD27" s="513"/>
      <c r="BE27" s="476"/>
      <c r="BF27" s="476"/>
      <c r="BG27" s="476"/>
      <c r="BH27" s="476"/>
      <c r="BI27" s="476"/>
      <c r="BJ27" s="476"/>
      <c r="BK27" s="476"/>
      <c r="BL27" s="476"/>
      <c r="BM27" s="476"/>
      <c r="BN27" s="476"/>
      <c r="BO27" s="476"/>
      <c r="BP27" s="476"/>
      <c r="BQ27" s="476"/>
    </row>
    <row r="28" spans="1:69" s="341" customFormat="1" ht="12" customHeight="1">
      <c r="A28" s="266"/>
      <c r="B28" s="123" t="str">
        <f>UPPER(LEFT(TRIM(Data!B25),1)) &amp; MID(TRIM(Data!B25),2,50)</f>
        <v>Gimdos kaklelio</v>
      </c>
      <c r="C28" s="123" t="str">
        <f>Data!C25</f>
        <v>C53</v>
      </c>
      <c r="D28" s="124">
        <f>Lent02m!D26</f>
        <v>397</v>
      </c>
      <c r="E28" s="125">
        <f>Lent02m!E26</f>
        <v>24.886443846278254</v>
      </c>
      <c r="F28" s="126">
        <f>Lent02m!F26</f>
        <v>21.465052629022129</v>
      </c>
      <c r="G28" s="127">
        <f>Lent02m!G26</f>
        <v>16.976094084541732</v>
      </c>
      <c r="H28" s="271"/>
      <c r="I28" s="271"/>
      <c r="J28" s="271"/>
      <c r="K28" s="271"/>
      <c r="L28" s="271"/>
      <c r="M28" s="271"/>
      <c r="N28" s="271"/>
      <c r="O28" s="267"/>
      <c r="P28" s="349"/>
      <c r="Q28" s="521"/>
      <c r="R28" s="513"/>
      <c r="S28" s="513"/>
      <c r="T28" s="513"/>
      <c r="U28" s="513"/>
      <c r="V28" s="513"/>
      <c r="W28" s="513"/>
      <c r="X28" s="513"/>
      <c r="Y28" s="513"/>
      <c r="Z28" s="513"/>
      <c r="AA28" s="513"/>
      <c r="AB28" s="513"/>
      <c r="AC28" s="513"/>
      <c r="AD28" s="513"/>
      <c r="AE28" s="513"/>
      <c r="AF28" s="513"/>
      <c r="AG28" s="513"/>
      <c r="AH28" s="513"/>
      <c r="AI28" s="513"/>
      <c r="AJ28" s="513"/>
      <c r="AK28" s="521"/>
      <c r="AL28" s="513"/>
      <c r="AM28" s="513"/>
      <c r="AN28" s="513"/>
      <c r="AO28" s="513"/>
      <c r="AP28" s="513"/>
      <c r="AQ28" s="513"/>
      <c r="AR28" s="513"/>
      <c r="AS28" s="513"/>
      <c r="AT28" s="513"/>
      <c r="AU28" s="513"/>
      <c r="AV28" s="513"/>
      <c r="AW28" s="513"/>
      <c r="AX28" s="513"/>
      <c r="AY28" s="513"/>
      <c r="AZ28" s="513"/>
      <c r="BA28" s="513"/>
      <c r="BB28" s="513"/>
      <c r="BC28" s="513"/>
      <c r="BD28" s="513"/>
      <c r="BE28" s="476"/>
      <c r="BF28" s="476"/>
      <c r="BG28" s="476"/>
      <c r="BH28" s="476"/>
      <c r="BI28" s="476"/>
      <c r="BJ28" s="476"/>
      <c r="BK28" s="476"/>
      <c r="BL28" s="476"/>
      <c r="BM28" s="476"/>
      <c r="BN28" s="476"/>
      <c r="BO28" s="476"/>
      <c r="BP28" s="476"/>
      <c r="BQ28" s="476"/>
    </row>
    <row r="29" spans="1:69" s="341" customFormat="1" ht="12" customHeight="1">
      <c r="A29" s="266"/>
      <c r="B29" s="273" t="str">
        <f>UPPER(LEFT(TRIM(Data!B26),1)) &amp; MID(TRIM(Data!B26),2,50)</f>
        <v>Gimdos kūno</v>
      </c>
      <c r="C29" s="273" t="str">
        <f>Data!C26</f>
        <v>C54, C55</v>
      </c>
      <c r="D29" s="274">
        <f>Lent02m!D27</f>
        <v>641</v>
      </c>
      <c r="E29" s="275">
        <f>Lent02m!E27</f>
        <v>40.181890441975717</v>
      </c>
      <c r="F29" s="276">
        <f>Lent02m!F27</f>
        <v>28.323316877413717</v>
      </c>
      <c r="G29" s="276">
        <f>Lent02m!G27</f>
        <v>20.379991133276722</v>
      </c>
      <c r="H29" s="271"/>
      <c r="I29" s="271"/>
      <c r="J29" s="271"/>
      <c r="K29" s="271"/>
      <c r="L29" s="271"/>
      <c r="M29" s="271"/>
      <c r="N29" s="271"/>
      <c r="O29" s="267"/>
      <c r="P29" s="349"/>
      <c r="Q29" s="521"/>
      <c r="R29" s="513"/>
      <c r="S29" s="513"/>
      <c r="T29" s="513"/>
      <c r="U29" s="513"/>
      <c r="V29" s="513"/>
      <c r="W29" s="513"/>
      <c r="X29" s="513"/>
      <c r="Y29" s="513"/>
      <c r="Z29" s="513"/>
      <c r="AA29" s="513"/>
      <c r="AB29" s="513"/>
      <c r="AC29" s="513"/>
      <c r="AD29" s="513"/>
      <c r="AE29" s="513"/>
      <c r="AF29" s="513"/>
      <c r="AG29" s="513"/>
      <c r="AH29" s="513"/>
      <c r="AI29" s="513"/>
      <c r="AJ29" s="513"/>
      <c r="AK29" s="521"/>
      <c r="AL29" s="513"/>
      <c r="AM29" s="513"/>
      <c r="AN29" s="513"/>
      <c r="AO29" s="513"/>
      <c r="AP29" s="513"/>
      <c r="AQ29" s="513"/>
      <c r="AR29" s="513"/>
      <c r="AS29" s="513"/>
      <c r="AT29" s="513"/>
      <c r="AU29" s="513"/>
      <c r="AV29" s="513"/>
      <c r="AW29" s="513"/>
      <c r="AX29" s="513"/>
      <c r="AY29" s="513"/>
      <c r="AZ29" s="513"/>
      <c r="BA29" s="513"/>
      <c r="BB29" s="513"/>
      <c r="BC29" s="513"/>
      <c r="BD29" s="513"/>
      <c r="BE29" s="476"/>
      <c r="BF29" s="476"/>
      <c r="BG29" s="476"/>
      <c r="BH29" s="476"/>
      <c r="BI29" s="476"/>
      <c r="BJ29" s="476"/>
      <c r="BK29" s="476"/>
      <c r="BL29" s="476"/>
      <c r="BM29" s="476"/>
      <c r="BN29" s="476"/>
      <c r="BO29" s="476"/>
      <c r="BP29" s="476"/>
      <c r="BQ29" s="476"/>
    </row>
    <row r="30" spans="1:69" s="341" customFormat="1" ht="12" customHeight="1">
      <c r="A30" s="266"/>
      <c r="B30" s="123" t="str">
        <f>UPPER(LEFT(TRIM(Data!B27),1)) &amp; MID(TRIM(Data!B27),2,50)</f>
        <v>Kiaušidžių</v>
      </c>
      <c r="C30" s="123" t="str">
        <f>Data!C27</f>
        <v>C56</v>
      </c>
      <c r="D30" s="124">
        <f>Lent02m!D28</f>
        <v>363</v>
      </c>
      <c r="E30" s="125">
        <f>Lent02m!E28</f>
        <v>22.755111123926969</v>
      </c>
      <c r="F30" s="126">
        <f>Lent02m!F28</f>
        <v>15.96334986343126</v>
      </c>
      <c r="G30" s="127">
        <f>Lent02m!G28</f>
        <v>11.647824946761697</v>
      </c>
      <c r="H30" s="271"/>
      <c r="I30" s="271"/>
      <c r="J30" s="271"/>
      <c r="K30" s="271"/>
      <c r="L30" s="271"/>
      <c r="M30" s="271"/>
      <c r="N30" s="271"/>
      <c r="O30" s="267"/>
      <c r="P30" s="349"/>
      <c r="Q30" s="521"/>
      <c r="R30" s="513"/>
      <c r="S30" s="513"/>
      <c r="T30" s="513"/>
      <c r="U30" s="513"/>
      <c r="V30" s="513"/>
      <c r="W30" s="513"/>
      <c r="X30" s="513"/>
      <c r="Y30" s="513"/>
      <c r="Z30" s="513"/>
      <c r="AA30" s="513"/>
      <c r="AB30" s="513"/>
      <c r="AC30" s="513"/>
      <c r="AD30" s="513"/>
      <c r="AE30" s="513"/>
      <c r="AF30" s="513"/>
      <c r="AG30" s="513"/>
      <c r="AH30" s="513"/>
      <c r="AI30" s="513"/>
      <c r="AJ30" s="513"/>
      <c r="AK30" s="521"/>
      <c r="AL30" s="513"/>
      <c r="AM30" s="513"/>
      <c r="AN30" s="513"/>
      <c r="AO30" s="513"/>
      <c r="AP30" s="513"/>
      <c r="AQ30" s="513"/>
      <c r="AR30" s="513"/>
      <c r="AS30" s="513"/>
      <c r="AT30" s="513"/>
      <c r="AU30" s="513"/>
      <c r="AV30" s="513"/>
      <c r="AW30" s="513"/>
      <c r="AX30" s="513"/>
      <c r="AY30" s="513"/>
      <c r="AZ30" s="513"/>
      <c r="BA30" s="513"/>
      <c r="BB30" s="513"/>
      <c r="BC30" s="513"/>
      <c r="BD30" s="513"/>
      <c r="BE30" s="476"/>
      <c r="BF30" s="476"/>
      <c r="BG30" s="476"/>
      <c r="BH30" s="476"/>
      <c r="BI30" s="476"/>
      <c r="BJ30" s="476"/>
      <c r="BK30" s="476"/>
      <c r="BL30" s="476"/>
      <c r="BM30" s="476"/>
      <c r="BN30" s="476"/>
      <c r="BO30" s="476"/>
      <c r="BP30" s="476"/>
      <c r="BQ30" s="476"/>
    </row>
    <row r="31" spans="1:69" s="341" customFormat="1" ht="12" customHeight="1">
      <c r="A31" s="266"/>
      <c r="B31" s="273" t="str">
        <f>UPPER(LEFT(TRIM(Data!B28),1)) &amp; MID(TRIM(Data!B28),2,50)</f>
        <v>Priešinės liaukos</v>
      </c>
      <c r="C31" s="273" t="str">
        <f>Data!C28</f>
        <v>C61</v>
      </c>
      <c r="D31" s="274">
        <f>Lent02v!D25</f>
        <v>3223</v>
      </c>
      <c r="E31" s="275">
        <f>Lent02v!E25</f>
        <v>236.56035518550135</v>
      </c>
      <c r="F31" s="276">
        <f>Lent02v!F25</f>
        <v>207.30056830553013</v>
      </c>
      <c r="G31" s="276">
        <f>Lent02v!G25</f>
        <v>144.3300930705918</v>
      </c>
      <c r="H31" s="271"/>
      <c r="I31" s="271"/>
      <c r="J31" s="271"/>
      <c r="K31" s="271"/>
      <c r="L31" s="271"/>
      <c r="M31" s="271"/>
      <c r="N31" s="271"/>
      <c r="O31" s="267"/>
      <c r="P31" s="349"/>
      <c r="Q31" s="521"/>
      <c r="R31" s="513"/>
      <c r="S31" s="513"/>
      <c r="T31" s="513"/>
      <c r="U31" s="513"/>
      <c r="V31" s="513"/>
      <c r="W31" s="513"/>
      <c r="X31" s="513"/>
      <c r="Y31" s="513"/>
      <c r="Z31" s="513"/>
      <c r="AA31" s="513"/>
      <c r="AB31" s="513"/>
      <c r="AC31" s="513"/>
      <c r="AD31" s="513"/>
      <c r="AE31" s="513"/>
      <c r="AF31" s="513"/>
      <c r="AG31" s="513"/>
      <c r="AH31" s="513"/>
      <c r="AI31" s="513"/>
      <c r="AJ31" s="513"/>
      <c r="AK31" s="521"/>
      <c r="AL31" s="513"/>
      <c r="AM31" s="513"/>
      <c r="AN31" s="513"/>
      <c r="AO31" s="513"/>
      <c r="AP31" s="513"/>
      <c r="AQ31" s="513"/>
      <c r="AR31" s="513"/>
      <c r="AS31" s="513"/>
      <c r="AT31" s="513"/>
      <c r="AU31" s="513"/>
      <c r="AV31" s="513"/>
      <c r="AW31" s="513"/>
      <c r="AX31" s="513"/>
      <c r="AY31" s="513"/>
      <c r="AZ31" s="513"/>
      <c r="BA31" s="513"/>
      <c r="BB31" s="513"/>
      <c r="BC31" s="513"/>
      <c r="BD31" s="513"/>
      <c r="BE31" s="476"/>
      <c r="BF31" s="476"/>
      <c r="BG31" s="476"/>
      <c r="BH31" s="476"/>
      <c r="BI31" s="476"/>
      <c r="BJ31" s="476"/>
      <c r="BK31" s="476"/>
      <c r="BL31" s="476"/>
      <c r="BM31" s="476"/>
      <c r="BN31" s="476"/>
      <c r="BO31" s="476"/>
      <c r="BP31" s="476"/>
      <c r="BQ31" s="476"/>
    </row>
    <row r="32" spans="1:69" s="341" customFormat="1" ht="12" customHeight="1">
      <c r="A32" s="266"/>
      <c r="B32" s="123" t="str">
        <f>UPPER(LEFT(TRIM(Data!B29),1)) &amp; MID(TRIM(Data!B29),2,50)</f>
        <v>Sėklidžių</v>
      </c>
      <c r="C32" s="123" t="str">
        <f>Data!C29</f>
        <v>C62</v>
      </c>
      <c r="D32" s="124">
        <f>Lent02v!D26</f>
        <v>47</v>
      </c>
      <c r="E32" s="125">
        <f>Lent02v!E26</f>
        <v>3.4496856015260819</v>
      </c>
      <c r="F32" s="126">
        <f>Lent02v!F26</f>
        <v>3.3467021761977982</v>
      </c>
      <c r="G32" s="127">
        <f>Lent02v!G26</f>
        <v>3.1367774806655011</v>
      </c>
      <c r="H32" s="271"/>
      <c r="I32" s="271"/>
      <c r="J32" s="271"/>
      <c r="K32" s="271"/>
      <c r="L32" s="271"/>
      <c r="M32" s="271"/>
      <c r="N32" s="271"/>
      <c r="O32" s="267"/>
      <c r="P32" s="349"/>
      <c r="Q32" s="521"/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3"/>
      <c r="AF32" s="513"/>
      <c r="AG32" s="513"/>
      <c r="AH32" s="513"/>
      <c r="AI32" s="513"/>
      <c r="AJ32" s="513"/>
      <c r="AK32" s="521"/>
      <c r="AL32" s="513"/>
      <c r="AM32" s="513"/>
      <c r="AN32" s="513"/>
      <c r="AO32" s="513"/>
      <c r="AP32" s="513"/>
      <c r="AQ32" s="513"/>
      <c r="AR32" s="513"/>
      <c r="AS32" s="513"/>
      <c r="AT32" s="513"/>
      <c r="AU32" s="513"/>
      <c r="AV32" s="513"/>
      <c r="AW32" s="513"/>
      <c r="AX32" s="513"/>
      <c r="AY32" s="513"/>
      <c r="AZ32" s="513"/>
      <c r="BA32" s="513"/>
      <c r="BB32" s="513"/>
      <c r="BC32" s="513"/>
      <c r="BD32" s="513"/>
      <c r="BE32" s="476"/>
      <c r="BF32" s="476"/>
      <c r="BG32" s="476"/>
      <c r="BH32" s="476"/>
      <c r="BI32" s="476"/>
      <c r="BJ32" s="476"/>
      <c r="BK32" s="476"/>
      <c r="BL32" s="476"/>
      <c r="BM32" s="476"/>
      <c r="BN32" s="476"/>
      <c r="BO32" s="476"/>
      <c r="BP32" s="476"/>
      <c r="BQ32" s="476"/>
    </row>
    <row r="33" spans="1:69" s="341" customFormat="1" ht="12" customHeight="1">
      <c r="A33" s="266"/>
      <c r="B33" s="273" t="str">
        <f>UPPER(LEFT(TRIM(Data!B30),1)) &amp; MID(TRIM(Data!B30),2,50)</f>
        <v>Kitų lyties organų</v>
      </c>
      <c r="C33" s="273" t="str">
        <f>Data!C30</f>
        <v>C52, C57-C58, C60, C63</v>
      </c>
      <c r="D33" s="274">
        <f>Data!D30+Data!BQ30</f>
        <v>59</v>
      </c>
      <c r="E33" s="275">
        <f t="shared" si="5"/>
        <v>1.9948006703882661</v>
      </c>
      <c r="F33" s="276">
        <f t="shared" si="6"/>
        <v>1.5776932342514449</v>
      </c>
      <c r="G33" s="276">
        <f t="shared" si="7"/>
        <v>1.1683257432285239</v>
      </c>
      <c r="H33" s="271"/>
      <c r="I33" s="271"/>
      <c r="J33" s="271"/>
      <c r="K33" s="271"/>
      <c r="L33" s="271"/>
      <c r="M33" s="271"/>
      <c r="N33" s="271"/>
      <c r="O33" s="267"/>
      <c r="P33" s="349"/>
      <c r="Q33" s="521" t="s">
        <v>352</v>
      </c>
      <c r="R33" s="513">
        <f t="shared" si="3"/>
        <v>157769.32342514448</v>
      </c>
      <c r="S33" s="513">
        <f>(Data!Q30+Data!CD30)/S$6*100000*S$3</f>
        <v>0</v>
      </c>
      <c r="T33" s="513">
        <f>(Data!R30+Data!CE30)/T$6*100000*T$3</f>
        <v>5186.030316051505</v>
      </c>
      <c r="U33" s="513">
        <f>(Data!S30+Data!CF30)/U$6*100000*U$3</f>
        <v>0</v>
      </c>
      <c r="V33" s="513">
        <f>(Data!T30+Data!CG30)/V$6*100000*V$3</f>
        <v>0</v>
      </c>
      <c r="W33" s="513">
        <f>(Data!U30+Data!CH30)/W$6*100000*W$3</f>
        <v>0</v>
      </c>
      <c r="X33" s="513">
        <f>(Data!V30+Data!CI30)/X$6*100000*X$3</f>
        <v>0</v>
      </c>
      <c r="Y33" s="513">
        <f>(Data!W30+Data!CJ30)/Y$6*100000*Y$3</f>
        <v>3979.488578867778</v>
      </c>
      <c r="Z33" s="513">
        <f>(Data!X30+Data!CK30)/Z$6*100000*Z$3</f>
        <v>7503.9261613665722</v>
      </c>
      <c r="AA33" s="513">
        <f>(Data!Y30+Data!CL30)/AA$6*100000*AA$3</f>
        <v>13363.305318118257</v>
      </c>
      <c r="AB33" s="513">
        <f>(Data!Z30+Data!CM30)/AB$6*100000*AB$3</f>
        <v>6520.5140028038213</v>
      </c>
      <c r="AC33" s="513">
        <f>(Data!AA30+Data!CN30)/AC$6*100000*AC$3</f>
        <v>17757.033053448671</v>
      </c>
      <c r="AD33" s="513">
        <f>(Data!AB30+Data!CO30)/AD$6*100000*AD$3</f>
        <v>33630.059158331343</v>
      </c>
      <c r="AE33" s="513">
        <f>(Data!AC30+Data!CP30)/AE$6*100000*AE$3</f>
        <v>26249.628130268156</v>
      </c>
      <c r="AF33" s="513">
        <f>(Data!AD30+Data!CQ30)/AF$6*100000*AF$3</f>
        <v>5843.0413029982101</v>
      </c>
      <c r="AG33" s="513">
        <f>(Data!AE30+Data!CR30)/AG$6*100000*AG$3</f>
        <v>19103.953810885007</v>
      </c>
      <c r="AH33" s="513">
        <f>(Data!AF30+Data!CS30)/AH$6*100000*AH$3</f>
        <v>10038.564819849587</v>
      </c>
      <c r="AI33" s="513">
        <f>(Data!AG30+Data!CT30)/AI$6*100000*AI$3</f>
        <v>3494.4263899080961</v>
      </c>
      <c r="AJ33" s="513">
        <f>(Data!AH30+Data!CU30)/AJ$6*100000*AJ$3</f>
        <v>5099.3523822474544</v>
      </c>
      <c r="AK33" s="521" t="s">
        <v>352</v>
      </c>
      <c r="AL33" s="513">
        <f t="shared" si="4"/>
        <v>116832.57432285239</v>
      </c>
      <c r="AM33" s="513">
        <f>(Data!Q30+Data!CD30)/AM$6*100000*AM$3</f>
        <v>0</v>
      </c>
      <c r="AN33" s="513">
        <f>(Data!R30+Data!CE30)/AN$6*100000*AN$3</f>
        <v>7408.614737216436</v>
      </c>
      <c r="AO33" s="513">
        <f>(Data!S30+Data!CF30)/AO$6*100000*AO$3</f>
        <v>0</v>
      </c>
      <c r="AP33" s="513">
        <f>(Data!T30+Data!CG30)/AP$6*100000*AP$3</f>
        <v>0</v>
      </c>
      <c r="AQ33" s="513">
        <f>(Data!U30+Data!CH30)/AQ$6*100000*AQ$3</f>
        <v>0</v>
      </c>
      <c r="AR33" s="513">
        <f>(Data!V30+Data!CI30)/AR$6*100000*AR$3</f>
        <v>0</v>
      </c>
      <c r="AS33" s="513">
        <f>(Data!W30+Data!CJ30)/AS$6*100000*AS$3</f>
        <v>3410.9902104580956</v>
      </c>
      <c r="AT33" s="513">
        <f>(Data!X30+Data!CK30)/AT$6*100000*AT$3</f>
        <v>6431.9367097427757</v>
      </c>
      <c r="AU33" s="513">
        <f>(Data!Y30+Data!CL30)/AU$6*100000*AU$3</f>
        <v>11454.261701244219</v>
      </c>
      <c r="AV33" s="513">
        <f>(Data!Z30+Data!CM30)/AV$6*100000*AV$3</f>
        <v>5589.0120024032749</v>
      </c>
      <c r="AW33" s="513">
        <f>(Data!AA30+Data!CN30)/AW$6*100000*AW$3</f>
        <v>12683.595038177622</v>
      </c>
      <c r="AX33" s="513">
        <f>(Data!AB30+Data!CO30)/AX$6*100000*AX$3</f>
        <v>22420.039438887561</v>
      </c>
      <c r="AY33" s="513">
        <f>(Data!AC30+Data!CP30)/AY$6*100000*AY$3</f>
        <v>20999.702504214525</v>
      </c>
      <c r="AZ33" s="513">
        <f>(Data!AD30+Data!CQ30)/AZ$6*100000*AZ$3</f>
        <v>4382.2809772486571</v>
      </c>
      <c r="BA33" s="513">
        <f>(Data!AE30+Data!CR30)/BA$6*100000*BA$3</f>
        <v>12735.96920725667</v>
      </c>
      <c r="BB33" s="513">
        <f>(Data!AF30+Data!CS30)/BB$6*100000*BB$3</f>
        <v>5019.2824099247937</v>
      </c>
      <c r="BC33" s="513">
        <f>(Data!AG30+Data!CT30)/BC$6*100000*BC$3</f>
        <v>1747.213194954048</v>
      </c>
      <c r="BD33" s="513">
        <f>(Data!AH30+Data!CU30)/BD$6*100000*BD$3</f>
        <v>2549.6761911237272</v>
      </c>
      <c r="BE33" s="476"/>
      <c r="BF33" s="476"/>
      <c r="BG33" s="476"/>
      <c r="BH33" s="476"/>
      <c r="BI33" s="476"/>
      <c r="BJ33" s="476"/>
      <c r="BK33" s="476"/>
      <c r="BL33" s="476"/>
      <c r="BM33" s="476"/>
      <c r="BN33" s="476"/>
      <c r="BO33" s="476"/>
      <c r="BP33" s="476"/>
      <c r="BQ33" s="476"/>
    </row>
    <row r="34" spans="1:69" s="341" customFormat="1" ht="12" customHeight="1">
      <c r="A34" s="266"/>
      <c r="B34" s="123" t="str">
        <f>UPPER(LEFT(TRIM(Data!B31),1)) &amp; MID(TRIM(Data!B31),2,50)</f>
        <v>Inkstų</v>
      </c>
      <c r="C34" s="123" t="str">
        <f>Data!C31</f>
        <v>C64</v>
      </c>
      <c r="D34" s="124">
        <f>Data!D31+Data!BQ31</f>
        <v>634</v>
      </c>
      <c r="E34" s="125">
        <f t="shared" ref="E34:E46" si="8">D34/$R$6*100000</f>
        <v>21.435654661460351</v>
      </c>
      <c r="F34" s="126">
        <f t="shared" ref="F34:F46" si="9">R34/$R$3</f>
        <v>15.847438223660674</v>
      </c>
      <c r="G34" s="127">
        <f t="shared" ref="G34:G46" si="10">AL34/$AL$3</f>
        <v>11.39905849555794</v>
      </c>
      <c r="H34" s="271"/>
      <c r="I34" s="271"/>
      <c r="J34" s="271"/>
      <c r="K34" s="271"/>
      <c r="L34" s="271"/>
      <c r="M34" s="271"/>
      <c r="N34" s="271"/>
      <c r="O34" s="267"/>
      <c r="P34" s="349"/>
      <c r="Q34" s="521" t="s">
        <v>352</v>
      </c>
      <c r="R34" s="513">
        <f t="shared" si="3"/>
        <v>1584743.8223660674</v>
      </c>
      <c r="S34" s="513">
        <f>(Data!Q31+Data!CD31)/S$6*100000*S$3</f>
        <v>15887.516384001272</v>
      </c>
      <c r="T34" s="513">
        <f>(Data!R31+Data!CE31)/T$6*100000*T$3</f>
        <v>5186.030316051505</v>
      </c>
      <c r="U34" s="513">
        <f>(Data!S31+Data!CF31)/U$6*100000*U$3</f>
        <v>0</v>
      </c>
      <c r="V34" s="513">
        <f>(Data!T31+Data!CG31)/V$6*100000*V$3</f>
        <v>0</v>
      </c>
      <c r="W34" s="513">
        <f>(Data!U31+Data!CH31)/W$6*100000*W$3</f>
        <v>3271.5019465436585</v>
      </c>
      <c r="X34" s="513">
        <f>(Data!V31+Data!CI31)/X$6*100000*X$3</f>
        <v>10794.029359759857</v>
      </c>
      <c r="Y34" s="513">
        <f>(Data!W31+Data!CJ31)/Y$6*100000*Y$3</f>
        <v>15917.954315471112</v>
      </c>
      <c r="Z34" s="513">
        <f>(Data!X31+Data!CK31)/Z$6*100000*Z$3</f>
        <v>26263.741564783002</v>
      </c>
      <c r="AA34" s="513">
        <f>(Data!Y31+Data!CL31)/AA$6*100000*AA$3</f>
        <v>63475.700261061713</v>
      </c>
      <c r="AB34" s="513">
        <f>(Data!Z31+Data!CM31)/AB$6*100000*AB$3</f>
        <v>117369.25205046877</v>
      </c>
      <c r="AC34" s="513">
        <f>(Data!AA31+Data!CN31)/AC$6*100000*AC$3</f>
        <v>174610.82502557858</v>
      </c>
      <c r="AD34" s="513">
        <f>(Data!AB31+Data!CO31)/AD$6*100000*AD$3</f>
        <v>204837.63305529088</v>
      </c>
      <c r="AE34" s="513">
        <f>(Data!AC31+Data!CP31)/AE$6*100000*AE$3</f>
        <v>224580.15178118309</v>
      </c>
      <c r="AF34" s="513">
        <f>(Data!AD31+Data!CQ31)/AF$6*100000*AF$3</f>
        <v>245407.73472592485</v>
      </c>
      <c r="AG34" s="513">
        <f>(Data!AE31+Data!CR31)/AG$6*100000*AG$3</f>
        <v>227124.78419607732</v>
      </c>
      <c r="AH34" s="513">
        <f>(Data!AF31+Data!CS31)/AH$6*100000*AH$3</f>
        <v>137193.71920461106</v>
      </c>
      <c r="AI34" s="513">
        <f>(Data!AG31+Data!CT31)/AI$6*100000*AI$3</f>
        <v>65229.292611617806</v>
      </c>
      <c r="AJ34" s="513">
        <f>(Data!AH31+Data!CU31)/AJ$6*100000*AJ$3</f>
        <v>47593.955567642915</v>
      </c>
      <c r="AK34" s="521" t="s">
        <v>352</v>
      </c>
      <c r="AL34" s="513">
        <f t="shared" si="4"/>
        <v>1139905.8495557939</v>
      </c>
      <c r="AM34" s="513">
        <f>(Data!Q31+Data!CD31)/AM$6*100000*AM$3</f>
        <v>23831.274576001906</v>
      </c>
      <c r="AN34" s="513">
        <f>(Data!R31+Data!CE31)/AN$6*100000*AN$3</f>
        <v>7408.614737216436</v>
      </c>
      <c r="AO34" s="513">
        <f>(Data!S31+Data!CF31)/AO$6*100000*AO$3</f>
        <v>0</v>
      </c>
      <c r="AP34" s="513">
        <f>(Data!T31+Data!CG31)/AP$6*100000*AP$3</f>
        <v>0</v>
      </c>
      <c r="AQ34" s="513">
        <f>(Data!U31+Data!CH31)/AQ$6*100000*AQ$3</f>
        <v>3738.859367478467</v>
      </c>
      <c r="AR34" s="513">
        <f>(Data!V31+Data!CI31)/AR$6*100000*AR$3</f>
        <v>12336.033554011266</v>
      </c>
      <c r="AS34" s="513">
        <f>(Data!W31+Data!CJ31)/AS$6*100000*AS$3</f>
        <v>13643.960841832382</v>
      </c>
      <c r="AT34" s="513">
        <f>(Data!X31+Data!CK31)/AT$6*100000*AT$3</f>
        <v>22511.778484099716</v>
      </c>
      <c r="AU34" s="513">
        <f>(Data!Y31+Data!CL31)/AU$6*100000*AU$3</f>
        <v>54407.743080910041</v>
      </c>
      <c r="AV34" s="513">
        <f>(Data!Z31+Data!CM31)/AV$6*100000*AV$3</f>
        <v>100602.21604325894</v>
      </c>
      <c r="AW34" s="513">
        <f>(Data!AA31+Data!CN31)/AW$6*100000*AW$3</f>
        <v>124722.01787541326</v>
      </c>
      <c r="AX34" s="513">
        <f>(Data!AB31+Data!CO31)/AX$6*100000*AX$3</f>
        <v>136558.42203686057</v>
      </c>
      <c r="AY34" s="513">
        <f>(Data!AC31+Data!CP31)/AY$6*100000*AY$3</f>
        <v>179664.12142494647</v>
      </c>
      <c r="AZ34" s="513">
        <f>(Data!AD31+Data!CQ31)/AZ$6*100000*AZ$3</f>
        <v>184055.80104444365</v>
      </c>
      <c r="BA34" s="513">
        <f>(Data!AE31+Data!CR31)/BA$6*100000*BA$3</f>
        <v>151416.52279738488</v>
      </c>
      <c r="BB34" s="513">
        <f>(Data!AF31+Data!CS31)/BB$6*100000*BB$3</f>
        <v>68596.859602305529</v>
      </c>
      <c r="BC34" s="513">
        <f>(Data!AG31+Data!CT31)/BC$6*100000*BC$3</f>
        <v>32614.646305808903</v>
      </c>
      <c r="BD34" s="513">
        <f>(Data!AH31+Data!CU31)/BD$6*100000*BD$3</f>
        <v>23796.977783821458</v>
      </c>
      <c r="BE34" s="476"/>
      <c r="BF34" s="476"/>
      <c r="BG34" s="476"/>
      <c r="BH34" s="476"/>
      <c r="BI34" s="476"/>
      <c r="BJ34" s="476"/>
      <c r="BK34" s="476"/>
      <c r="BL34" s="476"/>
      <c r="BM34" s="476"/>
      <c r="BN34" s="476"/>
      <c r="BO34" s="476"/>
      <c r="BP34" s="476"/>
      <c r="BQ34" s="476"/>
    </row>
    <row r="35" spans="1:69" s="341" customFormat="1" ht="12" customHeight="1">
      <c r="A35" s="266"/>
      <c r="B35" s="273" t="str">
        <f>UPPER(LEFT(TRIM(Data!B32),1)) &amp; MID(TRIM(Data!B32),2,50)</f>
        <v>Šlapimo pūslės</v>
      </c>
      <c r="C35" s="273" t="str">
        <f>Data!C32</f>
        <v>C67</v>
      </c>
      <c r="D35" s="274">
        <f>Data!D32+Data!BQ32</f>
        <v>356</v>
      </c>
      <c r="E35" s="275">
        <f t="shared" si="8"/>
        <v>12.036424384037673</v>
      </c>
      <c r="F35" s="276">
        <f t="shared" si="9"/>
        <v>7.7322102515556503</v>
      </c>
      <c r="G35" s="276">
        <f t="shared" si="10"/>
        <v>5.1278111548192253</v>
      </c>
      <c r="H35" s="271"/>
      <c r="I35" s="271"/>
      <c r="J35" s="271"/>
      <c r="K35" s="271"/>
      <c r="L35" s="271"/>
      <c r="M35" s="271"/>
      <c r="N35" s="271"/>
      <c r="O35" s="267"/>
      <c r="P35" s="349"/>
      <c r="Q35" s="521" t="s">
        <v>352</v>
      </c>
      <c r="R35" s="513">
        <f t="shared" si="3"/>
        <v>773221.025155565</v>
      </c>
      <c r="S35" s="513">
        <f>(Data!Q32+Data!CD32)/S$6*100000*S$3</f>
        <v>5295.83879466709</v>
      </c>
      <c r="T35" s="513">
        <f>(Data!R32+Data!CE32)/T$6*100000*T$3</f>
        <v>0</v>
      </c>
      <c r="U35" s="513">
        <f>(Data!S32+Data!CF32)/U$6*100000*U$3</f>
        <v>0</v>
      </c>
      <c r="V35" s="513">
        <f>(Data!T32+Data!CG32)/V$6*100000*V$3</f>
        <v>0</v>
      </c>
      <c r="W35" s="513">
        <f>(Data!U32+Data!CH32)/W$6*100000*W$3</f>
        <v>0</v>
      </c>
      <c r="X35" s="513">
        <f>(Data!V32+Data!CI32)/X$6*100000*X$3</f>
        <v>3598.0097865866192</v>
      </c>
      <c r="Y35" s="513">
        <f>(Data!W32+Data!CJ32)/Y$6*100000*Y$3</f>
        <v>7958.9771577355559</v>
      </c>
      <c r="Z35" s="513">
        <f>(Data!X32+Data!CK32)/Z$6*100000*Z$3</f>
        <v>7503.9261613665722</v>
      </c>
      <c r="AA35" s="513">
        <f>(Data!Y32+Data!CL32)/AA$6*100000*AA$3</f>
        <v>23385.784306706944</v>
      </c>
      <c r="AB35" s="513">
        <f>(Data!Z32+Data!CM32)/AB$6*100000*AB$3</f>
        <v>13041.028005607643</v>
      </c>
      <c r="AC35" s="513">
        <f>(Data!AA32+Data!CN32)/AC$6*100000*AC$3</f>
        <v>47352.088142529785</v>
      </c>
      <c r="AD35" s="513">
        <f>(Data!AB32+Data!CO32)/AD$6*100000*AD$3</f>
        <v>76431.952632571221</v>
      </c>
      <c r="AE35" s="513">
        <f>(Data!AC32+Data!CP32)/AE$6*100000*AE$3</f>
        <v>90415.385782034748</v>
      </c>
      <c r="AF35" s="513">
        <f>(Data!AD32+Data!CQ32)/AF$6*100000*AF$3</f>
        <v>108096.26410546691</v>
      </c>
      <c r="AG35" s="513">
        <f>(Data!AE32+Data!CR32)/AG$6*100000*AG$3</f>
        <v>137972.99974528063</v>
      </c>
      <c r="AH35" s="513">
        <f>(Data!AF32+Data!CS32)/AH$6*100000*AH$3</f>
        <v>130501.34265804465</v>
      </c>
      <c r="AI35" s="513">
        <f>(Data!AG32+Data!CT32)/AI$6*100000*AI$3</f>
        <v>57075.631035165577</v>
      </c>
      <c r="AJ35" s="513">
        <f>(Data!AH32+Data!CU32)/AJ$6*100000*AJ$3</f>
        <v>64591.796841801086</v>
      </c>
      <c r="AK35" s="521" t="s">
        <v>352</v>
      </c>
      <c r="AL35" s="513">
        <f t="shared" si="4"/>
        <v>512781.11548192252</v>
      </c>
      <c r="AM35" s="513">
        <f>(Data!Q32+Data!CD32)/AM$6*100000*AM$3</f>
        <v>7943.7581920006351</v>
      </c>
      <c r="AN35" s="513">
        <f>(Data!R32+Data!CE32)/AN$6*100000*AN$3</f>
        <v>0</v>
      </c>
      <c r="AO35" s="513">
        <f>(Data!S32+Data!CF32)/AO$6*100000*AO$3</f>
        <v>0</v>
      </c>
      <c r="AP35" s="513">
        <f>(Data!T32+Data!CG32)/AP$6*100000*AP$3</f>
        <v>0</v>
      </c>
      <c r="AQ35" s="513">
        <f>(Data!U32+Data!CH32)/AQ$6*100000*AQ$3</f>
        <v>0</v>
      </c>
      <c r="AR35" s="513">
        <f>(Data!V32+Data!CI32)/AR$6*100000*AR$3</f>
        <v>4112.0111846704222</v>
      </c>
      <c r="AS35" s="513">
        <f>(Data!W32+Data!CJ32)/AS$6*100000*AS$3</f>
        <v>6821.9804209161912</v>
      </c>
      <c r="AT35" s="513">
        <f>(Data!X32+Data!CK32)/AT$6*100000*AT$3</f>
        <v>6431.9367097427757</v>
      </c>
      <c r="AU35" s="513">
        <f>(Data!Y32+Data!CL32)/AU$6*100000*AU$3</f>
        <v>20044.957977177382</v>
      </c>
      <c r="AV35" s="513">
        <f>(Data!Z32+Data!CM32)/AV$6*100000*AV$3</f>
        <v>11178.02400480655</v>
      </c>
      <c r="AW35" s="513">
        <f>(Data!AA32+Data!CN32)/AW$6*100000*AW$3</f>
        <v>33822.920101806987</v>
      </c>
      <c r="AX35" s="513">
        <f>(Data!AB32+Data!CO32)/AX$6*100000*AX$3</f>
        <v>50954.635088380819</v>
      </c>
      <c r="AY35" s="513">
        <f>(Data!AC32+Data!CP32)/AY$6*100000*AY$3</f>
        <v>72332.308625627804</v>
      </c>
      <c r="AZ35" s="513">
        <f>(Data!AD32+Data!CQ32)/AZ$6*100000*AZ$3</f>
        <v>81072.19807910017</v>
      </c>
      <c r="BA35" s="513">
        <f>(Data!AE32+Data!CR32)/BA$6*100000*BA$3</f>
        <v>91981.99983018708</v>
      </c>
      <c r="BB35" s="513">
        <f>(Data!AF32+Data!CS32)/BB$6*100000*BB$3</f>
        <v>65250.671329022327</v>
      </c>
      <c r="BC35" s="513">
        <f>(Data!AG32+Data!CT32)/BC$6*100000*BC$3</f>
        <v>28537.815517582789</v>
      </c>
      <c r="BD35" s="513">
        <f>(Data!AH32+Data!CU32)/BD$6*100000*BD$3</f>
        <v>32295.898420900543</v>
      </c>
      <c r="BE35" s="476"/>
      <c r="BF35" s="476"/>
      <c r="BG35" s="476"/>
      <c r="BH35" s="476"/>
      <c r="BI35" s="476"/>
      <c r="BJ35" s="476"/>
      <c r="BK35" s="476"/>
      <c r="BL35" s="476"/>
      <c r="BM35" s="476"/>
      <c r="BN35" s="476"/>
      <c r="BO35" s="476"/>
      <c r="BP35" s="476"/>
      <c r="BQ35" s="476"/>
    </row>
    <row r="36" spans="1:69" s="341" customFormat="1" ht="12" customHeight="1">
      <c r="A36" s="266"/>
      <c r="B36" s="123" t="str">
        <f>UPPER(LEFT(TRIM(Data!B33),1)) &amp; MID(TRIM(Data!B33),2,50)</f>
        <v>Kitų šlapimą išskiriančių organų</v>
      </c>
      <c r="C36" s="123" t="str">
        <f>Data!C33</f>
        <v>C65, C66, C68</v>
      </c>
      <c r="D36" s="124">
        <f>Data!D33+Data!BQ33</f>
        <v>26</v>
      </c>
      <c r="E36" s="125">
        <f t="shared" si="8"/>
        <v>0.87906470220499855</v>
      </c>
      <c r="F36" s="126">
        <f t="shared" si="9"/>
        <v>0.56965537513784881</v>
      </c>
      <c r="G36" s="127">
        <f t="shared" si="10"/>
        <v>0.38547405716770494</v>
      </c>
      <c r="H36" s="271"/>
      <c r="I36" s="271"/>
      <c r="J36" s="271"/>
      <c r="K36" s="271"/>
      <c r="L36" s="271"/>
      <c r="M36" s="271"/>
      <c r="N36" s="271"/>
      <c r="O36" s="267"/>
      <c r="P36" s="349"/>
      <c r="Q36" s="521" t="s">
        <v>352</v>
      </c>
      <c r="R36" s="513">
        <f t="shared" si="3"/>
        <v>56965.537513784882</v>
      </c>
      <c r="S36" s="513">
        <f>(Data!Q33+Data!CD33)/S$6*100000*S$3</f>
        <v>0</v>
      </c>
      <c r="T36" s="513">
        <f>(Data!R33+Data!CE33)/T$6*100000*T$3</f>
        <v>0</v>
      </c>
      <c r="U36" s="513">
        <f>(Data!S33+Data!CF33)/U$6*100000*U$3</f>
        <v>0</v>
      </c>
      <c r="V36" s="513">
        <f>(Data!T33+Data!CG33)/V$6*100000*V$3</f>
        <v>0</v>
      </c>
      <c r="W36" s="513">
        <f>(Data!U33+Data!CH33)/W$6*100000*W$3</f>
        <v>0</v>
      </c>
      <c r="X36" s="513">
        <f>(Data!V33+Data!CI33)/X$6*100000*X$3</f>
        <v>0</v>
      </c>
      <c r="Y36" s="513">
        <f>(Data!W33+Data!CJ33)/Y$6*100000*Y$3</f>
        <v>0</v>
      </c>
      <c r="Z36" s="513">
        <f>(Data!X33+Data!CK33)/Z$6*100000*Z$3</f>
        <v>0</v>
      </c>
      <c r="AA36" s="513">
        <f>(Data!Y33+Data!CL33)/AA$6*100000*AA$3</f>
        <v>0</v>
      </c>
      <c r="AB36" s="513">
        <f>(Data!Z33+Data!CM33)/AB$6*100000*AB$3</f>
        <v>3260.2570014019107</v>
      </c>
      <c r="AC36" s="513">
        <f>(Data!AA33+Data!CN33)/AC$6*100000*AC$3</f>
        <v>2959.5055089081116</v>
      </c>
      <c r="AD36" s="513">
        <f>(Data!AB33+Data!CO33)/AD$6*100000*AD$3</f>
        <v>3057.2781053028489</v>
      </c>
      <c r="AE36" s="513">
        <f>(Data!AC33+Data!CP33)/AE$6*100000*AE$3</f>
        <v>2916.6253478075728</v>
      </c>
      <c r="AF36" s="513">
        <f>(Data!AD33+Data!CQ33)/AF$6*100000*AF$3</f>
        <v>20450.644560493736</v>
      </c>
      <c r="AG36" s="513">
        <f>(Data!AE33+Data!CR33)/AG$6*100000*AG$3</f>
        <v>10613.307672713894</v>
      </c>
      <c r="AH36" s="513">
        <f>(Data!AF33+Data!CS33)/AH$6*100000*AH$3</f>
        <v>5019.2824099247937</v>
      </c>
      <c r="AI36" s="513">
        <f>(Data!AG33+Data!CT33)/AI$6*100000*AI$3</f>
        <v>6988.8527798161922</v>
      </c>
      <c r="AJ36" s="513">
        <f>(Data!AH33+Data!CU33)/AJ$6*100000*AJ$3</f>
        <v>1699.7841274158184</v>
      </c>
      <c r="AK36" s="521" t="s">
        <v>352</v>
      </c>
      <c r="AL36" s="513">
        <f t="shared" si="4"/>
        <v>38547.405716770496</v>
      </c>
      <c r="AM36" s="513">
        <f>(Data!Q33+Data!CD33)/AM$6*100000*AM$3</f>
        <v>0</v>
      </c>
      <c r="AN36" s="513">
        <f>(Data!R33+Data!CE33)/AN$6*100000*AN$3</f>
        <v>0</v>
      </c>
      <c r="AO36" s="513">
        <f>(Data!S33+Data!CF33)/AO$6*100000*AO$3</f>
        <v>0</v>
      </c>
      <c r="AP36" s="513">
        <f>(Data!T33+Data!CG33)/AP$6*100000*AP$3</f>
        <v>0</v>
      </c>
      <c r="AQ36" s="513">
        <f>(Data!U33+Data!CH33)/AQ$6*100000*AQ$3</f>
        <v>0</v>
      </c>
      <c r="AR36" s="513">
        <f>(Data!V33+Data!CI33)/AR$6*100000*AR$3</f>
        <v>0</v>
      </c>
      <c r="AS36" s="513">
        <f>(Data!W33+Data!CJ33)/AS$6*100000*AS$3</f>
        <v>0</v>
      </c>
      <c r="AT36" s="513">
        <f>(Data!X33+Data!CK33)/AT$6*100000*AT$3</f>
        <v>0</v>
      </c>
      <c r="AU36" s="513">
        <f>(Data!Y33+Data!CL33)/AU$6*100000*AU$3</f>
        <v>0</v>
      </c>
      <c r="AV36" s="513">
        <f>(Data!Z33+Data!CM33)/AV$6*100000*AV$3</f>
        <v>2794.5060012016374</v>
      </c>
      <c r="AW36" s="513">
        <f>(Data!AA33+Data!CN33)/AW$6*100000*AW$3</f>
        <v>2113.9325063629367</v>
      </c>
      <c r="AX36" s="513">
        <f>(Data!AB33+Data!CO33)/AX$6*100000*AX$3</f>
        <v>2038.1854035352328</v>
      </c>
      <c r="AY36" s="513">
        <f>(Data!AC33+Data!CP33)/AY$6*100000*AY$3</f>
        <v>2333.300278246058</v>
      </c>
      <c r="AZ36" s="513">
        <f>(Data!AD33+Data!CQ33)/AZ$6*100000*AZ$3</f>
        <v>15337.983420370301</v>
      </c>
      <c r="BA36" s="513">
        <f>(Data!AE33+Data!CR33)/BA$6*100000*BA$3</f>
        <v>7075.5384484759288</v>
      </c>
      <c r="BB36" s="513">
        <f>(Data!AF33+Data!CS33)/BB$6*100000*BB$3</f>
        <v>2509.6412049623968</v>
      </c>
      <c r="BC36" s="513">
        <f>(Data!AG33+Data!CT33)/BC$6*100000*BC$3</f>
        <v>3494.4263899080961</v>
      </c>
      <c r="BD36" s="513">
        <f>(Data!AH33+Data!CU33)/BD$6*100000*BD$3</f>
        <v>849.89206370790919</v>
      </c>
      <c r="BE36" s="476"/>
      <c r="BF36" s="476"/>
      <c r="BG36" s="476"/>
      <c r="BH36" s="476"/>
      <c r="BI36" s="476"/>
      <c r="BJ36" s="476"/>
      <c r="BK36" s="476"/>
      <c r="BL36" s="476"/>
      <c r="BM36" s="476"/>
      <c r="BN36" s="476"/>
      <c r="BO36" s="476"/>
      <c r="BP36" s="476"/>
      <c r="BQ36" s="476"/>
    </row>
    <row r="37" spans="1:69" s="341" customFormat="1" ht="12" customHeight="1">
      <c r="A37" s="266"/>
      <c r="B37" s="273" t="str">
        <f>UPPER(LEFT(TRIM(Data!B34),1)) &amp; MID(TRIM(Data!B34),2,50)</f>
        <v>Akių</v>
      </c>
      <c r="C37" s="273" t="str">
        <f>Data!C34</f>
        <v>C69</v>
      </c>
      <c r="D37" s="274">
        <f>Data!D34+Data!BQ34</f>
        <v>32</v>
      </c>
      <c r="E37" s="275">
        <f t="shared" si="8"/>
        <v>1.0819257873292292</v>
      </c>
      <c r="F37" s="276">
        <f t="shared" si="9"/>
        <v>0.83366428163900874</v>
      </c>
      <c r="G37" s="276">
        <f t="shared" si="10"/>
        <v>0.64275395809297109</v>
      </c>
      <c r="H37" s="271"/>
      <c r="I37" s="271"/>
      <c r="J37" s="271"/>
      <c r="K37" s="271"/>
      <c r="L37" s="271"/>
      <c r="M37" s="271"/>
      <c r="N37" s="271"/>
      <c r="O37" s="267"/>
      <c r="P37" s="349"/>
      <c r="Q37" s="521" t="s">
        <v>352</v>
      </c>
      <c r="R37" s="513">
        <f t="shared" si="3"/>
        <v>83366.42816390087</v>
      </c>
      <c r="S37" s="513">
        <f>(Data!Q34+Data!CD34)/S$6*100000*S$3</f>
        <v>5295.83879466709</v>
      </c>
      <c r="T37" s="513">
        <f>(Data!R34+Data!CE34)/T$6*100000*T$3</f>
        <v>0</v>
      </c>
      <c r="U37" s="513">
        <f>(Data!S34+Data!CF34)/U$6*100000*U$3</f>
        <v>0</v>
      </c>
      <c r="V37" s="513">
        <f>(Data!T34+Data!CG34)/V$6*100000*V$3</f>
        <v>0</v>
      </c>
      <c r="W37" s="513">
        <f>(Data!U34+Data!CH34)/W$6*100000*W$3</f>
        <v>3271.5019465436585</v>
      </c>
      <c r="X37" s="513">
        <f>(Data!V34+Data!CI34)/X$6*100000*X$3</f>
        <v>0</v>
      </c>
      <c r="Y37" s="513">
        <f>(Data!W34+Data!CJ34)/Y$6*100000*Y$3</f>
        <v>0</v>
      </c>
      <c r="Z37" s="513">
        <f>(Data!X34+Data!CK34)/Z$6*100000*Z$3</f>
        <v>0</v>
      </c>
      <c r="AA37" s="513">
        <f>(Data!Y34+Data!CL34)/AA$6*100000*AA$3</f>
        <v>3340.8263295295642</v>
      </c>
      <c r="AB37" s="513">
        <f>(Data!Z34+Data!CM34)/AB$6*100000*AB$3</f>
        <v>0</v>
      </c>
      <c r="AC37" s="513">
        <f>(Data!AA34+Data!CN34)/AC$6*100000*AC$3</f>
        <v>5919.0110178162231</v>
      </c>
      <c r="AD37" s="513">
        <f>(Data!AB34+Data!CO34)/AD$6*100000*AD$3</f>
        <v>12229.112421211395</v>
      </c>
      <c r="AE37" s="513">
        <f>(Data!AC34+Data!CP34)/AE$6*100000*AE$3</f>
        <v>17499.752086845438</v>
      </c>
      <c r="AF37" s="513">
        <f>(Data!AD34+Data!CQ34)/AF$6*100000*AF$3</f>
        <v>17529.123908994632</v>
      </c>
      <c r="AG37" s="513">
        <f>(Data!AE34+Data!CR34)/AG$6*100000*AG$3</f>
        <v>6367.9846036283361</v>
      </c>
      <c r="AH37" s="513">
        <f>(Data!AF34+Data!CS34)/AH$6*100000*AH$3</f>
        <v>5019.2824099247937</v>
      </c>
      <c r="AI37" s="513">
        <f>(Data!AG34+Data!CT34)/AI$6*100000*AI$3</f>
        <v>3494.4263899080961</v>
      </c>
      <c r="AJ37" s="513">
        <f>(Data!AH34+Data!CU34)/AJ$6*100000*AJ$3</f>
        <v>3399.5682548316368</v>
      </c>
      <c r="AK37" s="521" t="s">
        <v>352</v>
      </c>
      <c r="AL37" s="513">
        <f t="shared" si="4"/>
        <v>64275.395809297108</v>
      </c>
      <c r="AM37" s="513">
        <f>(Data!Q34+Data!CD34)/AM$6*100000*AM$3</f>
        <v>7943.7581920006351</v>
      </c>
      <c r="AN37" s="513">
        <f>(Data!R34+Data!CE34)/AN$6*100000*AN$3</f>
        <v>0</v>
      </c>
      <c r="AO37" s="513">
        <f>(Data!S34+Data!CF34)/AO$6*100000*AO$3</f>
        <v>0</v>
      </c>
      <c r="AP37" s="513">
        <f>(Data!T34+Data!CG34)/AP$6*100000*AP$3</f>
        <v>0</v>
      </c>
      <c r="AQ37" s="513">
        <f>(Data!U34+Data!CH34)/AQ$6*100000*AQ$3</f>
        <v>3738.859367478467</v>
      </c>
      <c r="AR37" s="513">
        <f>(Data!V34+Data!CI34)/AR$6*100000*AR$3</f>
        <v>0</v>
      </c>
      <c r="AS37" s="513">
        <f>(Data!W34+Data!CJ34)/AS$6*100000*AS$3</f>
        <v>0</v>
      </c>
      <c r="AT37" s="513">
        <f>(Data!X34+Data!CK34)/AT$6*100000*AT$3</f>
        <v>0</v>
      </c>
      <c r="AU37" s="513">
        <f>(Data!Y34+Data!CL34)/AU$6*100000*AU$3</f>
        <v>2863.5654253110547</v>
      </c>
      <c r="AV37" s="513">
        <f>(Data!Z34+Data!CM34)/AV$6*100000*AV$3</f>
        <v>0</v>
      </c>
      <c r="AW37" s="513">
        <f>(Data!AA34+Data!CN34)/AW$6*100000*AW$3</f>
        <v>4227.8650127258734</v>
      </c>
      <c r="AX37" s="513">
        <f>(Data!AB34+Data!CO34)/AX$6*100000*AX$3</f>
        <v>8152.7416141409312</v>
      </c>
      <c r="AY37" s="513">
        <f>(Data!AC34+Data!CP34)/AY$6*100000*AY$3</f>
        <v>13999.80166947635</v>
      </c>
      <c r="AZ37" s="513">
        <f>(Data!AD34+Data!CQ34)/AZ$6*100000*AZ$3</f>
        <v>13146.842931745974</v>
      </c>
      <c r="BA37" s="513">
        <f>(Data!AE34+Data!CR34)/BA$6*100000*BA$3</f>
        <v>4245.323069085558</v>
      </c>
      <c r="BB37" s="513">
        <f>(Data!AF34+Data!CS34)/BB$6*100000*BB$3</f>
        <v>2509.6412049623968</v>
      </c>
      <c r="BC37" s="513">
        <f>(Data!AG34+Data!CT34)/BC$6*100000*BC$3</f>
        <v>1747.213194954048</v>
      </c>
      <c r="BD37" s="513">
        <f>(Data!AH34+Data!CU34)/BD$6*100000*BD$3</f>
        <v>1699.7841274158184</v>
      </c>
      <c r="BE37" s="476"/>
      <c r="BF37" s="476"/>
      <c r="BG37" s="476"/>
      <c r="BH37" s="476"/>
      <c r="BI37" s="476"/>
      <c r="BJ37" s="476"/>
      <c r="BK37" s="476"/>
      <c r="BL37" s="476"/>
      <c r="BM37" s="476"/>
      <c r="BN37" s="476"/>
      <c r="BO37" s="476"/>
      <c r="BP37" s="476"/>
      <c r="BQ37" s="476"/>
    </row>
    <row r="38" spans="1:69" s="341" customFormat="1" ht="12" customHeight="1">
      <c r="A38" s="266"/>
      <c r="B38" s="123" t="str">
        <f>UPPER(LEFT(TRIM(Data!B35),1)) &amp; MID(TRIM(Data!B35),2,50)</f>
        <v>Smegenų</v>
      </c>
      <c r="C38" s="123" t="str">
        <f>Data!C35</f>
        <v>C70-C72</v>
      </c>
      <c r="D38" s="124">
        <f>Data!D35+Data!BQ35</f>
        <v>303</v>
      </c>
      <c r="E38" s="125">
        <f t="shared" si="8"/>
        <v>10.244484798773637</v>
      </c>
      <c r="F38" s="126">
        <f t="shared" si="9"/>
        <v>8.0107037123646201</v>
      </c>
      <c r="G38" s="127">
        <f t="shared" si="10"/>
        <v>6.3456684072107201</v>
      </c>
      <c r="H38" s="271"/>
      <c r="I38" s="271"/>
      <c r="J38" s="271"/>
      <c r="K38" s="271"/>
      <c r="L38" s="271"/>
      <c r="M38" s="271"/>
      <c r="N38" s="271"/>
      <c r="O38" s="267"/>
      <c r="P38" s="349"/>
      <c r="Q38" s="521" t="s">
        <v>352</v>
      </c>
      <c r="R38" s="513">
        <f t="shared" si="3"/>
        <v>801070.37123646203</v>
      </c>
      <c r="S38" s="513">
        <f>(Data!Q35+Data!CD35)/S$6*100000*S$3</f>
        <v>21183.35517866836</v>
      </c>
      <c r="T38" s="513">
        <f>(Data!R35+Data!CE35)/T$6*100000*T$3</f>
        <v>10372.06063210301</v>
      </c>
      <c r="U38" s="513">
        <f>(Data!S35+Data!CF35)/U$6*100000*U$3</f>
        <v>9504.8644538437002</v>
      </c>
      <c r="V38" s="513">
        <f>(Data!T35+Data!CG35)/V$6*100000*V$3</f>
        <v>15346.670320635789</v>
      </c>
      <c r="W38" s="513">
        <f>(Data!U35+Data!CH35)/W$6*100000*W$3</f>
        <v>19629.011679261948</v>
      </c>
      <c r="X38" s="513">
        <f>(Data!V35+Data!CI35)/X$6*100000*X$3</f>
        <v>43176.11743903943</v>
      </c>
      <c r="Y38" s="513">
        <f>(Data!W35+Data!CJ35)/Y$6*100000*Y$3</f>
        <v>43774.374367545563</v>
      </c>
      <c r="Z38" s="513">
        <f>(Data!X35+Data!CK35)/Z$6*100000*Z$3</f>
        <v>30015.704645466289</v>
      </c>
      <c r="AA38" s="513">
        <f>(Data!Y35+Data!CL35)/AA$6*100000*AA$3</f>
        <v>23385.784306706944</v>
      </c>
      <c r="AB38" s="513">
        <f>(Data!Z35+Data!CM35)/AB$6*100000*AB$3</f>
        <v>52164.112022430571</v>
      </c>
      <c r="AC38" s="513">
        <f>(Data!AA35+Data!CN35)/AC$6*100000*AC$3</f>
        <v>94704.17628505957</v>
      </c>
      <c r="AD38" s="513">
        <f>(Data!AB35+Data!CO35)/AD$6*100000*AD$3</f>
        <v>76431.952632571221</v>
      </c>
      <c r="AE38" s="513">
        <f>(Data!AC35+Data!CP35)/AE$6*100000*AE$3</f>
        <v>69999.00834738175</v>
      </c>
      <c r="AF38" s="513">
        <f>(Data!AD35+Data!CQ35)/AF$6*100000*AF$3</f>
        <v>73038.016287477629</v>
      </c>
      <c r="AG38" s="513">
        <f>(Data!AE35+Data!CR35)/AG$6*100000*AG$3</f>
        <v>106133.07672713893</v>
      </c>
      <c r="AH38" s="513">
        <f>(Data!AF35+Data!CS35)/AH$6*100000*AH$3</f>
        <v>51865.918235889541</v>
      </c>
      <c r="AI38" s="513">
        <f>(Data!AG35+Data!CT35)/AI$6*100000*AI$3</f>
        <v>31449.83750917287</v>
      </c>
      <c r="AJ38" s="513">
        <f>(Data!AH35+Data!CU35)/AJ$6*100000*AJ$3</f>
        <v>28896.33016606891</v>
      </c>
      <c r="AK38" s="521" t="s">
        <v>352</v>
      </c>
      <c r="AL38" s="513">
        <f t="shared" si="4"/>
        <v>634566.84072107205</v>
      </c>
      <c r="AM38" s="513">
        <f>(Data!Q35+Data!CD35)/AM$6*100000*AM$3</f>
        <v>31775.03276800254</v>
      </c>
      <c r="AN38" s="513">
        <f>(Data!R35+Data!CE35)/AN$6*100000*AN$3</f>
        <v>14817.229474432872</v>
      </c>
      <c r="AO38" s="513">
        <f>(Data!S35+Data!CF35)/AO$6*100000*AO$3</f>
        <v>12220.540012084757</v>
      </c>
      <c r="AP38" s="513">
        <f>(Data!T35+Data!CG35)/AP$6*100000*AP$3</f>
        <v>19731.433269388872</v>
      </c>
      <c r="AQ38" s="513">
        <f>(Data!U35+Data!CH35)/AQ$6*100000*AQ$3</f>
        <v>22433.156204870797</v>
      </c>
      <c r="AR38" s="513">
        <f>(Data!V35+Data!CI35)/AR$6*100000*AR$3</f>
        <v>49344.134216045066</v>
      </c>
      <c r="AS38" s="513">
        <f>(Data!W35+Data!CJ35)/AS$6*100000*AS$3</f>
        <v>37520.892315039055</v>
      </c>
      <c r="AT38" s="513">
        <f>(Data!X35+Data!CK35)/AT$6*100000*AT$3</f>
        <v>25727.746838971103</v>
      </c>
      <c r="AU38" s="513">
        <f>(Data!Y35+Data!CL35)/AU$6*100000*AU$3</f>
        <v>20044.957977177382</v>
      </c>
      <c r="AV38" s="513">
        <f>(Data!Z35+Data!CM35)/AV$6*100000*AV$3</f>
        <v>44712.096019226199</v>
      </c>
      <c r="AW38" s="513">
        <f>(Data!AA35+Data!CN35)/AW$6*100000*AW$3</f>
        <v>67645.840203613974</v>
      </c>
      <c r="AX38" s="513">
        <f>(Data!AB35+Data!CO35)/AX$6*100000*AX$3</f>
        <v>50954.635088380819</v>
      </c>
      <c r="AY38" s="513">
        <f>(Data!AC35+Data!CP35)/AY$6*100000*AY$3</f>
        <v>55999.2066779054</v>
      </c>
      <c r="AZ38" s="513">
        <f>(Data!AD35+Data!CQ35)/AZ$6*100000*AZ$3</f>
        <v>54778.512215608222</v>
      </c>
      <c r="BA38" s="513">
        <f>(Data!AE35+Data!CR35)/BA$6*100000*BA$3</f>
        <v>70755.384484759285</v>
      </c>
      <c r="BB38" s="513">
        <f>(Data!AF35+Data!CS35)/BB$6*100000*BB$3</f>
        <v>25932.959117944771</v>
      </c>
      <c r="BC38" s="513">
        <f>(Data!AG35+Data!CT35)/BC$6*100000*BC$3</f>
        <v>15724.918754586435</v>
      </c>
      <c r="BD38" s="513">
        <f>(Data!AH35+Data!CU35)/BD$6*100000*BD$3</f>
        <v>14448.165083034455</v>
      </c>
      <c r="BE38" s="476"/>
      <c r="BF38" s="476"/>
      <c r="BG38" s="476"/>
      <c r="BH38" s="476"/>
      <c r="BI38" s="476"/>
      <c r="BJ38" s="476"/>
      <c r="BK38" s="476"/>
      <c r="BL38" s="476"/>
      <c r="BM38" s="476"/>
      <c r="BN38" s="476"/>
      <c r="BO38" s="476"/>
      <c r="BP38" s="476"/>
      <c r="BQ38" s="476"/>
    </row>
    <row r="39" spans="1:69" s="341" customFormat="1" ht="12" customHeight="1">
      <c r="A39" s="266"/>
      <c r="B39" s="273" t="str">
        <f>UPPER(LEFT(TRIM(Data!B36),1)) &amp; MID(TRIM(Data!B36),2,50)</f>
        <v>Skydliaukės</v>
      </c>
      <c r="C39" s="273" t="str">
        <f>Data!C36</f>
        <v>C73</v>
      </c>
      <c r="D39" s="274">
        <f>Data!D36+Data!BQ36</f>
        <v>352</v>
      </c>
      <c r="E39" s="275">
        <f t="shared" si="8"/>
        <v>11.901183660621518</v>
      </c>
      <c r="F39" s="276">
        <f t="shared" si="9"/>
        <v>10.60595382788013</v>
      </c>
      <c r="G39" s="276">
        <f t="shared" si="10"/>
        <v>8.4512338763987813</v>
      </c>
      <c r="H39" s="271"/>
      <c r="I39" s="271"/>
      <c r="J39" s="271"/>
      <c r="K39" s="271"/>
      <c r="L39" s="271"/>
      <c r="M39" s="271"/>
      <c r="N39" s="271"/>
      <c r="O39" s="267"/>
      <c r="P39" s="349"/>
      <c r="Q39" s="521" t="s">
        <v>352</v>
      </c>
      <c r="R39" s="513">
        <f t="shared" si="3"/>
        <v>1060595.382788013</v>
      </c>
      <c r="S39" s="513">
        <f>(Data!Q36+Data!CD36)/S$6*100000*S$3</f>
        <v>0</v>
      </c>
      <c r="T39" s="513">
        <f>(Data!R36+Data!CE36)/T$6*100000*T$3</f>
        <v>0</v>
      </c>
      <c r="U39" s="513">
        <f>(Data!S36+Data!CF36)/U$6*100000*U$3</f>
        <v>4752.4322269218501</v>
      </c>
      <c r="V39" s="513">
        <f>(Data!T36+Data!CG36)/V$6*100000*V$3</f>
        <v>7673.3351603178944</v>
      </c>
      <c r="W39" s="513">
        <f>(Data!U36+Data!CH36)/W$6*100000*W$3</f>
        <v>26172.015572349268</v>
      </c>
      <c r="X39" s="513">
        <f>(Data!V36+Data!CI36)/X$6*100000*X$3</f>
        <v>32382.088079279572</v>
      </c>
      <c r="Y39" s="513">
        <f>(Data!W36+Data!CJ36)/Y$6*100000*Y$3</f>
        <v>99487.214471694475</v>
      </c>
      <c r="Z39" s="513">
        <f>(Data!X36+Data!CK36)/Z$6*100000*Z$3</f>
        <v>78791.224694349017</v>
      </c>
      <c r="AA39" s="513">
        <f>(Data!Y36+Data!CL36)/AA$6*100000*AA$3</f>
        <v>93543.137226827777</v>
      </c>
      <c r="AB39" s="513">
        <f>(Data!Z36+Data!CM36)/AB$6*100000*AB$3</f>
        <v>127150.02305467452</v>
      </c>
      <c r="AC39" s="513">
        <f>(Data!AA36+Data!CN36)/AC$6*100000*AC$3</f>
        <v>112461.20933850824</v>
      </c>
      <c r="AD39" s="513">
        <f>(Data!AB36+Data!CO36)/AD$6*100000*AD$3</f>
        <v>128405.68042271964</v>
      </c>
      <c r="AE39" s="513">
        <f>(Data!AC36+Data!CP36)/AE$6*100000*AE$3</f>
        <v>122498.26460791806</v>
      </c>
      <c r="AF39" s="513">
        <f>(Data!AD36+Data!CQ36)/AF$6*100000*AF$3</f>
        <v>119782.34671146332</v>
      </c>
      <c r="AG39" s="513">
        <f>(Data!AE36+Data!CR36)/AG$6*100000*AG$3</f>
        <v>76415.815243540026</v>
      </c>
      <c r="AH39" s="513">
        <f>(Data!AF36+Data!CS36)/AH$6*100000*AH$3</f>
        <v>15057.847229774383</v>
      </c>
      <c r="AI39" s="513">
        <f>(Data!AG36+Data!CT36)/AI$6*100000*AI$3</f>
        <v>5824.0439831801614</v>
      </c>
      <c r="AJ39" s="513">
        <f>(Data!AH36+Data!CU36)/AJ$6*100000*AJ$3</f>
        <v>10198.704764494909</v>
      </c>
      <c r="AK39" s="521" t="s">
        <v>352</v>
      </c>
      <c r="AL39" s="513">
        <f t="shared" si="4"/>
        <v>845123.38763987808</v>
      </c>
      <c r="AM39" s="513">
        <f>(Data!Q36+Data!CD36)/AM$6*100000*AM$3</f>
        <v>0</v>
      </c>
      <c r="AN39" s="513">
        <f>(Data!R36+Data!CE36)/AN$6*100000*AN$3</f>
        <v>0</v>
      </c>
      <c r="AO39" s="513">
        <f>(Data!S36+Data!CF36)/AO$6*100000*AO$3</f>
        <v>6110.2700060423786</v>
      </c>
      <c r="AP39" s="513">
        <f>(Data!T36+Data!CG36)/AP$6*100000*AP$3</f>
        <v>9865.7166346944359</v>
      </c>
      <c r="AQ39" s="513">
        <f>(Data!U36+Data!CH36)/AQ$6*100000*AQ$3</f>
        <v>29910.874939827736</v>
      </c>
      <c r="AR39" s="513">
        <f>(Data!V36+Data!CI36)/AR$6*100000*AR$3</f>
        <v>37008.100662033794</v>
      </c>
      <c r="AS39" s="513">
        <f>(Data!W36+Data!CJ36)/AS$6*100000*AS$3</f>
        <v>85274.755261452403</v>
      </c>
      <c r="AT39" s="513">
        <f>(Data!X36+Data!CK36)/AT$6*100000*AT$3</f>
        <v>67535.335452299158</v>
      </c>
      <c r="AU39" s="513">
        <f>(Data!Y36+Data!CL36)/AU$6*100000*AU$3</f>
        <v>80179.83190870953</v>
      </c>
      <c r="AV39" s="513">
        <f>(Data!Z36+Data!CM36)/AV$6*100000*AV$3</f>
        <v>108985.73404686387</v>
      </c>
      <c r="AW39" s="513">
        <f>(Data!AA36+Data!CN36)/AW$6*100000*AW$3</f>
        <v>80329.435241791594</v>
      </c>
      <c r="AX39" s="513">
        <f>(Data!AB36+Data!CO36)/AX$6*100000*AX$3</f>
        <v>85603.78694847977</v>
      </c>
      <c r="AY39" s="513">
        <f>(Data!AC36+Data!CP36)/AY$6*100000*AY$3</f>
        <v>97998.611686334436</v>
      </c>
      <c r="AZ39" s="513">
        <f>(Data!AD36+Data!CQ36)/AZ$6*100000*AZ$3</f>
        <v>89836.760033597486</v>
      </c>
      <c r="BA39" s="513">
        <f>(Data!AE36+Data!CR36)/BA$6*100000*BA$3</f>
        <v>50943.876829026682</v>
      </c>
      <c r="BB39" s="513">
        <f>(Data!AF36+Data!CS36)/BB$6*100000*BB$3</f>
        <v>7528.9236148871914</v>
      </c>
      <c r="BC39" s="513">
        <f>(Data!AG36+Data!CT36)/BC$6*100000*BC$3</f>
        <v>2912.0219915900807</v>
      </c>
      <c r="BD39" s="513">
        <f>(Data!AH36+Data!CU36)/BD$6*100000*BD$3</f>
        <v>5099.3523822474544</v>
      </c>
      <c r="BE39" s="476"/>
      <c r="BF39" s="476"/>
      <c r="BG39" s="476"/>
      <c r="BH39" s="476"/>
      <c r="BI39" s="476"/>
      <c r="BJ39" s="476"/>
      <c r="BK39" s="476"/>
      <c r="BL39" s="476"/>
      <c r="BM39" s="476"/>
      <c r="BN39" s="476"/>
      <c r="BO39" s="476"/>
      <c r="BP39" s="476"/>
      <c r="BQ39" s="476"/>
    </row>
    <row r="40" spans="1:69" s="341" customFormat="1" ht="12" customHeight="1">
      <c r="A40" s="266"/>
      <c r="B40" s="123" t="str">
        <f>UPPER(LEFT(TRIM(Data!B37),1)) &amp; MID(TRIM(Data!B37),2,50)</f>
        <v>Kitų endokrininių liaukų</v>
      </c>
      <c r="C40" s="123" t="str">
        <f>Data!C37</f>
        <v>C74-C75</v>
      </c>
      <c r="D40" s="124">
        <f>Data!D37+Data!BQ37</f>
        <v>25</v>
      </c>
      <c r="E40" s="125">
        <f t="shared" si="8"/>
        <v>0.84525452135096013</v>
      </c>
      <c r="F40" s="126">
        <f t="shared" si="9"/>
        <v>0.66769043848394705</v>
      </c>
      <c r="G40" s="127">
        <f t="shared" si="10"/>
        <v>0.55442794264334616</v>
      </c>
      <c r="H40" s="271"/>
      <c r="I40" s="271"/>
      <c r="J40" s="271"/>
      <c r="K40" s="271"/>
      <c r="L40" s="271"/>
      <c r="M40" s="271"/>
      <c r="N40" s="271"/>
      <c r="O40" s="267"/>
      <c r="P40" s="349"/>
      <c r="Q40" s="521" t="s">
        <v>352</v>
      </c>
      <c r="R40" s="513">
        <f t="shared" si="3"/>
        <v>66769.043848394707</v>
      </c>
      <c r="S40" s="513">
        <f>(Data!Q37+Data!CD37)/S$6*100000*S$3</f>
        <v>5295.83879466709</v>
      </c>
      <c r="T40" s="513">
        <f>(Data!R37+Data!CE37)/T$6*100000*T$3</f>
        <v>0</v>
      </c>
      <c r="U40" s="513">
        <f>(Data!S37+Data!CF37)/U$6*100000*U$3</f>
        <v>0</v>
      </c>
      <c r="V40" s="513">
        <f>(Data!T37+Data!CG37)/V$6*100000*V$3</f>
        <v>7673.3351603178944</v>
      </c>
      <c r="W40" s="513">
        <f>(Data!U37+Data!CH37)/W$6*100000*W$3</f>
        <v>0</v>
      </c>
      <c r="X40" s="513">
        <f>(Data!V37+Data!CI37)/X$6*100000*X$3</f>
        <v>0</v>
      </c>
      <c r="Y40" s="513">
        <f>(Data!W37+Data!CJ37)/Y$6*100000*Y$3</f>
        <v>0</v>
      </c>
      <c r="Z40" s="513">
        <f>(Data!X37+Data!CK37)/Z$6*100000*Z$3</f>
        <v>0</v>
      </c>
      <c r="AA40" s="513">
        <f>(Data!Y37+Data!CL37)/AA$6*100000*AA$3</f>
        <v>0</v>
      </c>
      <c r="AB40" s="513">
        <f>(Data!Z37+Data!CM37)/AB$6*100000*AB$3</f>
        <v>6520.5140028038213</v>
      </c>
      <c r="AC40" s="513">
        <f>(Data!AA37+Data!CN37)/AC$6*100000*AC$3</f>
        <v>5919.0110178162231</v>
      </c>
      <c r="AD40" s="513">
        <f>(Data!AB37+Data!CO37)/AD$6*100000*AD$3</f>
        <v>3057.2781053028489</v>
      </c>
      <c r="AE40" s="513">
        <f>(Data!AC37+Data!CP37)/AE$6*100000*AE$3</f>
        <v>2916.6253478075728</v>
      </c>
      <c r="AF40" s="513">
        <f>(Data!AD37+Data!CQ37)/AF$6*100000*AF$3</f>
        <v>11686.08260599642</v>
      </c>
      <c r="AG40" s="513">
        <f>(Data!AE37+Data!CR37)/AG$6*100000*AG$3</f>
        <v>16981.292276342228</v>
      </c>
      <c r="AH40" s="513">
        <f>(Data!AF37+Data!CS37)/AH$6*100000*AH$3</f>
        <v>5019.2824099247937</v>
      </c>
      <c r="AI40" s="513">
        <f>(Data!AG37+Data!CT37)/AI$6*100000*AI$3</f>
        <v>0</v>
      </c>
      <c r="AJ40" s="513">
        <f>(Data!AH37+Data!CU37)/AJ$6*100000*AJ$3</f>
        <v>1699.7841274158184</v>
      </c>
      <c r="AK40" s="521" t="s">
        <v>352</v>
      </c>
      <c r="AL40" s="513">
        <f t="shared" si="4"/>
        <v>55442.794264334618</v>
      </c>
      <c r="AM40" s="513">
        <f>(Data!Q37+Data!CD37)/AM$6*100000*AM$3</f>
        <v>7943.7581920006351</v>
      </c>
      <c r="AN40" s="513">
        <f>(Data!R37+Data!CE37)/AN$6*100000*AN$3</f>
        <v>0</v>
      </c>
      <c r="AO40" s="513">
        <f>(Data!S37+Data!CF37)/AO$6*100000*AO$3</f>
        <v>0</v>
      </c>
      <c r="AP40" s="513">
        <f>(Data!T37+Data!CG37)/AP$6*100000*AP$3</f>
        <v>9865.7166346944359</v>
      </c>
      <c r="AQ40" s="513">
        <f>(Data!U37+Data!CH37)/AQ$6*100000*AQ$3</f>
        <v>0</v>
      </c>
      <c r="AR40" s="513">
        <f>(Data!V37+Data!CI37)/AR$6*100000*AR$3</f>
        <v>0</v>
      </c>
      <c r="AS40" s="513">
        <f>(Data!W37+Data!CJ37)/AS$6*100000*AS$3</f>
        <v>0</v>
      </c>
      <c r="AT40" s="513">
        <f>(Data!X37+Data!CK37)/AT$6*100000*AT$3</f>
        <v>0</v>
      </c>
      <c r="AU40" s="513">
        <f>(Data!Y37+Data!CL37)/AU$6*100000*AU$3</f>
        <v>0</v>
      </c>
      <c r="AV40" s="513">
        <f>(Data!Z37+Data!CM37)/AV$6*100000*AV$3</f>
        <v>5589.0120024032749</v>
      </c>
      <c r="AW40" s="513">
        <f>(Data!AA37+Data!CN37)/AW$6*100000*AW$3</f>
        <v>4227.8650127258734</v>
      </c>
      <c r="AX40" s="513">
        <f>(Data!AB37+Data!CO37)/AX$6*100000*AX$3</f>
        <v>2038.1854035352328</v>
      </c>
      <c r="AY40" s="513">
        <f>(Data!AC37+Data!CP37)/AY$6*100000*AY$3</f>
        <v>2333.300278246058</v>
      </c>
      <c r="AZ40" s="513">
        <f>(Data!AD37+Data!CQ37)/AZ$6*100000*AZ$3</f>
        <v>8764.5619544973142</v>
      </c>
      <c r="BA40" s="513">
        <f>(Data!AE37+Data!CR37)/BA$6*100000*BA$3</f>
        <v>11320.861517561487</v>
      </c>
      <c r="BB40" s="513">
        <f>(Data!AF37+Data!CS37)/BB$6*100000*BB$3</f>
        <v>2509.6412049623968</v>
      </c>
      <c r="BC40" s="513">
        <f>(Data!AG37+Data!CT37)/BC$6*100000*BC$3</f>
        <v>0</v>
      </c>
      <c r="BD40" s="513">
        <f>(Data!AH37+Data!CU37)/BD$6*100000*BD$3</f>
        <v>849.89206370790919</v>
      </c>
      <c r="BE40" s="476"/>
      <c r="BF40" s="476"/>
      <c r="BG40" s="476"/>
      <c r="BH40" s="476"/>
      <c r="BI40" s="476"/>
      <c r="BJ40" s="476"/>
      <c r="BK40" s="476"/>
      <c r="BL40" s="476"/>
      <c r="BM40" s="476"/>
      <c r="BN40" s="476"/>
      <c r="BO40" s="476"/>
      <c r="BP40" s="476"/>
      <c r="BQ40" s="476"/>
    </row>
    <row r="41" spans="1:69" s="341" customFormat="1" ht="12" customHeight="1">
      <c r="A41" s="266"/>
      <c r="B41" s="273" t="str">
        <f>UPPER(LEFT(TRIM(Data!B38),1)) &amp; MID(TRIM(Data!B38),2,50)</f>
        <v>Nepatikslintos lokalizacijos</v>
      </c>
      <c r="C41" s="273" t="str">
        <f>Data!C38</f>
        <v>C76-C80</v>
      </c>
      <c r="D41" s="274">
        <f>Data!D38+Data!BQ38</f>
        <v>466</v>
      </c>
      <c r="E41" s="275">
        <f t="shared" si="8"/>
        <v>15.755544277981897</v>
      </c>
      <c r="F41" s="276">
        <f t="shared" si="9"/>
        <v>10.35104220378007</v>
      </c>
      <c r="G41" s="276">
        <f t="shared" si="10"/>
        <v>6.9247954631026651</v>
      </c>
      <c r="H41" s="271"/>
      <c r="I41" s="271"/>
      <c r="J41" s="271"/>
      <c r="K41" s="271"/>
      <c r="L41" s="271"/>
      <c r="M41" s="271"/>
      <c r="N41" s="271"/>
      <c r="O41" s="267"/>
      <c r="P41" s="349"/>
      <c r="Q41" s="521" t="s">
        <v>352</v>
      </c>
      <c r="R41" s="513">
        <f t="shared" si="3"/>
        <v>1035104.220378007</v>
      </c>
      <c r="S41" s="513">
        <f>(Data!Q38+Data!CD38)/S$6*100000*S$3</f>
        <v>0</v>
      </c>
      <c r="T41" s="513">
        <f>(Data!R38+Data!CE38)/T$6*100000*T$3</f>
        <v>0</v>
      </c>
      <c r="U41" s="513">
        <f>(Data!S38+Data!CF38)/U$6*100000*U$3</f>
        <v>0</v>
      </c>
      <c r="V41" s="513">
        <f>(Data!T38+Data!CG38)/V$6*100000*V$3</f>
        <v>0</v>
      </c>
      <c r="W41" s="513">
        <f>(Data!U38+Data!CH38)/W$6*100000*W$3</f>
        <v>0</v>
      </c>
      <c r="X41" s="513">
        <f>(Data!V38+Data!CI38)/X$6*100000*X$3</f>
        <v>7196.0195731732383</v>
      </c>
      <c r="Y41" s="513">
        <f>(Data!W38+Data!CJ38)/Y$6*100000*Y$3</f>
        <v>3979.488578867778</v>
      </c>
      <c r="Z41" s="513">
        <f>(Data!X38+Data!CK38)/Z$6*100000*Z$3</f>
        <v>11255.88924204986</v>
      </c>
      <c r="AA41" s="513">
        <f>(Data!Y38+Data!CL38)/AA$6*100000*AA$3</f>
        <v>26726.610636236514</v>
      </c>
      <c r="AB41" s="513">
        <f>(Data!Z38+Data!CM38)/AB$6*100000*AB$3</f>
        <v>35862.827015421019</v>
      </c>
      <c r="AC41" s="513">
        <f>(Data!AA38+Data!CN38)/AC$6*100000*AC$3</f>
        <v>82866.154249427113</v>
      </c>
      <c r="AD41" s="513">
        <f>(Data!AB38+Data!CO38)/AD$6*100000*AD$3</f>
        <v>110062.01179090256</v>
      </c>
      <c r="AE41" s="513">
        <f>(Data!AC38+Data!CP38)/AE$6*100000*AE$3</f>
        <v>151664.51808599377</v>
      </c>
      <c r="AF41" s="513">
        <f>(Data!AD38+Data!CQ38)/AF$6*100000*AF$3</f>
        <v>143154.51192345616</v>
      </c>
      <c r="AG41" s="513">
        <f>(Data!AE38+Data!CR38)/AG$6*100000*AG$3</f>
        <v>150708.96895253728</v>
      </c>
      <c r="AH41" s="513">
        <f>(Data!AF38+Data!CS38)/AH$6*100000*AH$3</f>
        <v>128828.24852140306</v>
      </c>
      <c r="AI41" s="513">
        <f>(Data!AG38+Data!CT38)/AI$6*100000*AI$3</f>
        <v>75712.571781342092</v>
      </c>
      <c r="AJ41" s="513">
        <f>(Data!AH38+Data!CU38)/AJ$6*100000*AJ$3</f>
        <v>107086.40002719656</v>
      </c>
      <c r="AK41" s="521" t="s">
        <v>352</v>
      </c>
      <c r="AL41" s="513">
        <f t="shared" si="4"/>
        <v>692479.54631026648</v>
      </c>
      <c r="AM41" s="513">
        <f>(Data!Q38+Data!CD38)/AM$6*100000*AM$3</f>
        <v>0</v>
      </c>
      <c r="AN41" s="513">
        <f>(Data!R38+Data!CE38)/AN$6*100000*AN$3</f>
        <v>0</v>
      </c>
      <c r="AO41" s="513">
        <f>(Data!S38+Data!CF38)/AO$6*100000*AO$3</f>
        <v>0</v>
      </c>
      <c r="AP41" s="513">
        <f>(Data!T38+Data!CG38)/AP$6*100000*AP$3</f>
        <v>0</v>
      </c>
      <c r="AQ41" s="513">
        <f>(Data!U38+Data!CH38)/AQ$6*100000*AQ$3</f>
        <v>0</v>
      </c>
      <c r="AR41" s="513">
        <f>(Data!V38+Data!CI38)/AR$6*100000*AR$3</f>
        <v>8224.0223693408443</v>
      </c>
      <c r="AS41" s="513">
        <f>(Data!W38+Data!CJ38)/AS$6*100000*AS$3</f>
        <v>3410.9902104580956</v>
      </c>
      <c r="AT41" s="513">
        <f>(Data!X38+Data!CK38)/AT$6*100000*AT$3</f>
        <v>9647.9050646141659</v>
      </c>
      <c r="AU41" s="513">
        <f>(Data!Y38+Data!CL38)/AU$6*100000*AU$3</f>
        <v>22908.523402488438</v>
      </c>
      <c r="AV41" s="513">
        <f>(Data!Z38+Data!CM38)/AV$6*100000*AV$3</f>
        <v>30739.566013218016</v>
      </c>
      <c r="AW41" s="513">
        <f>(Data!AA38+Data!CN38)/AW$6*100000*AW$3</f>
        <v>59190.110178162227</v>
      </c>
      <c r="AX41" s="513">
        <f>(Data!AB38+Data!CO38)/AX$6*100000*AX$3</f>
        <v>73374.674527268362</v>
      </c>
      <c r="AY41" s="513">
        <f>(Data!AC38+Data!CP38)/AY$6*100000*AY$3</f>
        <v>121331.61446879503</v>
      </c>
      <c r="AZ41" s="513">
        <f>(Data!AD38+Data!CQ38)/AZ$6*100000*AZ$3</f>
        <v>107365.88394259213</v>
      </c>
      <c r="BA41" s="513">
        <f>(Data!AE38+Data!CR38)/BA$6*100000*BA$3</f>
        <v>100472.64596835818</v>
      </c>
      <c r="BB41" s="513">
        <f>(Data!AF38+Data!CS38)/BB$6*100000*BB$3</f>
        <v>64414.12426070153</v>
      </c>
      <c r="BC41" s="513">
        <f>(Data!AG38+Data!CT38)/BC$6*100000*BC$3</f>
        <v>37856.285890671046</v>
      </c>
      <c r="BD41" s="513">
        <f>(Data!AH38+Data!CU38)/BD$6*100000*BD$3</f>
        <v>53543.200013598282</v>
      </c>
      <c r="BE41" s="476"/>
      <c r="BF41" s="476"/>
      <c r="BG41" s="476"/>
      <c r="BH41" s="476"/>
      <c r="BI41" s="476"/>
      <c r="BJ41" s="476"/>
      <c r="BK41" s="476"/>
      <c r="BL41" s="476"/>
      <c r="BM41" s="476"/>
      <c r="BN41" s="476"/>
      <c r="BO41" s="476"/>
      <c r="BP41" s="476"/>
      <c r="BQ41" s="476"/>
    </row>
    <row r="42" spans="1:69" s="341" customFormat="1" ht="12" customHeight="1">
      <c r="A42" s="266"/>
      <c r="B42" s="123" t="str">
        <f>UPPER(LEFT(TRIM(Data!B39),1)) &amp; MID(TRIM(Data!B39),2,50)</f>
        <v>Hodžkino limfomos</v>
      </c>
      <c r="C42" s="123" t="str">
        <f>Data!C39</f>
        <v>C81</v>
      </c>
      <c r="D42" s="124">
        <f>Data!D39+Data!BQ39</f>
        <v>62</v>
      </c>
      <c r="E42" s="125">
        <f t="shared" si="8"/>
        <v>2.0962312129503813</v>
      </c>
      <c r="F42" s="126">
        <f t="shared" si="9"/>
        <v>2.0495875283002931</v>
      </c>
      <c r="G42" s="127">
        <f t="shared" si="10"/>
        <v>1.9899005638339966</v>
      </c>
      <c r="H42" s="271"/>
      <c r="I42" s="271"/>
      <c r="J42" s="271"/>
      <c r="K42" s="271"/>
      <c r="L42" s="271"/>
      <c r="M42" s="271"/>
      <c r="N42" s="271"/>
      <c r="O42" s="267"/>
      <c r="P42" s="349"/>
      <c r="Q42" s="521" t="s">
        <v>352</v>
      </c>
      <c r="R42" s="513">
        <f t="shared" si="3"/>
        <v>204958.75283002932</v>
      </c>
      <c r="S42" s="513">
        <f>(Data!Q39+Data!CD39)/S$6*100000*S$3</f>
        <v>0</v>
      </c>
      <c r="T42" s="513">
        <f>(Data!R39+Data!CE39)/T$6*100000*T$3</f>
        <v>0</v>
      </c>
      <c r="U42" s="513">
        <f>(Data!S39+Data!CF39)/U$6*100000*U$3</f>
        <v>23762.16113460925</v>
      </c>
      <c r="V42" s="513">
        <f>(Data!T39+Data!CG39)/V$6*100000*V$3</f>
        <v>15346.670320635789</v>
      </c>
      <c r="W42" s="513">
        <f>(Data!U39+Data!CH39)/W$6*100000*W$3</f>
        <v>26172.015572349268</v>
      </c>
      <c r="X42" s="513">
        <f>(Data!V39+Data!CI39)/X$6*100000*X$3</f>
        <v>28784.078292692953</v>
      </c>
      <c r="Y42" s="513">
        <f>(Data!W39+Data!CJ39)/Y$6*100000*Y$3</f>
        <v>23876.93147320667</v>
      </c>
      <c r="Z42" s="513">
        <f>(Data!X39+Data!CK39)/Z$6*100000*Z$3</f>
        <v>33767.667726149579</v>
      </c>
      <c r="AA42" s="513">
        <f>(Data!Y39+Data!CL39)/AA$6*100000*AA$3</f>
        <v>6681.6526590591284</v>
      </c>
      <c r="AB42" s="513">
        <f>(Data!Z39+Data!CM39)/AB$6*100000*AB$3</f>
        <v>3260.2570014019107</v>
      </c>
      <c r="AC42" s="513">
        <f>(Data!AA39+Data!CN39)/AC$6*100000*AC$3</f>
        <v>5919.0110178162231</v>
      </c>
      <c r="AD42" s="513">
        <f>(Data!AB39+Data!CO39)/AD$6*100000*AD$3</f>
        <v>15286.390526514244</v>
      </c>
      <c r="AE42" s="513">
        <f>(Data!AC39+Data!CP39)/AE$6*100000*AE$3</f>
        <v>0</v>
      </c>
      <c r="AF42" s="513">
        <f>(Data!AD39+Data!CQ39)/AF$6*100000*AF$3</f>
        <v>2921.520651499105</v>
      </c>
      <c r="AG42" s="513">
        <f>(Data!AE39+Data!CR39)/AG$6*100000*AG$3</f>
        <v>10613.307672713894</v>
      </c>
      <c r="AH42" s="513">
        <f>(Data!AF39+Data!CS39)/AH$6*100000*AH$3</f>
        <v>1673.0941366415982</v>
      </c>
      <c r="AI42" s="513">
        <f>(Data!AG39+Data!CT39)/AI$6*100000*AI$3</f>
        <v>3494.4263899080961</v>
      </c>
      <c r="AJ42" s="513">
        <f>(Data!AH39+Data!CU39)/AJ$6*100000*AJ$3</f>
        <v>3399.5682548316368</v>
      </c>
      <c r="AK42" s="521" t="s">
        <v>352</v>
      </c>
      <c r="AL42" s="513">
        <f t="shared" si="4"/>
        <v>198990.05638339967</v>
      </c>
      <c r="AM42" s="513">
        <f>(Data!Q39+Data!CD39)/AM$6*100000*AM$3</f>
        <v>0</v>
      </c>
      <c r="AN42" s="513">
        <f>(Data!R39+Data!CE39)/AN$6*100000*AN$3</f>
        <v>0</v>
      </c>
      <c r="AO42" s="513">
        <f>(Data!S39+Data!CF39)/AO$6*100000*AO$3</f>
        <v>30551.350030211892</v>
      </c>
      <c r="AP42" s="513">
        <f>(Data!T39+Data!CG39)/AP$6*100000*AP$3</f>
        <v>19731.433269388872</v>
      </c>
      <c r="AQ42" s="513">
        <f>(Data!U39+Data!CH39)/AQ$6*100000*AQ$3</f>
        <v>29910.874939827736</v>
      </c>
      <c r="AR42" s="513">
        <f>(Data!V39+Data!CI39)/AR$6*100000*AR$3</f>
        <v>32896.089477363377</v>
      </c>
      <c r="AS42" s="513">
        <f>(Data!W39+Data!CJ39)/AS$6*100000*AS$3</f>
        <v>20465.941262748576</v>
      </c>
      <c r="AT42" s="513">
        <f>(Data!X39+Data!CK39)/AT$6*100000*AT$3</f>
        <v>28943.715193842494</v>
      </c>
      <c r="AU42" s="513">
        <f>(Data!Y39+Data!CL39)/AU$6*100000*AU$3</f>
        <v>5727.1308506221094</v>
      </c>
      <c r="AV42" s="513">
        <f>(Data!Z39+Data!CM39)/AV$6*100000*AV$3</f>
        <v>2794.5060012016374</v>
      </c>
      <c r="AW42" s="513">
        <f>(Data!AA39+Data!CN39)/AW$6*100000*AW$3</f>
        <v>4227.8650127258734</v>
      </c>
      <c r="AX42" s="513">
        <f>(Data!AB39+Data!CO39)/AX$6*100000*AX$3</f>
        <v>10190.927017676164</v>
      </c>
      <c r="AY42" s="513">
        <f>(Data!AC39+Data!CP39)/AY$6*100000*AY$3</f>
        <v>0</v>
      </c>
      <c r="AZ42" s="513">
        <f>(Data!AD39+Data!CQ39)/AZ$6*100000*AZ$3</f>
        <v>2191.1404886243286</v>
      </c>
      <c r="BA42" s="513">
        <f>(Data!AE39+Data!CR39)/BA$6*100000*BA$3</f>
        <v>7075.5384484759288</v>
      </c>
      <c r="BB42" s="513">
        <f>(Data!AF39+Data!CS39)/BB$6*100000*BB$3</f>
        <v>836.5470683207991</v>
      </c>
      <c r="BC42" s="513">
        <f>(Data!AG39+Data!CT39)/BC$6*100000*BC$3</f>
        <v>1747.213194954048</v>
      </c>
      <c r="BD42" s="513">
        <f>(Data!AH39+Data!CU39)/BD$6*100000*BD$3</f>
        <v>1699.7841274158184</v>
      </c>
      <c r="BE42" s="476"/>
      <c r="BF42" s="476"/>
      <c r="BG42" s="476"/>
      <c r="BH42" s="476"/>
      <c r="BI42" s="476"/>
      <c r="BJ42" s="476"/>
      <c r="BK42" s="476"/>
      <c r="BL42" s="476"/>
      <c r="BM42" s="476"/>
      <c r="BN42" s="476"/>
      <c r="BO42" s="476"/>
      <c r="BP42" s="476"/>
      <c r="BQ42" s="476"/>
    </row>
    <row r="43" spans="1:69" s="341" customFormat="1" ht="12" customHeight="1">
      <c r="A43" s="266"/>
      <c r="B43" s="273" t="str">
        <f>UPPER(LEFT(TRIM(Data!B40),1)) &amp; MID(TRIM(Data!B40),2,50)</f>
        <v>Ne Hodžkino limfomos</v>
      </c>
      <c r="C43" s="273" t="str">
        <f>Data!C40</f>
        <v>C82-C85</v>
      </c>
      <c r="D43" s="274">
        <f>Data!D40+Data!BQ40</f>
        <v>343</v>
      </c>
      <c r="E43" s="275">
        <f t="shared" si="8"/>
        <v>11.596892032935173</v>
      </c>
      <c r="F43" s="276">
        <f t="shared" si="9"/>
        <v>8.6305235131544542</v>
      </c>
      <c r="G43" s="276">
        <f t="shared" si="10"/>
        <v>6.4505251176197511</v>
      </c>
      <c r="H43" s="271"/>
      <c r="I43" s="271"/>
      <c r="J43" s="271"/>
      <c r="K43" s="271"/>
      <c r="L43" s="271"/>
      <c r="M43" s="271"/>
      <c r="N43" s="271"/>
      <c r="O43" s="267"/>
      <c r="P43" s="349"/>
      <c r="Q43" s="521" t="s">
        <v>352</v>
      </c>
      <c r="R43" s="513">
        <f t="shared" si="3"/>
        <v>863052.3513154455</v>
      </c>
      <c r="S43" s="513">
        <f>(Data!Q40+Data!CD40)/S$6*100000*S$3</f>
        <v>0</v>
      </c>
      <c r="T43" s="513">
        <f>(Data!R40+Data!CE40)/T$6*100000*T$3</f>
        <v>10372.06063210301</v>
      </c>
      <c r="U43" s="513">
        <f>(Data!S40+Data!CF40)/U$6*100000*U$3</f>
        <v>4752.4322269218501</v>
      </c>
      <c r="V43" s="513">
        <f>(Data!T40+Data!CG40)/V$6*100000*V$3</f>
        <v>23020.005480953685</v>
      </c>
      <c r="W43" s="513">
        <f>(Data!U40+Data!CH40)/W$6*100000*W$3</f>
        <v>3271.5019465436585</v>
      </c>
      <c r="X43" s="513">
        <f>(Data!V40+Data!CI40)/X$6*100000*X$3</f>
        <v>17990.048932933099</v>
      </c>
      <c r="Y43" s="513">
        <f>(Data!W40+Data!CJ40)/Y$6*100000*Y$3</f>
        <v>19897.442894338892</v>
      </c>
      <c r="Z43" s="513">
        <f>(Data!X40+Data!CK40)/Z$6*100000*Z$3</f>
        <v>52527.483129566004</v>
      </c>
      <c r="AA43" s="513">
        <f>(Data!Y40+Data!CL40)/AA$6*100000*AA$3</f>
        <v>50112.394942943458</v>
      </c>
      <c r="AB43" s="513">
        <f>(Data!Z40+Data!CM40)/AB$6*100000*AB$3</f>
        <v>65205.140028038215</v>
      </c>
      <c r="AC43" s="513">
        <f>(Data!AA40+Data!CN40)/AC$6*100000*AC$3</f>
        <v>56230.60466925412</v>
      </c>
      <c r="AD43" s="513">
        <f>(Data!AB40+Data!CO40)/AD$6*100000*AD$3</f>
        <v>67260.118316662687</v>
      </c>
      <c r="AE43" s="513">
        <f>(Data!AC40+Data!CP40)/AE$6*100000*AE$3</f>
        <v>104998.51252107263</v>
      </c>
      <c r="AF43" s="513">
        <f>(Data!AD40+Data!CQ40)/AF$6*100000*AF$3</f>
        <v>122703.86736296242</v>
      </c>
      <c r="AG43" s="513">
        <f>(Data!AE40+Data!CR40)/AG$6*100000*AG$3</f>
        <v>95519.769054425051</v>
      </c>
      <c r="AH43" s="513">
        <f>(Data!AF40+Data!CS40)/AH$6*100000*AH$3</f>
        <v>75289.236148871918</v>
      </c>
      <c r="AI43" s="513">
        <f>(Data!AG40+Data!CT40)/AI$6*100000*AI$3</f>
        <v>36109.072695716997</v>
      </c>
      <c r="AJ43" s="513">
        <f>(Data!AH40+Data!CU40)/AJ$6*100000*AJ$3</f>
        <v>57792.660332137821</v>
      </c>
      <c r="AK43" s="521" t="s">
        <v>352</v>
      </c>
      <c r="AL43" s="513">
        <f t="shared" si="4"/>
        <v>645052.51176197513</v>
      </c>
      <c r="AM43" s="513">
        <f>(Data!Q40+Data!CD40)/AM$6*100000*AM$3</f>
        <v>0</v>
      </c>
      <c r="AN43" s="513">
        <f>(Data!R40+Data!CE40)/AN$6*100000*AN$3</f>
        <v>14817.229474432872</v>
      </c>
      <c r="AO43" s="513">
        <f>(Data!S40+Data!CF40)/AO$6*100000*AO$3</f>
        <v>6110.2700060423786</v>
      </c>
      <c r="AP43" s="513">
        <f>(Data!T40+Data!CG40)/AP$6*100000*AP$3</f>
        <v>29597.149904083308</v>
      </c>
      <c r="AQ43" s="513">
        <f>(Data!U40+Data!CH40)/AQ$6*100000*AQ$3</f>
        <v>3738.859367478467</v>
      </c>
      <c r="AR43" s="513">
        <f>(Data!V40+Data!CI40)/AR$6*100000*AR$3</f>
        <v>20560.055923352113</v>
      </c>
      <c r="AS43" s="513">
        <f>(Data!W40+Data!CJ40)/AS$6*100000*AS$3</f>
        <v>17054.951052290478</v>
      </c>
      <c r="AT43" s="513">
        <f>(Data!X40+Data!CK40)/AT$6*100000*AT$3</f>
        <v>45023.556968199431</v>
      </c>
      <c r="AU43" s="513">
        <f>(Data!Y40+Data!CL40)/AU$6*100000*AU$3</f>
        <v>42953.48137966582</v>
      </c>
      <c r="AV43" s="513">
        <f>(Data!Z40+Data!CM40)/AV$6*100000*AV$3</f>
        <v>55890.12002403276</v>
      </c>
      <c r="AW43" s="513">
        <f>(Data!AA40+Data!CN40)/AW$6*100000*AW$3</f>
        <v>40164.717620895797</v>
      </c>
      <c r="AX43" s="513">
        <f>(Data!AB40+Data!CO40)/AX$6*100000*AX$3</f>
        <v>44840.078877775122</v>
      </c>
      <c r="AY43" s="513">
        <f>(Data!AC40+Data!CP40)/AY$6*100000*AY$3</f>
        <v>83998.8100168581</v>
      </c>
      <c r="AZ43" s="513">
        <f>(Data!AD40+Data!CQ40)/AZ$6*100000*AZ$3</f>
        <v>92027.900522221826</v>
      </c>
      <c r="BA43" s="513">
        <f>(Data!AE40+Data!CR40)/BA$6*100000*BA$3</f>
        <v>63679.846036283365</v>
      </c>
      <c r="BB43" s="513">
        <f>(Data!AF40+Data!CS40)/BB$6*100000*BB$3</f>
        <v>37644.618074435959</v>
      </c>
      <c r="BC43" s="513">
        <f>(Data!AG40+Data!CT40)/BC$6*100000*BC$3</f>
        <v>18054.536347858499</v>
      </c>
      <c r="BD43" s="513">
        <f>(Data!AH40+Data!CU40)/BD$6*100000*BD$3</f>
        <v>28896.33016606891</v>
      </c>
      <c r="BE43" s="476"/>
      <c r="BF43" s="476"/>
      <c r="BG43" s="476"/>
      <c r="BH43" s="476"/>
      <c r="BI43" s="476"/>
      <c r="BJ43" s="476"/>
      <c r="BK43" s="476"/>
      <c r="BL43" s="476"/>
      <c r="BM43" s="476"/>
      <c r="BN43" s="476"/>
      <c r="BO43" s="476"/>
      <c r="BP43" s="476"/>
      <c r="BQ43" s="476"/>
    </row>
    <row r="44" spans="1:69" s="341" customFormat="1" ht="12" customHeight="1">
      <c r="A44" s="266"/>
      <c r="B44" s="123" t="str">
        <f>UPPER(LEFT(TRIM(Data!B41),1)) &amp; MID(TRIM(Data!B41),2,50)</f>
        <v>Mielominės ligos</v>
      </c>
      <c r="C44" s="123" t="str">
        <f>Data!C41</f>
        <v>C90</v>
      </c>
      <c r="D44" s="124">
        <f>Data!D41+Data!BQ41</f>
        <v>166</v>
      </c>
      <c r="E44" s="125">
        <f t="shared" si="8"/>
        <v>5.612490021770375</v>
      </c>
      <c r="F44" s="126">
        <f t="shared" si="9"/>
        <v>3.7451881979167525</v>
      </c>
      <c r="G44" s="127">
        <f t="shared" si="10"/>
        <v>2.5417972868016889</v>
      </c>
      <c r="H44" s="271"/>
      <c r="I44" s="271"/>
      <c r="J44" s="271"/>
      <c r="K44" s="271"/>
      <c r="L44" s="271"/>
      <c r="M44" s="271"/>
      <c r="N44" s="271"/>
      <c r="O44" s="267"/>
      <c r="P44" s="349"/>
      <c r="Q44" s="521" t="s">
        <v>352</v>
      </c>
      <c r="R44" s="513">
        <f t="shared" si="3"/>
        <v>374518.81979167525</v>
      </c>
      <c r="S44" s="513">
        <f>(Data!Q41+Data!CD41)/S$6*100000*S$3</f>
        <v>0</v>
      </c>
      <c r="T44" s="513">
        <f>(Data!R41+Data!CE41)/T$6*100000*T$3</f>
        <v>0</v>
      </c>
      <c r="U44" s="513">
        <f>(Data!S41+Data!CF41)/U$6*100000*U$3</f>
        <v>0</v>
      </c>
      <c r="V44" s="513">
        <f>(Data!T41+Data!CG41)/V$6*100000*V$3</f>
        <v>0</v>
      </c>
      <c r="W44" s="513">
        <f>(Data!U41+Data!CH41)/W$6*100000*W$3</f>
        <v>0</v>
      </c>
      <c r="X44" s="513">
        <f>(Data!V41+Data!CI41)/X$6*100000*X$3</f>
        <v>0</v>
      </c>
      <c r="Y44" s="513">
        <f>(Data!W41+Data!CJ41)/Y$6*100000*Y$3</f>
        <v>0</v>
      </c>
      <c r="Z44" s="513">
        <f>(Data!X41+Data!CK41)/Z$6*100000*Z$3</f>
        <v>3751.9630806832861</v>
      </c>
      <c r="AA44" s="513">
        <f>(Data!Y41+Data!CL41)/AA$6*100000*AA$3</f>
        <v>10022.478988588691</v>
      </c>
      <c r="AB44" s="513">
        <f>(Data!Z41+Data!CM41)/AB$6*100000*AB$3</f>
        <v>16301.285007009554</v>
      </c>
      <c r="AC44" s="513">
        <f>(Data!AA41+Data!CN41)/AC$6*100000*AC$3</f>
        <v>35514.066106897342</v>
      </c>
      <c r="AD44" s="513">
        <f>(Data!AB41+Data!CO41)/AD$6*100000*AD$3</f>
        <v>36687.337263634188</v>
      </c>
      <c r="AE44" s="513">
        <f>(Data!AC41+Data!CP41)/AE$6*100000*AE$3</f>
        <v>52499.256260536313</v>
      </c>
      <c r="AF44" s="513">
        <f>(Data!AD41+Data!CQ41)/AF$6*100000*AF$3</f>
        <v>67194.974984479428</v>
      </c>
      <c r="AG44" s="513">
        <f>(Data!AE41+Data!CR41)/AG$6*100000*AG$3</f>
        <v>59434.522967197801</v>
      </c>
      <c r="AH44" s="513">
        <f>(Data!AF41+Data!CS41)/AH$6*100000*AH$3</f>
        <v>43500.447552681551</v>
      </c>
      <c r="AI44" s="513">
        <f>(Data!AG41+Data!CT41)/AI$6*100000*AI$3</f>
        <v>32614.646305808903</v>
      </c>
      <c r="AJ44" s="513">
        <f>(Data!AH41+Data!CU41)/AJ$6*100000*AJ$3</f>
        <v>16997.841274158181</v>
      </c>
      <c r="AK44" s="521" t="s">
        <v>352</v>
      </c>
      <c r="AL44" s="513">
        <f t="shared" si="4"/>
        <v>254179.72868016889</v>
      </c>
      <c r="AM44" s="513">
        <f>(Data!Q41+Data!CD41)/AM$6*100000*AM$3</f>
        <v>0</v>
      </c>
      <c r="AN44" s="513">
        <f>(Data!R41+Data!CE41)/AN$6*100000*AN$3</f>
        <v>0</v>
      </c>
      <c r="AO44" s="513">
        <f>(Data!S41+Data!CF41)/AO$6*100000*AO$3</f>
        <v>0</v>
      </c>
      <c r="AP44" s="513">
        <f>(Data!T41+Data!CG41)/AP$6*100000*AP$3</f>
        <v>0</v>
      </c>
      <c r="AQ44" s="513">
        <f>(Data!U41+Data!CH41)/AQ$6*100000*AQ$3</f>
        <v>0</v>
      </c>
      <c r="AR44" s="513">
        <f>(Data!V41+Data!CI41)/AR$6*100000*AR$3</f>
        <v>0</v>
      </c>
      <c r="AS44" s="513">
        <f>(Data!W41+Data!CJ41)/AS$6*100000*AS$3</f>
        <v>0</v>
      </c>
      <c r="AT44" s="513">
        <f>(Data!X41+Data!CK41)/AT$6*100000*AT$3</f>
        <v>3215.9683548713879</v>
      </c>
      <c r="AU44" s="513">
        <f>(Data!Y41+Data!CL41)/AU$6*100000*AU$3</f>
        <v>8590.6962759331636</v>
      </c>
      <c r="AV44" s="513">
        <f>(Data!Z41+Data!CM41)/AV$6*100000*AV$3</f>
        <v>13972.53000600819</v>
      </c>
      <c r="AW44" s="513">
        <f>(Data!AA41+Data!CN41)/AW$6*100000*AW$3</f>
        <v>25367.190076355244</v>
      </c>
      <c r="AX44" s="513">
        <f>(Data!AB41+Data!CO41)/AX$6*100000*AX$3</f>
        <v>24458.224842422795</v>
      </c>
      <c r="AY44" s="513">
        <f>(Data!AC41+Data!CP41)/AY$6*100000*AY$3</f>
        <v>41999.40500842905</v>
      </c>
      <c r="AZ44" s="513">
        <f>(Data!AD41+Data!CQ41)/AZ$6*100000*AZ$3</f>
        <v>50396.231238359571</v>
      </c>
      <c r="BA44" s="513">
        <f>(Data!AE41+Data!CR41)/BA$6*100000*BA$3</f>
        <v>39623.015311465206</v>
      </c>
      <c r="BB44" s="513">
        <f>(Data!AF41+Data!CS41)/BB$6*100000*BB$3</f>
        <v>21750.223776340776</v>
      </c>
      <c r="BC44" s="513">
        <f>(Data!AG41+Data!CT41)/BC$6*100000*BC$3</f>
        <v>16307.323152904451</v>
      </c>
      <c r="BD44" s="513">
        <f>(Data!AH41+Data!CU41)/BD$6*100000*BD$3</f>
        <v>8498.9206370790907</v>
      </c>
      <c r="BE44" s="476"/>
      <c r="BF44" s="476"/>
      <c r="BG44" s="476"/>
      <c r="BH44" s="476"/>
      <c r="BI44" s="476"/>
      <c r="BJ44" s="476"/>
      <c r="BK44" s="476"/>
      <c r="BL44" s="476"/>
      <c r="BM44" s="476"/>
      <c r="BN44" s="476"/>
      <c r="BO44" s="476"/>
      <c r="BP44" s="476"/>
      <c r="BQ44" s="476"/>
    </row>
    <row r="45" spans="1:69" s="341" customFormat="1" ht="12" customHeight="1">
      <c r="A45" s="266"/>
      <c r="B45" s="273" t="str">
        <f>UPPER(LEFT(TRIM(Data!B42),1)) &amp; MID(TRIM(Data!B42),2,50)</f>
        <v>Leukemijos</v>
      </c>
      <c r="C45" s="273" t="str">
        <f>Data!C42</f>
        <v>C91-C95</v>
      </c>
      <c r="D45" s="274">
        <f>Data!D42+Data!BQ42</f>
        <v>432</v>
      </c>
      <c r="E45" s="275">
        <f t="shared" si="8"/>
        <v>14.605998128944591</v>
      </c>
      <c r="F45" s="276">
        <f t="shared" si="9"/>
        <v>10.373651082517629</v>
      </c>
      <c r="G45" s="276">
        <f t="shared" si="10"/>
        <v>7.9970114966668167</v>
      </c>
      <c r="H45" s="271"/>
      <c r="I45" s="271"/>
      <c r="J45" s="271"/>
      <c r="K45" s="271"/>
      <c r="L45" s="271"/>
      <c r="M45" s="271"/>
      <c r="N45" s="271"/>
      <c r="O45" s="267"/>
      <c r="P45" s="349"/>
      <c r="Q45" s="521" t="s">
        <v>352</v>
      </c>
      <c r="R45" s="513">
        <f t="shared" si="3"/>
        <v>1037365.1082517629</v>
      </c>
      <c r="S45" s="513">
        <f>(Data!Q42+Data!CD42)/S$6*100000*S$3</f>
        <v>52958.387946670904</v>
      </c>
      <c r="T45" s="513">
        <f>(Data!R42+Data!CE42)/T$6*100000*T$3</f>
        <v>25930.151580257523</v>
      </c>
      <c r="U45" s="513">
        <f>(Data!S42+Data!CF42)/U$6*100000*U$3</f>
        <v>23762.16113460925</v>
      </c>
      <c r="V45" s="513">
        <f>(Data!T42+Data!CG42)/V$6*100000*V$3</f>
        <v>19183.337900794737</v>
      </c>
      <c r="W45" s="513">
        <f>(Data!U42+Data!CH42)/W$6*100000*W$3</f>
        <v>6543.003893087317</v>
      </c>
      <c r="X45" s="513">
        <f>(Data!V42+Data!CI42)/X$6*100000*X$3</f>
        <v>17990.048932933099</v>
      </c>
      <c r="Y45" s="513">
        <f>(Data!W42+Data!CJ42)/Y$6*100000*Y$3</f>
        <v>15917.954315471112</v>
      </c>
      <c r="Z45" s="513">
        <f>(Data!X42+Data!CK42)/Z$6*100000*Z$3</f>
        <v>15007.852322733144</v>
      </c>
      <c r="AA45" s="513">
        <f>(Data!Y42+Data!CL42)/AA$6*100000*AA$3</f>
        <v>20044.957977177382</v>
      </c>
      <c r="AB45" s="513">
        <f>(Data!Z42+Data!CM42)/AB$6*100000*AB$3</f>
        <v>58684.626025234385</v>
      </c>
      <c r="AC45" s="513">
        <f>(Data!AA42+Data!CN42)/AC$6*100000*AC$3</f>
        <v>62149.615687070342</v>
      </c>
      <c r="AD45" s="513">
        <f>(Data!AB42+Data!CO42)/AD$6*100000*AD$3</f>
        <v>79489.230737874066</v>
      </c>
      <c r="AE45" s="513">
        <f>(Data!AC42+Data!CP42)/AE$6*100000*AE$3</f>
        <v>116665.01391230291</v>
      </c>
      <c r="AF45" s="513">
        <f>(Data!AD42+Data!CQ42)/AF$6*100000*AF$3</f>
        <v>131468.42931745973</v>
      </c>
      <c r="AG45" s="513">
        <f>(Data!AE42+Data!CR42)/AG$6*100000*AG$3</f>
        <v>125237.03053802394</v>
      </c>
      <c r="AH45" s="513">
        <f>(Data!AF42+Data!CS42)/AH$6*100000*AH$3</f>
        <v>118789.68370155347</v>
      </c>
      <c r="AI45" s="513">
        <f>(Data!AG42+Data!CT42)/AI$6*100000*AI$3</f>
        <v>71053.336594797962</v>
      </c>
      <c r="AJ45" s="513">
        <f>(Data!AH42+Data!CU42)/AJ$6*100000*AJ$3</f>
        <v>76490.285733711818</v>
      </c>
      <c r="AK45" s="521" t="s">
        <v>352</v>
      </c>
      <c r="AL45" s="513">
        <f t="shared" si="4"/>
        <v>799701.14966668165</v>
      </c>
      <c r="AM45" s="513">
        <f>(Data!Q42+Data!CD42)/AM$6*100000*AM$3</f>
        <v>79437.581920006356</v>
      </c>
      <c r="AN45" s="513">
        <f>(Data!R42+Data!CE42)/AN$6*100000*AN$3</f>
        <v>37043.073686082178</v>
      </c>
      <c r="AO45" s="513">
        <f>(Data!S42+Data!CF42)/AO$6*100000*AO$3</f>
        <v>30551.350030211892</v>
      </c>
      <c r="AP45" s="513">
        <f>(Data!T42+Data!CG42)/AP$6*100000*AP$3</f>
        <v>24664.291586736093</v>
      </c>
      <c r="AQ45" s="513">
        <f>(Data!U42+Data!CH42)/AQ$6*100000*AQ$3</f>
        <v>7477.718734956934</v>
      </c>
      <c r="AR45" s="513">
        <f>(Data!V42+Data!CI42)/AR$6*100000*AR$3</f>
        <v>20560.055923352113</v>
      </c>
      <c r="AS45" s="513">
        <f>(Data!W42+Data!CJ42)/AS$6*100000*AS$3</f>
        <v>13643.960841832382</v>
      </c>
      <c r="AT45" s="513">
        <f>(Data!X42+Data!CK42)/AT$6*100000*AT$3</f>
        <v>12863.873419485551</v>
      </c>
      <c r="AU45" s="513">
        <f>(Data!Y42+Data!CL42)/AU$6*100000*AU$3</f>
        <v>17181.392551866327</v>
      </c>
      <c r="AV45" s="513">
        <f>(Data!Z42+Data!CM42)/AV$6*100000*AV$3</f>
        <v>50301.108021629472</v>
      </c>
      <c r="AW45" s="513">
        <f>(Data!AA42+Data!CN42)/AW$6*100000*AW$3</f>
        <v>44392.582633621671</v>
      </c>
      <c r="AX45" s="513">
        <f>(Data!AB42+Data!CO42)/AX$6*100000*AX$3</f>
        <v>52992.820491916042</v>
      </c>
      <c r="AY45" s="513">
        <f>(Data!AC42+Data!CP42)/AY$6*100000*AY$3</f>
        <v>93332.011129842329</v>
      </c>
      <c r="AZ45" s="513">
        <f>(Data!AD42+Data!CQ42)/AZ$6*100000*AZ$3</f>
        <v>98601.321988094802</v>
      </c>
      <c r="BA45" s="513">
        <f>(Data!AE42+Data!CR42)/BA$6*100000*BA$3</f>
        <v>83491.353692015968</v>
      </c>
      <c r="BB45" s="513">
        <f>(Data!AF42+Data!CS42)/BB$6*100000*BB$3</f>
        <v>59394.841850776735</v>
      </c>
      <c r="BC45" s="513">
        <f>(Data!AG42+Data!CT42)/BC$6*100000*BC$3</f>
        <v>35526.668297398981</v>
      </c>
      <c r="BD45" s="513">
        <f>(Data!AH42+Data!CU42)/BD$6*100000*BD$3</f>
        <v>38245.142866855909</v>
      </c>
      <c r="BE45" s="476"/>
      <c r="BF45" s="476"/>
      <c r="BG45" s="476"/>
      <c r="BH45" s="476"/>
      <c r="BI45" s="476"/>
      <c r="BJ45" s="476"/>
      <c r="BK45" s="476"/>
      <c r="BL45" s="476"/>
      <c r="BM45" s="476"/>
      <c r="BN45" s="476"/>
      <c r="BO45" s="476"/>
      <c r="BP45" s="476"/>
      <c r="BQ45" s="476"/>
    </row>
    <row r="46" spans="1:69" s="341" customFormat="1" ht="12" customHeight="1">
      <c r="A46" s="266"/>
      <c r="B46" s="123" t="str">
        <f>UPPER(LEFT(TRIM(Data!B43),1)) &amp; MID(TRIM(Data!B43),2,50)</f>
        <v>Kiti limfinio, kraujodaros audinių</v>
      </c>
      <c r="C46" s="123" t="str">
        <f>Data!C43</f>
        <v>C88, C96</v>
      </c>
      <c r="D46" s="124">
        <f>Data!D43+Data!BQ43</f>
        <v>11</v>
      </c>
      <c r="E46" s="125">
        <f t="shared" si="8"/>
        <v>0.37191198939442244</v>
      </c>
      <c r="F46" s="126">
        <f t="shared" si="9"/>
        <v>0.27029307905954664</v>
      </c>
      <c r="G46" s="127">
        <f t="shared" si="10"/>
        <v>0.20166432596855255</v>
      </c>
      <c r="H46" s="271"/>
      <c r="I46" s="271"/>
      <c r="J46" s="271"/>
      <c r="K46" s="271"/>
      <c r="L46" s="271"/>
      <c r="M46" s="271"/>
      <c r="N46" s="271"/>
      <c r="O46" s="267"/>
      <c r="P46" s="349"/>
      <c r="Q46" s="521" t="s">
        <v>352</v>
      </c>
      <c r="R46" s="513">
        <f t="shared" si="3"/>
        <v>27029.307905954662</v>
      </c>
      <c r="S46" s="513">
        <f>(Data!Q43+Data!CD43)/S$6*100000*S$3</f>
        <v>0</v>
      </c>
      <c r="T46" s="513">
        <f>(Data!R43+Data!CE43)/T$6*100000*T$3</f>
        <v>0</v>
      </c>
      <c r="U46" s="513">
        <f>(Data!S43+Data!CF43)/U$6*100000*U$3</f>
        <v>0</v>
      </c>
      <c r="V46" s="513">
        <f>(Data!T43+Data!CG43)/V$6*100000*V$3</f>
        <v>0</v>
      </c>
      <c r="W46" s="513">
        <f>(Data!U43+Data!CH43)/W$6*100000*W$3</f>
        <v>3271.5019465436585</v>
      </c>
      <c r="X46" s="513">
        <f>(Data!V43+Data!CI43)/X$6*100000*X$3</f>
        <v>0</v>
      </c>
      <c r="Y46" s="513">
        <f>(Data!W43+Data!CJ43)/Y$6*100000*Y$3</f>
        <v>0</v>
      </c>
      <c r="Z46" s="513">
        <f>(Data!X43+Data!CK43)/Z$6*100000*Z$3</f>
        <v>0</v>
      </c>
      <c r="AA46" s="513">
        <f>(Data!Y43+Data!CL43)/AA$6*100000*AA$3</f>
        <v>3340.8263295295642</v>
      </c>
      <c r="AB46" s="513">
        <f>(Data!Z43+Data!CM43)/AB$6*100000*AB$3</f>
        <v>3260.2570014019107</v>
      </c>
      <c r="AC46" s="513">
        <f>(Data!AA43+Data!CN43)/AC$6*100000*AC$3</f>
        <v>0</v>
      </c>
      <c r="AD46" s="513">
        <f>(Data!AB43+Data!CO43)/AD$6*100000*AD$3</f>
        <v>0</v>
      </c>
      <c r="AE46" s="513">
        <f>(Data!AC43+Data!CP43)/AE$6*100000*AE$3</f>
        <v>0</v>
      </c>
      <c r="AF46" s="513">
        <f>(Data!AD43+Data!CQ43)/AF$6*100000*AF$3</f>
        <v>8764.561954497316</v>
      </c>
      <c r="AG46" s="513">
        <f>(Data!AE43+Data!CR43)/AG$6*100000*AG$3</f>
        <v>0</v>
      </c>
      <c r="AH46" s="513">
        <f>(Data!AF43+Data!CS43)/AH$6*100000*AH$3</f>
        <v>6692.3765465663928</v>
      </c>
      <c r="AI46" s="513">
        <f>(Data!AG43+Data!CT43)/AI$6*100000*AI$3</f>
        <v>0</v>
      </c>
      <c r="AJ46" s="513">
        <f>(Data!AH43+Data!CU43)/AJ$6*100000*AJ$3</f>
        <v>1699.7841274158184</v>
      </c>
      <c r="AK46" s="521" t="s">
        <v>352</v>
      </c>
      <c r="AL46" s="513">
        <f t="shared" si="4"/>
        <v>20166.432596855255</v>
      </c>
      <c r="AM46" s="513">
        <f>(Data!Q43+Data!CD43)/AM$6*100000*AM$3</f>
        <v>0</v>
      </c>
      <c r="AN46" s="513">
        <f>(Data!R43+Data!CE43)/AN$6*100000*AN$3</f>
        <v>0</v>
      </c>
      <c r="AO46" s="513">
        <f>(Data!S43+Data!CF43)/AO$6*100000*AO$3</f>
        <v>0</v>
      </c>
      <c r="AP46" s="513">
        <f>(Data!T43+Data!CG43)/AP$6*100000*AP$3</f>
        <v>0</v>
      </c>
      <c r="AQ46" s="513">
        <f>(Data!U43+Data!CH43)/AQ$6*100000*AQ$3</f>
        <v>3738.859367478467</v>
      </c>
      <c r="AR46" s="513">
        <f>(Data!V43+Data!CI43)/AR$6*100000*AR$3</f>
        <v>0</v>
      </c>
      <c r="AS46" s="513">
        <f>(Data!W43+Data!CJ43)/AS$6*100000*AS$3</f>
        <v>0</v>
      </c>
      <c r="AT46" s="513">
        <f>(Data!X43+Data!CK43)/AT$6*100000*AT$3</f>
        <v>0</v>
      </c>
      <c r="AU46" s="513">
        <f>(Data!Y43+Data!CL43)/AU$6*100000*AU$3</f>
        <v>2863.5654253110547</v>
      </c>
      <c r="AV46" s="513">
        <f>(Data!Z43+Data!CM43)/AV$6*100000*AV$3</f>
        <v>2794.5060012016374</v>
      </c>
      <c r="AW46" s="513">
        <f>(Data!AA43+Data!CN43)/AW$6*100000*AW$3</f>
        <v>0</v>
      </c>
      <c r="AX46" s="513">
        <f>(Data!AB43+Data!CO43)/AX$6*100000*AX$3</f>
        <v>0</v>
      </c>
      <c r="AY46" s="513">
        <f>(Data!AC43+Data!CP43)/AY$6*100000*AY$3</f>
        <v>0</v>
      </c>
      <c r="AZ46" s="513">
        <f>(Data!AD43+Data!CQ43)/AZ$6*100000*AZ$3</f>
        <v>6573.421465872987</v>
      </c>
      <c r="BA46" s="513">
        <f>(Data!AE43+Data!CR43)/BA$6*100000*BA$3</f>
        <v>0</v>
      </c>
      <c r="BB46" s="513">
        <f>(Data!AF43+Data!CS43)/BB$6*100000*BB$3</f>
        <v>3346.1882732831964</v>
      </c>
      <c r="BC46" s="513">
        <f>(Data!AG43+Data!CT43)/BC$6*100000*BC$3</f>
        <v>0</v>
      </c>
      <c r="BD46" s="513">
        <f>(Data!AH43+Data!CU43)/BD$6*100000*BD$3</f>
        <v>849.89206370790919</v>
      </c>
      <c r="BE46" s="476"/>
      <c r="BF46" s="476"/>
      <c r="BG46" s="476"/>
      <c r="BH46" s="476"/>
      <c r="BI46" s="476"/>
      <c r="BJ46" s="476"/>
      <c r="BK46" s="476"/>
      <c r="BL46" s="476"/>
      <c r="BM46" s="476"/>
      <c r="BN46" s="476"/>
      <c r="BO46" s="476"/>
      <c r="BP46" s="476"/>
      <c r="BQ46" s="476"/>
    </row>
    <row r="47" spans="1:69" s="341" customFormat="1" ht="24" customHeight="1">
      <c r="A47" s="266"/>
      <c r="B47" s="279"/>
      <c r="C47" s="279"/>
      <c r="D47" s="280"/>
      <c r="E47" s="281"/>
      <c r="F47" s="282"/>
      <c r="G47" s="282"/>
      <c r="H47" s="271"/>
      <c r="I47" s="271"/>
      <c r="J47" s="271"/>
      <c r="K47" s="271"/>
      <c r="L47" s="271"/>
      <c r="M47" s="271"/>
      <c r="N47" s="271"/>
      <c r="O47" s="267"/>
      <c r="P47" s="349"/>
      <c r="Q47" s="521"/>
      <c r="R47" s="513"/>
      <c r="S47" s="513"/>
      <c r="T47" s="513"/>
      <c r="U47" s="513"/>
      <c r="V47" s="513"/>
      <c r="W47" s="513"/>
      <c r="X47" s="513"/>
      <c r="Y47" s="513"/>
      <c r="Z47" s="513"/>
      <c r="AA47" s="513"/>
      <c r="AB47" s="513"/>
      <c r="AC47" s="513"/>
      <c r="AD47" s="513"/>
      <c r="AE47" s="513"/>
      <c r="AF47" s="513"/>
      <c r="AG47" s="513"/>
      <c r="AH47" s="513"/>
      <c r="AI47" s="513"/>
      <c r="AJ47" s="513"/>
      <c r="AK47" s="521"/>
      <c r="AL47" s="513"/>
      <c r="AM47" s="513"/>
      <c r="AN47" s="513"/>
      <c r="AO47" s="513"/>
      <c r="AP47" s="513"/>
      <c r="AQ47" s="513"/>
      <c r="AR47" s="513"/>
      <c r="AS47" s="513"/>
      <c r="AT47" s="513"/>
      <c r="AU47" s="513"/>
      <c r="AV47" s="513"/>
      <c r="AW47" s="513"/>
      <c r="AX47" s="513"/>
      <c r="AY47" s="513"/>
      <c r="AZ47" s="513"/>
      <c r="BA47" s="513"/>
      <c r="BB47" s="513"/>
      <c r="BC47" s="513"/>
      <c r="BD47" s="513"/>
      <c r="BE47" s="476"/>
      <c r="BF47" s="476"/>
      <c r="BG47" s="476"/>
      <c r="BH47" s="476"/>
      <c r="BI47" s="476"/>
      <c r="BJ47" s="476"/>
      <c r="BK47" s="476"/>
      <c r="BL47" s="476"/>
      <c r="BM47" s="476"/>
      <c r="BN47" s="476"/>
      <c r="BO47" s="476"/>
      <c r="BP47" s="476"/>
      <c r="BQ47" s="476"/>
    </row>
    <row r="48" spans="1:69" s="341" customFormat="1" ht="12" customHeight="1">
      <c r="A48" s="266"/>
      <c r="B48" s="123" t="str">
        <f>UPPER(LEFT(TRIM(Data!B44),1)) &amp; MID(TRIM(Data!B44),2,50)</f>
        <v>Melanoma in situ</v>
      </c>
      <c r="C48" s="123" t="str">
        <f>UPPER(LEFT(TRIM(Data!C44),1)) &amp; MID(TRIM(Data!C44),2,50)</f>
        <v>D03</v>
      </c>
      <c r="D48" s="124">
        <f>Data!D44+Data!BQ44</f>
        <v>45</v>
      </c>
      <c r="E48" s="125">
        <f t="shared" si="5"/>
        <v>1.5214581384317283</v>
      </c>
      <c r="F48" s="126">
        <f t="shared" si="6"/>
        <v>1.2255177430757576</v>
      </c>
      <c r="G48" s="127">
        <f t="shared" si="7"/>
        <v>0.92561629541875157</v>
      </c>
      <c r="H48" s="271"/>
      <c r="I48" s="271"/>
      <c r="J48" s="271"/>
      <c r="K48" s="271"/>
      <c r="L48" s="271"/>
      <c r="M48" s="271"/>
      <c r="N48" s="271"/>
      <c r="O48" s="267"/>
      <c r="P48" s="349"/>
      <c r="Q48" s="521" t="s">
        <v>352</v>
      </c>
      <c r="R48" s="513">
        <f t="shared" ref="R48" si="11">SUM(S48:AJ48)</f>
        <v>122551.77430757575</v>
      </c>
      <c r="S48" s="513">
        <f>(Data!Q44+Data!CD44)/S$6*100000*S$3</f>
        <v>0</v>
      </c>
      <c r="T48" s="513">
        <f>(Data!R44+Data!CE44)/T$6*100000*T$3</f>
        <v>0</v>
      </c>
      <c r="U48" s="513">
        <f>(Data!S44+Data!CF44)/U$6*100000*U$3</f>
        <v>0</v>
      </c>
      <c r="V48" s="513">
        <f>(Data!T44+Data!CG44)/V$6*100000*V$3</f>
        <v>0</v>
      </c>
      <c r="W48" s="513">
        <f>(Data!U44+Data!CH44)/W$6*100000*W$3</f>
        <v>0</v>
      </c>
      <c r="X48" s="513">
        <f>(Data!V44+Data!CI44)/X$6*100000*X$3</f>
        <v>7196.0195731732383</v>
      </c>
      <c r="Y48" s="513">
        <f>(Data!W44+Data!CJ44)/Y$6*100000*Y$3</f>
        <v>3979.488578867778</v>
      </c>
      <c r="Z48" s="513">
        <f>(Data!X44+Data!CK44)/Z$6*100000*Z$3</f>
        <v>7503.9261613665722</v>
      </c>
      <c r="AA48" s="513">
        <f>(Data!Y44+Data!CL44)/AA$6*100000*AA$3</f>
        <v>10022.478988588691</v>
      </c>
      <c r="AB48" s="513">
        <f>(Data!Z44+Data!CM44)/AB$6*100000*AB$3</f>
        <v>9780.7710042057315</v>
      </c>
      <c r="AC48" s="513">
        <f>(Data!AA44+Data!CN44)/AC$6*100000*AC$3</f>
        <v>8878.5165267243356</v>
      </c>
      <c r="AD48" s="513">
        <f>(Data!AB44+Data!CO44)/AD$6*100000*AD$3</f>
        <v>18343.668631817094</v>
      </c>
      <c r="AE48" s="513">
        <f>(Data!AC44+Data!CP44)/AE$6*100000*AE$3</f>
        <v>14583.126739037863</v>
      </c>
      <c r="AF48" s="513">
        <f>(Data!AD44+Data!CQ44)/AF$6*100000*AF$3</f>
        <v>17529.123908994632</v>
      </c>
      <c r="AG48" s="513">
        <f>(Data!AE44+Data!CR44)/AG$6*100000*AG$3</f>
        <v>10613.307672713894</v>
      </c>
      <c r="AH48" s="513">
        <f>(Data!AF44+Data!CS44)/AH$6*100000*AH$3</f>
        <v>6692.3765465663928</v>
      </c>
      <c r="AI48" s="513">
        <f>(Data!AG44+Data!CT44)/AI$6*100000*AI$3</f>
        <v>2329.6175932720644</v>
      </c>
      <c r="AJ48" s="513">
        <f>(Data!AH44+Data!CU44)/AJ$6*100000*AJ$3</f>
        <v>5099.3523822474544</v>
      </c>
      <c r="AK48" s="521" t="s">
        <v>352</v>
      </c>
      <c r="AL48" s="513">
        <f t="shared" si="4"/>
        <v>92561.629541875154</v>
      </c>
      <c r="AM48" s="513">
        <f>(Data!Q44+Data!CD44)/AM$6*100000*AM$3</f>
        <v>0</v>
      </c>
      <c r="AN48" s="513">
        <f>(Data!R44+Data!CE44)/AN$6*100000*AN$3</f>
        <v>0</v>
      </c>
      <c r="AO48" s="513">
        <f>(Data!S44+Data!CF44)/AO$6*100000*AO$3</f>
        <v>0</v>
      </c>
      <c r="AP48" s="513">
        <f>(Data!T44+Data!CG44)/AP$6*100000*AP$3</f>
        <v>0</v>
      </c>
      <c r="AQ48" s="513">
        <f>(Data!U44+Data!CH44)/AQ$6*100000*AQ$3</f>
        <v>0</v>
      </c>
      <c r="AR48" s="513">
        <f>(Data!V44+Data!CI44)/AR$6*100000*AR$3</f>
        <v>8224.0223693408443</v>
      </c>
      <c r="AS48" s="513">
        <f>(Data!W44+Data!CJ44)/AS$6*100000*AS$3</f>
        <v>3410.9902104580956</v>
      </c>
      <c r="AT48" s="513">
        <f>(Data!X44+Data!CK44)/AT$6*100000*AT$3</f>
        <v>6431.9367097427757</v>
      </c>
      <c r="AU48" s="513">
        <f>(Data!Y44+Data!CL44)/AU$6*100000*AU$3</f>
        <v>8590.6962759331636</v>
      </c>
      <c r="AV48" s="513">
        <f>(Data!Z44+Data!CM44)/AV$6*100000*AV$3</f>
        <v>8383.5180036049132</v>
      </c>
      <c r="AW48" s="513">
        <f>(Data!AA44+Data!CN44)/AW$6*100000*AW$3</f>
        <v>6341.797519088811</v>
      </c>
      <c r="AX48" s="513">
        <f>(Data!AB44+Data!CO44)/AX$6*100000*AX$3</f>
        <v>12229.112421211397</v>
      </c>
      <c r="AY48" s="513">
        <f>(Data!AC44+Data!CP44)/AY$6*100000*AY$3</f>
        <v>11666.501391230291</v>
      </c>
      <c r="AZ48" s="513">
        <f>(Data!AD44+Data!CQ44)/AZ$6*100000*AZ$3</f>
        <v>13146.842931745974</v>
      </c>
      <c r="BA48" s="513">
        <f>(Data!AE44+Data!CR44)/BA$6*100000*BA$3</f>
        <v>7075.5384484759288</v>
      </c>
      <c r="BB48" s="513">
        <f>(Data!AF44+Data!CS44)/BB$6*100000*BB$3</f>
        <v>3346.1882732831964</v>
      </c>
      <c r="BC48" s="513">
        <f>(Data!AG44+Data!CT44)/BC$6*100000*BC$3</f>
        <v>1164.8087966360322</v>
      </c>
      <c r="BD48" s="513">
        <f>(Data!AH44+Data!CU44)/BD$6*100000*BD$3</f>
        <v>2549.6761911237272</v>
      </c>
      <c r="BE48" s="476"/>
      <c r="BF48" s="476"/>
      <c r="BG48" s="476"/>
      <c r="BH48" s="476"/>
      <c r="BI48" s="476"/>
      <c r="BJ48" s="476"/>
      <c r="BK48" s="476"/>
      <c r="BL48" s="476"/>
      <c r="BM48" s="476"/>
      <c r="BN48" s="476"/>
      <c r="BO48" s="476"/>
      <c r="BP48" s="476"/>
      <c r="BQ48" s="476"/>
    </row>
    <row r="49" spans="1:69" s="341" customFormat="1" ht="12" customHeight="1">
      <c r="A49" s="266"/>
      <c r="B49" s="273" t="str">
        <f>UPPER(LEFT(TRIM(Data!B45),1)) &amp; MID(TRIM(Data!B45),2,50)</f>
        <v>Krūties navikai in situ</v>
      </c>
      <c r="C49" s="273" t="str">
        <f>UPPER(LEFT(TRIM(Data!C45),1)) &amp; MID(TRIM(Data!C45),2,50)</f>
        <v>D05</v>
      </c>
      <c r="D49" s="274">
        <f>Data!D45+Data!BQ45</f>
        <v>97</v>
      </c>
      <c r="E49" s="277">
        <f t="shared" si="5"/>
        <v>3.2795875428417252</v>
      </c>
      <c r="F49" s="278">
        <f t="shared" si="6"/>
        <v>2.7583758000108647</v>
      </c>
      <c r="G49" s="276">
        <f t="shared" si="7"/>
        <v>2.0798517723534737</v>
      </c>
      <c r="H49" s="271"/>
      <c r="I49" s="271"/>
      <c r="J49" s="271"/>
      <c r="K49" s="271"/>
      <c r="L49" s="271"/>
      <c r="M49" s="271"/>
      <c r="N49" s="271"/>
      <c r="O49" s="267"/>
      <c r="P49" s="349"/>
      <c r="Q49" s="521" t="s">
        <v>352</v>
      </c>
      <c r="R49" s="513">
        <f t="shared" ref="R49:R55" si="12">SUM(S49:AJ49)</f>
        <v>275837.58000108646</v>
      </c>
      <c r="S49" s="513">
        <f>(Data!Q45+Data!CD45)/S$6*100000*S$3</f>
        <v>0</v>
      </c>
      <c r="T49" s="513">
        <f>(Data!R45+Data!CE45)/T$6*100000*T$3</f>
        <v>0</v>
      </c>
      <c r="U49" s="513">
        <f>(Data!S45+Data!CF45)/U$6*100000*U$3</f>
        <v>0</v>
      </c>
      <c r="V49" s="513">
        <f>(Data!T45+Data!CG45)/V$6*100000*V$3</f>
        <v>0</v>
      </c>
      <c r="W49" s="513">
        <f>(Data!U45+Data!CH45)/W$6*100000*W$3</f>
        <v>0</v>
      </c>
      <c r="X49" s="513">
        <f>(Data!V45+Data!CI45)/X$6*100000*X$3</f>
        <v>0</v>
      </c>
      <c r="Y49" s="513">
        <f>(Data!W45+Data!CJ45)/Y$6*100000*Y$3</f>
        <v>0</v>
      </c>
      <c r="Z49" s="513">
        <f>(Data!X45+Data!CK45)/Z$6*100000*Z$3</f>
        <v>18759.815403416433</v>
      </c>
      <c r="AA49" s="513">
        <f>(Data!Y45+Data!CL45)/AA$6*100000*AA$3</f>
        <v>13363.305318118257</v>
      </c>
      <c r="AB49" s="513">
        <f>(Data!Z45+Data!CM45)/AB$6*100000*AB$3</f>
        <v>48903.855021028663</v>
      </c>
      <c r="AC49" s="513">
        <f>(Data!AA45+Data!CN45)/AC$6*100000*AC$3</f>
        <v>73987.637722702784</v>
      </c>
      <c r="AD49" s="513">
        <f>(Data!AB45+Data!CO45)/AD$6*100000*AD$3</f>
        <v>18343.668631817094</v>
      </c>
      <c r="AE49" s="513">
        <f>(Data!AC45+Data!CP45)/AE$6*100000*AE$3</f>
        <v>37916.129521498442</v>
      </c>
      <c r="AF49" s="513">
        <f>(Data!AD45+Data!CQ45)/AF$6*100000*AF$3</f>
        <v>29215.206514991052</v>
      </c>
      <c r="AG49" s="513">
        <f>(Data!AE45+Data!CR45)/AG$6*100000*AG$3</f>
        <v>21226.615345427788</v>
      </c>
      <c r="AH49" s="513">
        <f>(Data!AF45+Data!CS45)/AH$6*100000*AH$3</f>
        <v>6692.3765465663928</v>
      </c>
      <c r="AI49" s="513">
        <f>(Data!AG45+Data!CT45)/AI$6*100000*AI$3</f>
        <v>2329.6175932720644</v>
      </c>
      <c r="AJ49" s="513">
        <f>(Data!AH45+Data!CU45)/AJ$6*100000*AJ$3</f>
        <v>5099.3523822474544</v>
      </c>
      <c r="AK49" s="521" t="s">
        <v>352</v>
      </c>
      <c r="AL49" s="513">
        <f t="shared" si="4"/>
        <v>207985.17723534739</v>
      </c>
      <c r="AM49" s="513">
        <f>(Data!Q45+Data!CD45)/AM$6*100000*AM$3</f>
        <v>0</v>
      </c>
      <c r="AN49" s="513">
        <f>(Data!R45+Data!CE45)/AN$6*100000*AN$3</f>
        <v>0</v>
      </c>
      <c r="AO49" s="513">
        <f>(Data!S45+Data!CF45)/AO$6*100000*AO$3</f>
        <v>0</v>
      </c>
      <c r="AP49" s="513">
        <f>(Data!T45+Data!CG45)/AP$6*100000*AP$3</f>
        <v>0</v>
      </c>
      <c r="AQ49" s="513">
        <f>(Data!U45+Data!CH45)/AQ$6*100000*AQ$3</f>
        <v>0</v>
      </c>
      <c r="AR49" s="513">
        <f>(Data!V45+Data!CI45)/AR$6*100000*AR$3</f>
        <v>0</v>
      </c>
      <c r="AS49" s="513">
        <f>(Data!W45+Data!CJ45)/AS$6*100000*AS$3</f>
        <v>0</v>
      </c>
      <c r="AT49" s="513">
        <f>(Data!X45+Data!CK45)/AT$6*100000*AT$3</f>
        <v>16079.841774356941</v>
      </c>
      <c r="AU49" s="513">
        <f>(Data!Y45+Data!CL45)/AU$6*100000*AU$3</f>
        <v>11454.261701244219</v>
      </c>
      <c r="AV49" s="513">
        <f>(Data!Z45+Data!CM45)/AV$6*100000*AV$3</f>
        <v>41917.590018024566</v>
      </c>
      <c r="AW49" s="513">
        <f>(Data!AA45+Data!CN45)/AW$6*100000*AW$3</f>
        <v>52848.312659073417</v>
      </c>
      <c r="AX49" s="513">
        <f>(Data!AB45+Data!CO45)/AX$6*100000*AX$3</f>
        <v>12229.112421211397</v>
      </c>
      <c r="AY49" s="513">
        <f>(Data!AC45+Data!CP45)/AY$6*100000*AY$3</f>
        <v>30332.903617198757</v>
      </c>
      <c r="AZ49" s="513">
        <f>(Data!AD45+Data!CQ45)/AZ$6*100000*AZ$3</f>
        <v>21911.40488624329</v>
      </c>
      <c r="BA49" s="513">
        <f>(Data!AE45+Data!CR45)/BA$6*100000*BA$3</f>
        <v>14151.076896951858</v>
      </c>
      <c r="BB49" s="513">
        <f>(Data!AF45+Data!CS45)/BB$6*100000*BB$3</f>
        <v>3346.1882732831964</v>
      </c>
      <c r="BC49" s="513">
        <f>(Data!AG45+Data!CT45)/BC$6*100000*BC$3</f>
        <v>1164.8087966360322</v>
      </c>
      <c r="BD49" s="513">
        <f>(Data!AH45+Data!CU45)/BD$6*100000*BD$3</f>
        <v>2549.6761911237272</v>
      </c>
      <c r="BE49" s="476"/>
      <c r="BF49" s="476"/>
      <c r="BG49" s="476"/>
      <c r="BH49" s="476"/>
      <c r="BI49" s="476"/>
      <c r="BJ49" s="476"/>
      <c r="BK49" s="476"/>
      <c r="BL49" s="476"/>
      <c r="BM49" s="476"/>
      <c r="BN49" s="476"/>
      <c r="BO49" s="476"/>
      <c r="BP49" s="476"/>
      <c r="BQ49" s="476"/>
    </row>
    <row r="50" spans="1:69" s="341" customFormat="1" ht="12" customHeight="1">
      <c r="A50" s="266"/>
      <c r="B50" s="123" t="str">
        <f>UPPER(LEFT(TRIM(Data!B46),1)) &amp; MID(TRIM(Data!B46),2,50)</f>
        <v>Gimdos kaklelio in situ</v>
      </c>
      <c r="C50" s="123" t="str">
        <f>UPPER(LEFT(TRIM(Data!C46),1)) &amp; MID(TRIM(Data!C46),2,50)</f>
        <v>D06</v>
      </c>
      <c r="D50" s="124">
        <f>Lent02m!D46</f>
        <v>722</v>
      </c>
      <c r="E50" s="125">
        <f>Lent02m!E46</f>
        <v>45.259477221694965</v>
      </c>
      <c r="F50" s="126">
        <f>Lent02m!F46</f>
        <v>51.246066143401443</v>
      </c>
      <c r="G50" s="127">
        <f>Lent02m!G46</f>
        <v>47.099643253267125</v>
      </c>
      <c r="H50" s="271"/>
      <c r="I50" s="271"/>
      <c r="J50" s="271"/>
      <c r="K50" s="271"/>
      <c r="L50" s="271"/>
      <c r="M50" s="271"/>
      <c r="N50" s="271"/>
      <c r="O50" s="267"/>
      <c r="P50" s="259"/>
      <c r="Q50" s="521"/>
      <c r="R50" s="513"/>
      <c r="S50" s="513"/>
      <c r="T50" s="513"/>
      <c r="U50" s="513"/>
      <c r="V50" s="513"/>
      <c r="W50" s="513"/>
      <c r="X50" s="513"/>
      <c r="Y50" s="513"/>
      <c r="Z50" s="513"/>
      <c r="AA50" s="513"/>
      <c r="AB50" s="513"/>
      <c r="AC50" s="513"/>
      <c r="AD50" s="513"/>
      <c r="AE50" s="513"/>
      <c r="AF50" s="513"/>
      <c r="AG50" s="513"/>
      <c r="AH50" s="513"/>
      <c r="AI50" s="513"/>
      <c r="AJ50" s="513"/>
      <c r="AK50" s="521"/>
      <c r="AL50" s="513"/>
      <c r="AM50" s="513"/>
      <c r="AN50" s="513"/>
      <c r="AO50" s="513"/>
      <c r="AP50" s="513"/>
      <c r="AQ50" s="513"/>
      <c r="AR50" s="513"/>
      <c r="AS50" s="513"/>
      <c r="AT50" s="513"/>
      <c r="AU50" s="513"/>
      <c r="AV50" s="513"/>
      <c r="AW50" s="513"/>
      <c r="AX50" s="513"/>
      <c r="AY50" s="513"/>
      <c r="AZ50" s="513"/>
      <c r="BA50" s="513"/>
      <c r="BB50" s="513"/>
      <c r="BC50" s="513"/>
      <c r="BD50" s="513"/>
      <c r="BE50" s="476"/>
      <c r="BF50" s="476"/>
      <c r="BG50" s="476"/>
      <c r="BH50" s="476"/>
      <c r="BI50" s="476"/>
      <c r="BJ50" s="476"/>
      <c r="BK50" s="476"/>
      <c r="BL50" s="476"/>
      <c r="BM50" s="476"/>
      <c r="BN50" s="476"/>
      <c r="BO50" s="476"/>
      <c r="BP50" s="476"/>
      <c r="BQ50" s="476"/>
    </row>
    <row r="51" spans="1:69" s="341" customFormat="1" ht="12" customHeight="1">
      <c r="A51" s="266"/>
      <c r="B51" s="273" t="str">
        <f>UPPER(LEFT(TRIM(Data!B47),1)) &amp; MID(TRIM(Data!B47),2,50)</f>
        <v>Šlapimo pūslės in situ</v>
      </c>
      <c r="C51" s="273" t="str">
        <f>UPPER(LEFT(TRIM(Data!C47),1)) &amp; MID(TRIM(Data!C47),2,50)</f>
        <v>D09.0</v>
      </c>
      <c r="D51" s="274">
        <f>Data!D47+Data!BQ47</f>
        <v>135</v>
      </c>
      <c r="E51" s="277">
        <f t="shared" si="5"/>
        <v>4.5643744152951848</v>
      </c>
      <c r="F51" s="278">
        <f t="shared" si="6"/>
        <v>3.1672231229457273</v>
      </c>
      <c r="G51" s="276">
        <f t="shared" si="7"/>
        <v>2.213529328723947</v>
      </c>
      <c r="H51" s="271"/>
      <c r="I51" s="271"/>
      <c r="J51" s="271"/>
      <c r="K51" s="271"/>
      <c r="L51" s="271"/>
      <c r="M51" s="271"/>
      <c r="N51" s="271"/>
      <c r="O51" s="267"/>
      <c r="P51" s="259"/>
      <c r="Q51" s="521" t="s">
        <v>352</v>
      </c>
      <c r="R51" s="513">
        <f t="shared" si="12"/>
        <v>316722.31229457271</v>
      </c>
      <c r="S51" s="513">
        <f>(Data!Q47+Data!CD47)/S$6*100000*S$3</f>
        <v>0</v>
      </c>
      <c r="T51" s="513">
        <f>(Data!R47+Data!CE47)/T$6*100000*T$3</f>
        <v>0</v>
      </c>
      <c r="U51" s="513">
        <f>(Data!S47+Data!CF47)/U$6*100000*U$3</f>
        <v>0</v>
      </c>
      <c r="V51" s="513">
        <f>(Data!T47+Data!CG47)/V$6*100000*V$3</f>
        <v>3836.6675801589472</v>
      </c>
      <c r="W51" s="513">
        <f>(Data!U47+Data!CH47)/W$6*100000*W$3</f>
        <v>3271.5019465436585</v>
      </c>
      <c r="X51" s="513">
        <f>(Data!V47+Data!CI47)/X$6*100000*X$3</f>
        <v>0</v>
      </c>
      <c r="Y51" s="513">
        <f>(Data!W47+Data!CJ47)/Y$6*100000*Y$3</f>
        <v>0</v>
      </c>
      <c r="Z51" s="513">
        <f>(Data!X47+Data!CK47)/Z$6*100000*Z$3</f>
        <v>3751.9630806832861</v>
      </c>
      <c r="AA51" s="513">
        <f>(Data!Y47+Data!CL47)/AA$6*100000*AA$3</f>
        <v>6681.6526590591284</v>
      </c>
      <c r="AB51" s="513">
        <f>(Data!Z47+Data!CM47)/AB$6*100000*AB$3</f>
        <v>3260.2570014019107</v>
      </c>
      <c r="AC51" s="513">
        <f>(Data!AA47+Data!CN47)/AC$6*100000*AC$3</f>
        <v>14797.527544540557</v>
      </c>
      <c r="AD51" s="513">
        <f>(Data!AB47+Data!CO47)/AD$6*100000*AD$3</f>
        <v>42801.893474239885</v>
      </c>
      <c r="AE51" s="513">
        <f>(Data!AC47+Data!CP47)/AE$6*100000*AE$3</f>
        <v>64165.757651766595</v>
      </c>
      <c r="AF51" s="513">
        <f>(Data!AD47+Data!CQ47)/AF$6*100000*AF$3</f>
        <v>55508.892378483004</v>
      </c>
      <c r="AG51" s="513">
        <f>(Data!AE47+Data!CR47)/AG$6*100000*AG$3</f>
        <v>57311.861432655031</v>
      </c>
      <c r="AH51" s="513">
        <f>(Data!AF47+Data!CS47)/AH$6*100000*AH$3</f>
        <v>26769.506186265571</v>
      </c>
      <c r="AI51" s="513">
        <f>(Data!AG47+Data!CT47)/AI$6*100000*AI$3</f>
        <v>20966.55833944858</v>
      </c>
      <c r="AJ51" s="513">
        <f>(Data!AH47+Data!CU47)/AJ$6*100000*AJ$3</f>
        <v>13598.273019326547</v>
      </c>
      <c r="AK51" s="521" t="s">
        <v>352</v>
      </c>
      <c r="AL51" s="513">
        <f t="shared" si="4"/>
        <v>221352.93287239468</v>
      </c>
      <c r="AM51" s="513">
        <f>(Data!Q47+Data!CD47)/AM$6*100000*AM$3</f>
        <v>0</v>
      </c>
      <c r="AN51" s="513">
        <f>(Data!R47+Data!CE47)/AN$6*100000*AN$3</f>
        <v>0</v>
      </c>
      <c r="AO51" s="513">
        <f>(Data!S47+Data!CF47)/AO$6*100000*AO$3</f>
        <v>0</v>
      </c>
      <c r="AP51" s="513">
        <f>(Data!T47+Data!CG47)/AP$6*100000*AP$3</f>
        <v>4932.858317347218</v>
      </c>
      <c r="AQ51" s="513">
        <f>(Data!U47+Data!CH47)/AQ$6*100000*AQ$3</f>
        <v>3738.859367478467</v>
      </c>
      <c r="AR51" s="513">
        <f>(Data!V47+Data!CI47)/AR$6*100000*AR$3</f>
        <v>0</v>
      </c>
      <c r="AS51" s="513">
        <f>(Data!W47+Data!CJ47)/AS$6*100000*AS$3</f>
        <v>0</v>
      </c>
      <c r="AT51" s="513">
        <f>(Data!X47+Data!CK47)/AT$6*100000*AT$3</f>
        <v>3215.9683548713879</v>
      </c>
      <c r="AU51" s="513">
        <f>(Data!Y47+Data!CL47)/AU$6*100000*AU$3</f>
        <v>5727.1308506221094</v>
      </c>
      <c r="AV51" s="513">
        <f>(Data!Z47+Data!CM47)/AV$6*100000*AV$3</f>
        <v>2794.5060012016374</v>
      </c>
      <c r="AW51" s="513">
        <f>(Data!AA47+Data!CN47)/AW$6*100000*AW$3</f>
        <v>10569.662531814683</v>
      </c>
      <c r="AX51" s="513">
        <f>(Data!AB47+Data!CO47)/AX$6*100000*AX$3</f>
        <v>28534.595649493258</v>
      </c>
      <c r="AY51" s="513">
        <f>(Data!AC47+Data!CP47)/AY$6*100000*AY$3</f>
        <v>51332.606121413279</v>
      </c>
      <c r="AZ51" s="513">
        <f>(Data!AD47+Data!CQ47)/AZ$6*100000*AZ$3</f>
        <v>41631.669283862255</v>
      </c>
      <c r="BA51" s="513">
        <f>(Data!AE47+Data!CR47)/BA$6*100000*BA$3</f>
        <v>38207.90762177002</v>
      </c>
      <c r="BB51" s="513">
        <f>(Data!AF47+Data!CS47)/BB$6*100000*BB$3</f>
        <v>13384.753093132786</v>
      </c>
      <c r="BC51" s="513">
        <f>(Data!AG47+Data!CT47)/BC$6*100000*BC$3</f>
        <v>10483.27916972429</v>
      </c>
      <c r="BD51" s="513">
        <f>(Data!AH47+Data!CU47)/BD$6*100000*BD$3</f>
        <v>6799.1365096632735</v>
      </c>
      <c r="BE51" s="476"/>
      <c r="BF51" s="476"/>
      <c r="BG51" s="476"/>
      <c r="BH51" s="476"/>
      <c r="BI51" s="476"/>
      <c r="BJ51" s="476"/>
      <c r="BK51" s="476"/>
      <c r="BL51" s="476"/>
      <c r="BM51" s="476"/>
      <c r="BN51" s="476"/>
      <c r="BO51" s="476"/>
      <c r="BP51" s="476"/>
      <c r="BQ51" s="476"/>
    </row>
    <row r="52" spans="1:69" s="341" customFormat="1" ht="12" customHeight="1">
      <c r="A52" s="266"/>
      <c r="B52" s="123" t="str">
        <f>UPPER(LEFT(TRIM(Data!B48),1)) &amp; MID(TRIM(Data!B48),2,50)</f>
        <v>Nervų sistemos gerybiniai navikai</v>
      </c>
      <c r="C52" s="123" t="str">
        <f>UPPER(LEFT(TRIM(Data!C48),1)) &amp; MID(TRIM(Data!C48),2,50)</f>
        <v>D32, D33</v>
      </c>
      <c r="D52" s="124">
        <f>Data!D48+Data!BQ48</f>
        <v>156</v>
      </c>
      <c r="E52" s="125">
        <f t="shared" si="5"/>
        <v>5.2743882132299911</v>
      </c>
      <c r="F52" s="126">
        <f t="shared" si="6"/>
        <v>4.0012070715399242</v>
      </c>
      <c r="G52" s="127">
        <f t="shared" si="7"/>
        <v>2.9730410916683083</v>
      </c>
      <c r="H52" s="271"/>
      <c r="I52" s="271"/>
      <c r="J52" s="271"/>
      <c r="K52" s="271"/>
      <c r="L52" s="271"/>
      <c r="M52" s="271"/>
      <c r="N52" s="271"/>
      <c r="O52" s="267"/>
      <c r="P52" s="259"/>
      <c r="Q52" s="521" t="s">
        <v>352</v>
      </c>
      <c r="R52" s="513">
        <f t="shared" si="12"/>
        <v>400120.70715399238</v>
      </c>
      <c r="S52" s="513">
        <f>(Data!Q48+Data!CD48)/S$6*100000*S$3</f>
        <v>0</v>
      </c>
      <c r="T52" s="513">
        <f>(Data!R48+Data!CE48)/T$6*100000*T$3</f>
        <v>0</v>
      </c>
      <c r="U52" s="513">
        <f>(Data!S48+Data!CF48)/U$6*100000*U$3</f>
        <v>4752.4322269218501</v>
      </c>
      <c r="V52" s="513">
        <f>(Data!T48+Data!CG48)/V$6*100000*V$3</f>
        <v>7673.3351603178944</v>
      </c>
      <c r="W52" s="513">
        <f>(Data!U48+Data!CH48)/W$6*100000*W$3</f>
        <v>6543.003893087317</v>
      </c>
      <c r="X52" s="513">
        <f>(Data!V48+Data!CI48)/X$6*100000*X$3</f>
        <v>3598.0097865866192</v>
      </c>
      <c r="Y52" s="513">
        <f>(Data!W48+Data!CJ48)/Y$6*100000*Y$3</f>
        <v>11938.465736603335</v>
      </c>
      <c r="Z52" s="513">
        <f>(Data!X48+Data!CK48)/Z$6*100000*Z$3</f>
        <v>15007.852322733144</v>
      </c>
      <c r="AA52" s="513">
        <f>(Data!Y48+Data!CL48)/AA$6*100000*AA$3</f>
        <v>23385.784306706944</v>
      </c>
      <c r="AB52" s="513">
        <f>(Data!Z48+Data!CM48)/AB$6*100000*AB$3</f>
        <v>19561.542008411463</v>
      </c>
      <c r="AC52" s="513">
        <f>(Data!AA48+Data!CN48)/AC$6*100000*AC$3</f>
        <v>38473.571615805449</v>
      </c>
      <c r="AD52" s="513">
        <f>(Data!AB48+Data!CO48)/AD$6*100000*AD$3</f>
        <v>33630.059158331343</v>
      </c>
      <c r="AE52" s="513">
        <f>(Data!AC48+Data!CP48)/AE$6*100000*AE$3</f>
        <v>58332.506956151454</v>
      </c>
      <c r="AF52" s="513">
        <f>(Data!AD48+Data!CQ48)/AF$6*100000*AF$3</f>
        <v>75959.536938976744</v>
      </c>
      <c r="AG52" s="513">
        <f>(Data!AE48+Data!CR48)/AG$6*100000*AG$3</f>
        <v>33962.584552684457</v>
      </c>
      <c r="AH52" s="513">
        <f>(Data!AF48+Data!CS48)/AH$6*100000*AH$3</f>
        <v>33461.882732831968</v>
      </c>
      <c r="AI52" s="513">
        <f>(Data!AG48+Data!CT48)/AI$6*100000*AI$3</f>
        <v>15142.514356268417</v>
      </c>
      <c r="AJ52" s="513">
        <f>(Data!AH48+Data!CU48)/AJ$6*100000*AJ$3</f>
        <v>18697.625401574001</v>
      </c>
      <c r="AK52" s="521" t="s">
        <v>352</v>
      </c>
      <c r="AL52" s="513">
        <f t="shared" si="4"/>
        <v>297304.10916683084</v>
      </c>
      <c r="AM52" s="513">
        <f>(Data!Q48+Data!CD48)/AM$6*100000*AM$3</f>
        <v>0</v>
      </c>
      <c r="AN52" s="513">
        <f>(Data!R48+Data!CE48)/AN$6*100000*AN$3</f>
        <v>0</v>
      </c>
      <c r="AO52" s="513">
        <f>(Data!S48+Data!CF48)/AO$6*100000*AO$3</f>
        <v>6110.2700060423786</v>
      </c>
      <c r="AP52" s="513">
        <f>(Data!T48+Data!CG48)/AP$6*100000*AP$3</f>
        <v>9865.7166346944359</v>
      </c>
      <c r="AQ52" s="513">
        <f>(Data!U48+Data!CH48)/AQ$6*100000*AQ$3</f>
        <v>7477.718734956934</v>
      </c>
      <c r="AR52" s="513">
        <f>(Data!V48+Data!CI48)/AR$6*100000*AR$3</f>
        <v>4112.0111846704222</v>
      </c>
      <c r="AS52" s="513">
        <f>(Data!W48+Data!CJ48)/AS$6*100000*AS$3</f>
        <v>10232.970631374288</v>
      </c>
      <c r="AT52" s="513">
        <f>(Data!X48+Data!CK48)/AT$6*100000*AT$3</f>
        <v>12863.873419485551</v>
      </c>
      <c r="AU52" s="513">
        <f>(Data!Y48+Data!CL48)/AU$6*100000*AU$3</f>
        <v>20044.957977177382</v>
      </c>
      <c r="AV52" s="513">
        <f>(Data!Z48+Data!CM48)/AV$6*100000*AV$3</f>
        <v>16767.036007209826</v>
      </c>
      <c r="AW52" s="513">
        <f>(Data!AA48+Data!CN48)/AW$6*100000*AW$3</f>
        <v>27481.122582718181</v>
      </c>
      <c r="AX52" s="513">
        <f>(Data!AB48+Data!CO48)/AX$6*100000*AX$3</f>
        <v>22420.039438887561</v>
      </c>
      <c r="AY52" s="513">
        <f>(Data!AC48+Data!CP48)/AY$6*100000*AY$3</f>
        <v>46666.005564921164</v>
      </c>
      <c r="AZ52" s="513">
        <f>(Data!AD48+Data!CQ48)/AZ$6*100000*AZ$3</f>
        <v>56969.652704232554</v>
      </c>
      <c r="BA52" s="513">
        <f>(Data!AE48+Data!CR48)/BA$6*100000*BA$3</f>
        <v>22641.723035122974</v>
      </c>
      <c r="BB52" s="513">
        <f>(Data!AF48+Data!CS48)/BB$6*100000*BB$3</f>
        <v>16730.941366415984</v>
      </c>
      <c r="BC52" s="513">
        <f>(Data!AG48+Data!CT48)/BC$6*100000*BC$3</f>
        <v>7571.2571781342085</v>
      </c>
      <c r="BD52" s="513">
        <f>(Data!AH48+Data!CU48)/BD$6*100000*BD$3</f>
        <v>9348.8127007870007</v>
      </c>
      <c r="BE52" s="476"/>
      <c r="BF52" s="476"/>
      <c r="BG52" s="476"/>
      <c r="BH52" s="476"/>
      <c r="BI52" s="476"/>
      <c r="BJ52" s="476"/>
      <c r="BK52" s="476"/>
      <c r="BL52" s="476"/>
      <c r="BM52" s="476"/>
      <c r="BN52" s="476"/>
      <c r="BO52" s="476"/>
      <c r="BP52" s="476"/>
      <c r="BQ52" s="476"/>
    </row>
    <row r="53" spans="1:69" s="341" customFormat="1" ht="12" customHeight="1">
      <c r="A53" s="266"/>
      <c r="B53" s="273" t="str">
        <f>UPPER(LEFT(TRIM(Data!B49),1)) &amp; MID(TRIM(Data!B49),2,50)</f>
        <v>Kiaušidžių</v>
      </c>
      <c r="C53" s="273" t="str">
        <f>UPPER(LEFT(TRIM(Data!C49),1)) &amp; MID(TRIM(Data!C49),2,50)</f>
        <v>D39.1</v>
      </c>
      <c r="D53" s="274">
        <f>Lent02m!D49</f>
        <v>42</v>
      </c>
      <c r="E53" s="277">
        <f>Lent02m!E49</f>
        <v>2.6328227746692359</v>
      </c>
      <c r="F53" s="278">
        <f>Lent02m!F49</f>
        <v>2.3844801363879053</v>
      </c>
      <c r="G53" s="276">
        <f>Lent02m!G49</f>
        <v>1.8807075510536519</v>
      </c>
      <c r="H53" s="271"/>
      <c r="I53" s="271"/>
      <c r="J53" s="271"/>
      <c r="K53" s="271"/>
      <c r="L53" s="271"/>
      <c r="M53" s="271"/>
      <c r="N53" s="271"/>
      <c r="O53" s="267"/>
      <c r="P53" s="259"/>
      <c r="Q53" s="521"/>
      <c r="R53" s="513"/>
      <c r="S53" s="513"/>
      <c r="T53" s="513"/>
      <c r="U53" s="513"/>
      <c r="V53" s="513"/>
      <c r="W53" s="513"/>
      <c r="X53" s="513"/>
      <c r="Y53" s="513"/>
      <c r="Z53" s="513"/>
      <c r="AA53" s="513"/>
      <c r="AB53" s="513"/>
      <c r="AC53" s="513"/>
      <c r="AD53" s="513"/>
      <c r="AE53" s="513"/>
      <c r="AF53" s="513"/>
      <c r="AG53" s="513"/>
      <c r="AH53" s="513"/>
      <c r="AI53" s="513"/>
      <c r="AJ53" s="513"/>
      <c r="AK53" s="521"/>
      <c r="AL53" s="513"/>
      <c r="AM53" s="513"/>
      <c r="AN53" s="513"/>
      <c r="AO53" s="513"/>
      <c r="AP53" s="513"/>
      <c r="AQ53" s="513"/>
      <c r="AR53" s="513"/>
      <c r="AS53" s="513"/>
      <c r="AT53" s="513"/>
      <c r="AU53" s="513"/>
      <c r="AV53" s="513"/>
      <c r="AW53" s="513"/>
      <c r="AX53" s="513"/>
      <c r="AY53" s="513"/>
      <c r="AZ53" s="513"/>
      <c r="BA53" s="513"/>
      <c r="BB53" s="513"/>
      <c r="BC53" s="513"/>
      <c r="BD53" s="513"/>
      <c r="BE53" s="476"/>
      <c r="BF53" s="476"/>
      <c r="BG53" s="476"/>
      <c r="BH53" s="476"/>
      <c r="BI53" s="476"/>
      <c r="BJ53" s="476"/>
      <c r="BK53" s="476"/>
      <c r="BL53" s="476"/>
      <c r="BM53" s="476"/>
      <c r="BN53" s="476"/>
      <c r="BO53" s="476"/>
      <c r="BP53" s="476"/>
      <c r="BQ53" s="476"/>
    </row>
    <row r="54" spans="1:69" s="341" customFormat="1" ht="12" customHeight="1">
      <c r="A54" s="266"/>
      <c r="B54" s="123" t="str">
        <f>UPPER(LEFT(TRIM(Data!B50),1)) &amp; MID(TRIM(Data!B50),2,50)</f>
        <v>Kiti nervų sistemos</v>
      </c>
      <c r="C54" s="123" t="str">
        <f>UPPER(LEFT(TRIM(Data!C50),1)) &amp; MID(TRIM(Data!C50),2,50)</f>
        <v>D42, D43</v>
      </c>
      <c r="D54" s="124">
        <f>Data!D50+Data!BQ50</f>
        <v>49</v>
      </c>
      <c r="E54" s="125">
        <f t="shared" si="5"/>
        <v>1.656698861847882</v>
      </c>
      <c r="F54" s="126">
        <f t="shared" si="6"/>
        <v>1.3052696496942906</v>
      </c>
      <c r="G54" s="127">
        <f t="shared" si="7"/>
        <v>1.1732490582533168</v>
      </c>
      <c r="H54" s="271"/>
      <c r="I54" s="271"/>
      <c r="J54" s="271"/>
      <c r="K54" s="271"/>
      <c r="L54" s="271"/>
      <c r="M54" s="271"/>
      <c r="N54" s="271"/>
      <c r="O54" s="267"/>
      <c r="P54" s="259"/>
      <c r="Q54" s="521" t="s">
        <v>352</v>
      </c>
      <c r="R54" s="513">
        <f t="shared" si="12"/>
        <v>130526.96496942907</v>
      </c>
      <c r="S54" s="513">
        <f>(Data!Q50+Data!CD50)/S$6*100000*S$3</f>
        <v>15887.516384001272</v>
      </c>
      <c r="T54" s="513">
        <f>(Data!R50+Data!CE50)/T$6*100000*T$3</f>
        <v>5186.030316051505</v>
      </c>
      <c r="U54" s="513">
        <f>(Data!S50+Data!CF50)/U$6*100000*U$3</f>
        <v>4752.4322269218501</v>
      </c>
      <c r="V54" s="513">
        <f>(Data!T50+Data!CG50)/V$6*100000*V$3</f>
        <v>7673.3351603178944</v>
      </c>
      <c r="W54" s="513">
        <f>(Data!U50+Data!CH50)/W$6*100000*W$3</f>
        <v>0</v>
      </c>
      <c r="X54" s="513">
        <f>(Data!V50+Data!CI50)/X$6*100000*X$3</f>
        <v>7196.0195731732383</v>
      </c>
      <c r="Y54" s="513">
        <f>(Data!W50+Data!CJ50)/Y$6*100000*Y$3</f>
        <v>3979.488578867778</v>
      </c>
      <c r="Z54" s="513">
        <f>(Data!X50+Data!CK50)/Z$6*100000*Z$3</f>
        <v>11255.88924204986</v>
      </c>
      <c r="AA54" s="513">
        <f>(Data!Y50+Data!CL50)/AA$6*100000*AA$3</f>
        <v>6681.6526590591284</v>
      </c>
      <c r="AB54" s="513">
        <f>(Data!Z50+Data!CM50)/AB$6*100000*AB$3</f>
        <v>0</v>
      </c>
      <c r="AC54" s="513">
        <f>(Data!AA50+Data!CN50)/AC$6*100000*AC$3</f>
        <v>8878.5165267243356</v>
      </c>
      <c r="AD54" s="513">
        <f>(Data!AB50+Data!CO50)/AD$6*100000*AD$3</f>
        <v>3057.2781053028489</v>
      </c>
      <c r="AE54" s="513">
        <f>(Data!AC50+Data!CP50)/AE$6*100000*AE$3</f>
        <v>11666.501391230291</v>
      </c>
      <c r="AF54" s="513">
        <f>(Data!AD50+Data!CQ50)/AF$6*100000*AF$3</f>
        <v>5843.0413029982101</v>
      </c>
      <c r="AG54" s="513">
        <f>(Data!AE50+Data!CR50)/AG$6*100000*AG$3</f>
        <v>10613.307672713894</v>
      </c>
      <c r="AH54" s="513">
        <f>(Data!AF50+Data!CS50)/AH$6*100000*AH$3</f>
        <v>10038.564819849587</v>
      </c>
      <c r="AI54" s="513">
        <f>(Data!AG50+Data!CT50)/AI$6*100000*AI$3</f>
        <v>9318.4703730882575</v>
      </c>
      <c r="AJ54" s="513">
        <f>(Data!AH50+Data!CU50)/AJ$6*100000*AJ$3</f>
        <v>8498.9206370790907</v>
      </c>
      <c r="AK54" s="521" t="s">
        <v>352</v>
      </c>
      <c r="AL54" s="513">
        <f t="shared" si="4"/>
        <v>117324.90582533169</v>
      </c>
      <c r="AM54" s="513">
        <f>(Data!Q50+Data!CD50)/AM$6*100000*AM$3</f>
        <v>23831.274576001906</v>
      </c>
      <c r="AN54" s="513">
        <f>(Data!R50+Data!CE50)/AN$6*100000*AN$3</f>
        <v>7408.614737216436</v>
      </c>
      <c r="AO54" s="513">
        <f>(Data!S50+Data!CF50)/AO$6*100000*AO$3</f>
        <v>6110.2700060423786</v>
      </c>
      <c r="AP54" s="513">
        <f>(Data!T50+Data!CG50)/AP$6*100000*AP$3</f>
        <v>9865.7166346944359</v>
      </c>
      <c r="AQ54" s="513">
        <f>(Data!U50+Data!CH50)/AQ$6*100000*AQ$3</f>
        <v>0</v>
      </c>
      <c r="AR54" s="513">
        <f>(Data!V50+Data!CI50)/AR$6*100000*AR$3</f>
        <v>8224.0223693408443</v>
      </c>
      <c r="AS54" s="513">
        <f>(Data!W50+Data!CJ50)/AS$6*100000*AS$3</f>
        <v>3410.9902104580956</v>
      </c>
      <c r="AT54" s="513">
        <f>(Data!X50+Data!CK50)/AT$6*100000*AT$3</f>
        <v>9647.9050646141659</v>
      </c>
      <c r="AU54" s="513">
        <f>(Data!Y50+Data!CL50)/AU$6*100000*AU$3</f>
        <v>5727.1308506221094</v>
      </c>
      <c r="AV54" s="513">
        <f>(Data!Z50+Data!CM50)/AV$6*100000*AV$3</f>
        <v>0</v>
      </c>
      <c r="AW54" s="513">
        <f>(Data!AA50+Data!CN50)/AW$6*100000*AW$3</f>
        <v>6341.797519088811</v>
      </c>
      <c r="AX54" s="513">
        <f>(Data!AB50+Data!CO50)/AX$6*100000*AX$3</f>
        <v>2038.1854035352328</v>
      </c>
      <c r="AY54" s="513">
        <f>(Data!AC50+Data!CP50)/AY$6*100000*AY$3</f>
        <v>9333.2011129842322</v>
      </c>
      <c r="AZ54" s="513">
        <f>(Data!AD50+Data!CQ50)/AZ$6*100000*AZ$3</f>
        <v>4382.2809772486571</v>
      </c>
      <c r="BA54" s="513">
        <f>(Data!AE50+Data!CR50)/BA$6*100000*BA$3</f>
        <v>7075.5384484759288</v>
      </c>
      <c r="BB54" s="513">
        <f>(Data!AF50+Data!CS50)/BB$6*100000*BB$3</f>
        <v>5019.2824099247937</v>
      </c>
      <c r="BC54" s="513">
        <f>(Data!AG50+Data!CT50)/BC$6*100000*BC$3</f>
        <v>4659.2351865441287</v>
      </c>
      <c r="BD54" s="513">
        <f>(Data!AH50+Data!CU50)/BD$6*100000*BD$3</f>
        <v>4249.4603185395454</v>
      </c>
      <c r="BE54" s="476"/>
      <c r="BF54" s="476"/>
      <c r="BG54" s="476"/>
      <c r="BH54" s="476"/>
      <c r="BI54" s="476"/>
      <c r="BJ54" s="476"/>
      <c r="BK54" s="476"/>
      <c r="BL54" s="476"/>
      <c r="BM54" s="476"/>
      <c r="BN54" s="476"/>
      <c r="BO54" s="476"/>
      <c r="BP54" s="476"/>
      <c r="BQ54" s="476"/>
    </row>
    <row r="55" spans="1:69" s="341" customFormat="1" ht="12" customHeight="1">
      <c r="A55" s="266"/>
      <c r="B55" s="273" t="str">
        <f>UPPER(LEFT(TRIM(Data!B51),1)) &amp; MID(TRIM(Data!B51),2,50)</f>
        <v>Limfinio ir kraujodaros audinių</v>
      </c>
      <c r="C55" s="273" t="str">
        <f>UPPER(LEFT(TRIM(Data!C51),1)) &amp; MID(TRIM(Data!C51),2,50)</f>
        <v>D45-D47</v>
      </c>
      <c r="D55" s="274">
        <f>Data!D51+Data!BQ51</f>
        <v>396</v>
      </c>
      <c r="E55" s="277">
        <f t="shared" si="5"/>
        <v>13.388831618199207</v>
      </c>
      <c r="F55" s="278">
        <f t="shared" si="6"/>
        <v>8.9473005769355822</v>
      </c>
      <c r="G55" s="276">
        <f t="shared" si="7"/>
        <v>6.1748272807815843</v>
      </c>
      <c r="H55" s="271"/>
      <c r="I55" s="271"/>
      <c r="J55" s="271"/>
      <c r="K55" s="271"/>
      <c r="L55" s="271"/>
      <c r="M55" s="271"/>
      <c r="N55" s="271"/>
      <c r="O55" s="267"/>
      <c r="P55" s="259"/>
      <c r="Q55" s="521" t="s">
        <v>352</v>
      </c>
      <c r="R55" s="513">
        <f t="shared" si="12"/>
        <v>894730.05769355816</v>
      </c>
      <c r="S55" s="513">
        <f>(Data!Q51+Data!CD51)/S$6*100000*S$3</f>
        <v>0</v>
      </c>
      <c r="T55" s="513">
        <f>(Data!R51+Data!CE51)/T$6*100000*T$3</f>
        <v>0</v>
      </c>
      <c r="U55" s="513">
        <f>(Data!S51+Data!CF51)/U$6*100000*U$3</f>
        <v>4752.4322269218501</v>
      </c>
      <c r="V55" s="513">
        <f>(Data!T51+Data!CG51)/V$6*100000*V$3</f>
        <v>0</v>
      </c>
      <c r="W55" s="513">
        <f>(Data!U51+Data!CH51)/W$6*100000*W$3</f>
        <v>9814.5058396309742</v>
      </c>
      <c r="X55" s="513">
        <f>(Data!V51+Data!CI51)/X$6*100000*X$3</f>
        <v>17990.048932933099</v>
      </c>
      <c r="Y55" s="513">
        <f>(Data!W51+Data!CJ51)/Y$6*100000*Y$3</f>
        <v>11938.465736603335</v>
      </c>
      <c r="Z55" s="513">
        <f>(Data!X51+Data!CK51)/Z$6*100000*Z$3</f>
        <v>18759.815403416433</v>
      </c>
      <c r="AA55" s="513">
        <f>(Data!Y51+Data!CL51)/AA$6*100000*AA$3</f>
        <v>20044.957977177382</v>
      </c>
      <c r="AB55" s="513">
        <f>(Data!Z51+Data!CM51)/AB$6*100000*AB$3</f>
        <v>45643.598019626741</v>
      </c>
      <c r="AC55" s="513">
        <f>(Data!AA51+Data!CN51)/AC$6*100000*AC$3</f>
        <v>85825.659758335227</v>
      </c>
      <c r="AD55" s="513">
        <f>(Data!AB51+Data!CO51)/AD$6*100000*AD$3</f>
        <v>94775.621264388319</v>
      </c>
      <c r="AE55" s="513">
        <f>(Data!AC51+Data!CP51)/AE$6*100000*AE$3</f>
        <v>87498.760434227181</v>
      </c>
      <c r="AF55" s="513">
        <f>(Data!AD51+Data!CQ51)/AF$6*100000*AF$3</f>
        <v>119782.34671146332</v>
      </c>
      <c r="AG55" s="513">
        <f>(Data!AE51+Data!CR51)/AG$6*100000*AG$3</f>
        <v>142218.32281436617</v>
      </c>
      <c r="AH55" s="513">
        <f>(Data!AF51+Data!CS51)/AH$6*100000*AH$3</f>
        <v>100385.64819849588</v>
      </c>
      <c r="AI55" s="513">
        <f>(Data!AG51+Data!CT51)/AI$6*100000*AI$3</f>
        <v>79206.99817125019</v>
      </c>
      <c r="AJ55" s="513">
        <f>(Data!AH51+Data!CU51)/AJ$6*100000*AJ$3</f>
        <v>56092.876204721993</v>
      </c>
      <c r="AK55" s="521" t="s">
        <v>352</v>
      </c>
      <c r="AL55" s="513">
        <f t="shared" si="4"/>
        <v>617482.72807815846</v>
      </c>
      <c r="AM55" s="513">
        <f>(Data!Q51+Data!CD51)/AM$6*100000*AM$3</f>
        <v>0</v>
      </c>
      <c r="AN55" s="513">
        <f>(Data!R51+Data!CE51)/AN$6*100000*AN$3</f>
        <v>0</v>
      </c>
      <c r="AO55" s="513">
        <f>(Data!S51+Data!CF51)/AO$6*100000*AO$3</f>
        <v>6110.2700060423786</v>
      </c>
      <c r="AP55" s="513">
        <f>(Data!T51+Data!CG51)/AP$6*100000*AP$3</f>
        <v>0</v>
      </c>
      <c r="AQ55" s="513">
        <f>(Data!U51+Data!CH51)/AQ$6*100000*AQ$3</f>
        <v>11216.578102435398</v>
      </c>
      <c r="AR55" s="513">
        <f>(Data!V51+Data!CI51)/AR$6*100000*AR$3</f>
        <v>20560.055923352113</v>
      </c>
      <c r="AS55" s="513">
        <f>(Data!W51+Data!CJ51)/AS$6*100000*AS$3</f>
        <v>10232.970631374288</v>
      </c>
      <c r="AT55" s="513">
        <f>(Data!X51+Data!CK51)/AT$6*100000*AT$3</f>
        <v>16079.841774356941</v>
      </c>
      <c r="AU55" s="513">
        <f>(Data!Y51+Data!CL51)/AU$6*100000*AU$3</f>
        <v>17181.392551866327</v>
      </c>
      <c r="AV55" s="513">
        <f>(Data!Z51+Data!CM51)/AV$6*100000*AV$3</f>
        <v>39123.084016822926</v>
      </c>
      <c r="AW55" s="513">
        <f>(Data!AA51+Data!CN51)/AW$6*100000*AW$3</f>
        <v>61304.042684525164</v>
      </c>
      <c r="AX55" s="513">
        <f>(Data!AB51+Data!CO51)/AX$6*100000*AX$3</f>
        <v>63183.747509592213</v>
      </c>
      <c r="AY55" s="513">
        <f>(Data!AC51+Data!CP51)/AY$6*100000*AY$3</f>
        <v>69999.00834738175</v>
      </c>
      <c r="AZ55" s="513">
        <f>(Data!AD51+Data!CQ51)/AZ$6*100000*AZ$3</f>
        <v>89836.760033597486</v>
      </c>
      <c r="BA55" s="513">
        <f>(Data!AE51+Data!CR51)/BA$6*100000*BA$3</f>
        <v>94812.215209577451</v>
      </c>
      <c r="BB55" s="513">
        <f>(Data!AF51+Data!CS51)/BB$6*100000*BB$3</f>
        <v>50192.82409924794</v>
      </c>
      <c r="BC55" s="513">
        <f>(Data!AG51+Data!CT51)/BC$6*100000*BC$3</f>
        <v>39603.499085625095</v>
      </c>
      <c r="BD55" s="513">
        <f>(Data!AH51+Data!CU51)/BD$6*100000*BD$3</f>
        <v>28046.438102360997</v>
      </c>
      <c r="BE55" s="476"/>
      <c r="BF55" s="476"/>
      <c r="BG55" s="476"/>
      <c r="BH55" s="476"/>
      <c r="BI55" s="476"/>
      <c r="BJ55" s="476"/>
      <c r="BK55" s="476"/>
      <c r="BL55" s="476"/>
      <c r="BM55" s="476"/>
      <c r="BN55" s="476"/>
      <c r="BO55" s="476"/>
      <c r="BP55" s="476"/>
      <c r="BQ55" s="476"/>
    </row>
    <row r="56" spans="1:69" s="341" customFormat="1">
      <c r="A56" s="266"/>
      <c r="B56" s="266"/>
      <c r="C56" s="266"/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7"/>
      <c r="P56" s="259"/>
      <c r="Q56" s="511"/>
      <c r="R56" s="511"/>
      <c r="S56" s="511"/>
      <c r="T56" s="511"/>
      <c r="U56" s="511"/>
      <c r="V56" s="511"/>
      <c r="W56" s="511"/>
      <c r="X56" s="511"/>
      <c r="Y56" s="511"/>
      <c r="Z56" s="511"/>
      <c r="AA56" s="511"/>
      <c r="AB56" s="511"/>
      <c r="AC56" s="511"/>
      <c r="AD56" s="511"/>
      <c r="AE56" s="511"/>
      <c r="AF56" s="511"/>
      <c r="AG56" s="511"/>
      <c r="AH56" s="511"/>
      <c r="AI56" s="511"/>
      <c r="AJ56" s="511"/>
      <c r="AK56" s="511"/>
      <c r="AL56" s="511"/>
      <c r="AM56" s="511"/>
      <c r="AN56" s="511"/>
      <c r="AO56" s="511"/>
      <c r="AP56" s="511"/>
      <c r="AQ56" s="511"/>
      <c r="AR56" s="511"/>
      <c r="AS56" s="511"/>
      <c r="AT56" s="511"/>
      <c r="AU56" s="511"/>
      <c r="AV56" s="511"/>
      <c r="AW56" s="511"/>
      <c r="AX56" s="511"/>
      <c r="AY56" s="511"/>
      <c r="AZ56" s="511"/>
      <c r="BA56" s="511"/>
      <c r="BB56" s="511"/>
      <c r="BC56" s="511"/>
      <c r="BD56" s="511"/>
      <c r="BE56" s="476"/>
      <c r="BF56" s="476"/>
      <c r="BG56" s="476"/>
      <c r="BH56" s="476"/>
      <c r="BI56" s="476"/>
      <c r="BJ56" s="476"/>
      <c r="BK56" s="476"/>
      <c r="BL56" s="476"/>
      <c r="BM56" s="476"/>
      <c r="BN56" s="476"/>
      <c r="BO56" s="476"/>
      <c r="BP56" s="476"/>
      <c r="BQ56" s="476"/>
    </row>
    <row r="57" spans="1:69" s="341" customFormat="1">
      <c r="A57" s="266"/>
      <c r="B57" s="266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7"/>
      <c r="P57" s="259"/>
      <c r="Q57" s="511"/>
      <c r="R57" s="511"/>
      <c r="S57" s="511"/>
      <c r="T57" s="511"/>
      <c r="U57" s="511"/>
      <c r="V57" s="511"/>
      <c r="W57" s="511"/>
      <c r="X57" s="511"/>
      <c r="Y57" s="511"/>
      <c r="Z57" s="511"/>
      <c r="AA57" s="511"/>
      <c r="AB57" s="511"/>
      <c r="AC57" s="511"/>
      <c r="AD57" s="511"/>
      <c r="AE57" s="511"/>
      <c r="AF57" s="511"/>
      <c r="AG57" s="511"/>
      <c r="AH57" s="511"/>
      <c r="AI57" s="511"/>
      <c r="AJ57" s="511"/>
      <c r="AK57" s="511"/>
      <c r="AL57" s="511"/>
      <c r="AM57" s="511"/>
      <c r="AN57" s="511"/>
      <c r="AO57" s="522"/>
      <c r="AP57" s="511"/>
      <c r="AQ57" s="511"/>
      <c r="AR57" s="511"/>
      <c r="AS57" s="511"/>
      <c r="AT57" s="511"/>
      <c r="AU57" s="511"/>
      <c r="AV57" s="511"/>
      <c r="AW57" s="511"/>
      <c r="AX57" s="511"/>
      <c r="AY57" s="511"/>
      <c r="AZ57" s="511"/>
      <c r="BA57" s="511"/>
      <c r="BB57" s="511"/>
      <c r="BC57" s="511"/>
      <c r="BD57" s="511"/>
      <c r="BE57" s="476"/>
      <c r="BF57" s="476"/>
      <c r="BG57" s="476"/>
      <c r="BH57" s="476"/>
      <c r="BI57" s="476"/>
      <c r="BJ57" s="476"/>
      <c r="BK57" s="476"/>
      <c r="BL57" s="476"/>
      <c r="BM57" s="476"/>
      <c r="BN57" s="476"/>
      <c r="BO57" s="476"/>
      <c r="BP57" s="476"/>
      <c r="BQ57" s="476"/>
    </row>
    <row r="58" spans="1:69" s="341" customForma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259"/>
      <c r="P58" s="259"/>
      <c r="Q58" s="511" t="s">
        <v>407</v>
      </c>
      <c r="R58" s="513">
        <f>SUM(S58:AJ58)</f>
        <v>100000</v>
      </c>
      <c r="S58" s="514">
        <v>8000</v>
      </c>
      <c r="T58" s="514">
        <v>7000</v>
      </c>
      <c r="U58" s="514">
        <v>7000</v>
      </c>
      <c r="V58" s="514">
        <v>7000</v>
      </c>
      <c r="W58" s="514">
        <v>7000</v>
      </c>
      <c r="X58" s="514">
        <v>7000</v>
      </c>
      <c r="Y58" s="514">
        <v>7000</v>
      </c>
      <c r="Z58" s="514">
        <v>7000</v>
      </c>
      <c r="AA58" s="514">
        <v>7000</v>
      </c>
      <c r="AB58" s="514">
        <v>7000</v>
      </c>
      <c r="AC58" s="514">
        <v>7000</v>
      </c>
      <c r="AD58" s="514">
        <v>6000</v>
      </c>
      <c r="AE58" s="514">
        <v>5000</v>
      </c>
      <c r="AF58" s="514">
        <v>4000</v>
      </c>
      <c r="AG58" s="514">
        <v>3000</v>
      </c>
      <c r="AH58" s="514">
        <v>2000</v>
      </c>
      <c r="AI58" s="514">
        <v>1000</v>
      </c>
      <c r="AJ58" s="514">
        <v>1000</v>
      </c>
      <c r="AK58" s="511" t="s">
        <v>407</v>
      </c>
      <c r="AL58" s="513">
        <v>100000</v>
      </c>
      <c r="AM58" s="514">
        <v>8000</v>
      </c>
      <c r="AN58" s="514">
        <v>7000</v>
      </c>
      <c r="AO58" s="514">
        <v>7000</v>
      </c>
      <c r="AP58" s="514">
        <v>7000</v>
      </c>
      <c r="AQ58" s="514">
        <v>7000</v>
      </c>
      <c r="AR58" s="514">
        <v>7000</v>
      </c>
      <c r="AS58" s="514">
        <v>7000</v>
      </c>
      <c r="AT58" s="514">
        <v>7000</v>
      </c>
      <c r="AU58" s="514">
        <v>7000</v>
      </c>
      <c r="AV58" s="514">
        <v>7000</v>
      </c>
      <c r="AW58" s="514">
        <v>7000</v>
      </c>
      <c r="AX58" s="514">
        <v>6000</v>
      </c>
      <c r="AY58" s="514">
        <v>5000</v>
      </c>
      <c r="AZ58" s="514">
        <v>4000</v>
      </c>
      <c r="BA58" s="514">
        <v>3000</v>
      </c>
      <c r="BB58" s="514">
        <v>2000</v>
      </c>
      <c r="BC58" s="514">
        <v>1000</v>
      </c>
      <c r="BD58" s="514">
        <v>1000</v>
      </c>
      <c r="BE58" s="476"/>
      <c r="BF58" s="476"/>
      <c r="BG58" s="476"/>
      <c r="BH58" s="476"/>
      <c r="BI58" s="476"/>
      <c r="BJ58" s="476"/>
      <c r="BK58" s="476"/>
      <c r="BL58" s="476"/>
      <c r="BM58" s="476"/>
      <c r="BN58" s="476"/>
      <c r="BO58" s="476"/>
      <c r="BP58" s="476"/>
      <c r="BQ58" s="476"/>
    </row>
    <row r="59" spans="1:69" s="341" customForma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259"/>
      <c r="P59" s="259"/>
      <c r="Q59" s="511" t="s">
        <v>408</v>
      </c>
      <c r="R59" s="511">
        <v>100000</v>
      </c>
      <c r="S59" s="511">
        <v>12000</v>
      </c>
      <c r="T59" s="511">
        <v>10000</v>
      </c>
      <c r="U59" s="511">
        <v>9000</v>
      </c>
      <c r="V59" s="511">
        <v>9000</v>
      </c>
      <c r="W59" s="511">
        <v>8000</v>
      </c>
      <c r="X59" s="511">
        <v>8000</v>
      </c>
      <c r="Y59" s="511">
        <v>6000</v>
      </c>
      <c r="Z59" s="511">
        <v>6000</v>
      </c>
      <c r="AA59" s="511">
        <v>6000</v>
      </c>
      <c r="AB59" s="511">
        <v>6000</v>
      </c>
      <c r="AC59" s="511">
        <v>5000</v>
      </c>
      <c r="AD59" s="511">
        <v>4000</v>
      </c>
      <c r="AE59" s="511">
        <v>4000</v>
      </c>
      <c r="AF59" s="511">
        <v>3000</v>
      </c>
      <c r="AG59" s="511">
        <v>2000</v>
      </c>
      <c r="AH59" s="511">
        <v>1000</v>
      </c>
      <c r="AI59" s="511">
        <v>500</v>
      </c>
      <c r="AJ59" s="511">
        <v>500</v>
      </c>
      <c r="AK59" s="511" t="s">
        <v>408</v>
      </c>
      <c r="AL59" s="511">
        <v>100000</v>
      </c>
      <c r="AM59" s="511">
        <v>12000</v>
      </c>
      <c r="AN59" s="511">
        <v>10000</v>
      </c>
      <c r="AO59" s="511">
        <v>9000</v>
      </c>
      <c r="AP59" s="511">
        <v>9000</v>
      </c>
      <c r="AQ59" s="511">
        <v>8000</v>
      </c>
      <c r="AR59" s="511">
        <v>8000</v>
      </c>
      <c r="AS59" s="511">
        <v>6000</v>
      </c>
      <c r="AT59" s="511">
        <v>6000</v>
      </c>
      <c r="AU59" s="511">
        <v>6000</v>
      </c>
      <c r="AV59" s="511">
        <v>6000</v>
      </c>
      <c r="AW59" s="511">
        <v>5000</v>
      </c>
      <c r="AX59" s="511">
        <v>4000</v>
      </c>
      <c r="AY59" s="511">
        <v>4000</v>
      </c>
      <c r="AZ59" s="511">
        <v>3000</v>
      </c>
      <c r="BA59" s="511">
        <v>2000</v>
      </c>
      <c r="BB59" s="511">
        <v>1000</v>
      </c>
      <c r="BC59" s="511">
        <v>500</v>
      </c>
      <c r="BD59" s="511">
        <v>500</v>
      </c>
      <c r="BE59" s="476"/>
      <c r="BF59" s="476"/>
      <c r="BG59" s="476"/>
      <c r="BH59" s="476"/>
      <c r="BI59" s="476"/>
      <c r="BJ59" s="476"/>
      <c r="BK59" s="476"/>
      <c r="BL59" s="476"/>
      <c r="BM59" s="476"/>
      <c r="BN59" s="476"/>
      <c r="BO59" s="476"/>
      <c r="BP59" s="476"/>
      <c r="BQ59" s="476"/>
    </row>
    <row r="60" spans="1:69" s="341" customForma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259"/>
      <c r="P60" s="259"/>
      <c r="Q60" s="377"/>
      <c r="R60" s="377"/>
      <c r="S60" s="377"/>
      <c r="T60" s="377"/>
      <c r="U60" s="377"/>
      <c r="V60" s="377"/>
      <c r="W60" s="377"/>
      <c r="X60" s="377"/>
      <c r="Y60" s="377"/>
      <c r="Z60" s="377"/>
      <c r="AA60" s="377"/>
      <c r="AB60" s="377"/>
      <c r="AC60" s="377"/>
      <c r="AD60" s="377"/>
      <c r="AE60" s="377"/>
      <c r="AF60" s="377"/>
      <c r="AG60" s="377"/>
      <c r="AH60" s="377"/>
    </row>
    <row r="61" spans="1:69">
      <c r="Q61" s="378"/>
      <c r="R61" s="378"/>
      <c r="S61" s="378"/>
      <c r="T61" s="378"/>
      <c r="U61" s="378"/>
      <c r="V61" s="378"/>
      <c r="W61" s="378"/>
      <c r="X61" s="378"/>
      <c r="Y61" s="378"/>
      <c r="Z61" s="378"/>
      <c r="AA61" s="378"/>
      <c r="AB61" s="378"/>
      <c r="AC61" s="378"/>
      <c r="AD61" s="378"/>
      <c r="AE61" s="378"/>
      <c r="AF61" s="378"/>
      <c r="AG61" s="378"/>
      <c r="AH61" s="378"/>
    </row>
    <row r="62" spans="1:69">
      <c r="Q62" s="378"/>
      <c r="R62" s="378"/>
      <c r="S62" s="378"/>
      <c r="T62" s="378"/>
      <c r="U62" s="378"/>
      <c r="V62" s="378"/>
      <c r="W62" s="378"/>
      <c r="X62" s="378"/>
      <c r="Y62" s="378"/>
      <c r="Z62" s="378"/>
      <c r="AA62" s="378"/>
      <c r="AB62" s="378"/>
      <c r="AC62" s="378"/>
      <c r="AD62" s="378"/>
      <c r="AE62" s="378"/>
      <c r="AF62" s="378"/>
      <c r="AG62" s="378"/>
      <c r="AH62" s="378"/>
    </row>
    <row r="63" spans="1:69">
      <c r="Q63" s="378"/>
      <c r="R63" s="378"/>
      <c r="S63" s="378"/>
      <c r="T63" s="378"/>
      <c r="U63" s="378"/>
      <c r="V63" s="378"/>
      <c r="W63" s="378"/>
      <c r="X63" s="378"/>
      <c r="Y63" s="378"/>
      <c r="Z63" s="378"/>
      <c r="AA63" s="378"/>
      <c r="AB63" s="378"/>
      <c r="AC63" s="378"/>
      <c r="AD63" s="378"/>
      <c r="AE63" s="378"/>
      <c r="AF63" s="378"/>
      <c r="AG63" s="378"/>
      <c r="AH63" s="378"/>
    </row>
    <row r="64" spans="1:69">
      <c r="Q64" s="378"/>
      <c r="R64" s="378"/>
      <c r="S64" s="378"/>
      <c r="T64" s="378"/>
      <c r="U64" s="378"/>
      <c r="V64" s="378"/>
      <c r="W64" s="378"/>
      <c r="X64" s="378"/>
      <c r="Y64" s="378"/>
      <c r="Z64" s="378"/>
      <c r="AA64" s="378"/>
      <c r="AB64" s="378"/>
      <c r="AC64" s="378"/>
      <c r="AD64" s="378"/>
      <c r="AE64" s="378"/>
      <c r="AF64" s="378"/>
      <c r="AG64" s="378"/>
      <c r="AH64" s="378"/>
    </row>
    <row r="65" spans="17:34">
      <c r="Q65" s="378"/>
      <c r="R65" s="378"/>
      <c r="S65" s="378"/>
      <c r="T65" s="378"/>
      <c r="U65" s="378"/>
      <c r="V65" s="378"/>
      <c r="W65" s="378"/>
      <c r="X65" s="378"/>
      <c r="Y65" s="378"/>
      <c r="Z65" s="378"/>
      <c r="AA65" s="378"/>
      <c r="AB65" s="378"/>
      <c r="AC65" s="378"/>
      <c r="AD65" s="378"/>
      <c r="AE65" s="378"/>
      <c r="AF65" s="378"/>
      <c r="AG65" s="378"/>
      <c r="AH65" s="378"/>
    </row>
    <row r="66" spans="17:34">
      <c r="Q66" s="378"/>
      <c r="R66" s="378"/>
      <c r="S66" s="378"/>
      <c r="T66" s="378"/>
      <c r="U66" s="378"/>
      <c r="V66" s="378"/>
      <c r="W66" s="378"/>
      <c r="X66" s="378"/>
      <c r="Y66" s="378"/>
      <c r="Z66" s="378"/>
      <c r="AA66" s="378"/>
      <c r="AB66" s="378"/>
      <c r="AC66" s="378"/>
      <c r="AD66" s="378"/>
      <c r="AE66" s="378"/>
      <c r="AF66" s="378"/>
      <c r="AG66" s="378"/>
      <c r="AH66" s="378"/>
    </row>
    <row r="67" spans="17:34">
      <c r="Q67" s="378"/>
      <c r="R67" s="378"/>
      <c r="S67" s="378"/>
      <c r="T67" s="378"/>
      <c r="U67" s="378"/>
      <c r="V67" s="378"/>
      <c r="W67" s="378"/>
      <c r="X67" s="378"/>
      <c r="Y67" s="378"/>
      <c r="Z67" s="378"/>
      <c r="AA67" s="378"/>
      <c r="AB67" s="378"/>
      <c r="AC67" s="378"/>
      <c r="AD67" s="378"/>
      <c r="AE67" s="378"/>
      <c r="AF67" s="378"/>
      <c r="AG67" s="378"/>
      <c r="AH67" s="378"/>
    </row>
    <row r="68" spans="17:34">
      <c r="Q68" s="378"/>
      <c r="R68" s="378"/>
      <c r="S68" s="378"/>
      <c r="T68" s="378"/>
      <c r="U68" s="378"/>
      <c r="V68" s="378"/>
      <c r="W68" s="378"/>
      <c r="X68" s="378"/>
      <c r="Y68" s="378"/>
      <c r="Z68" s="378"/>
      <c r="AA68" s="378"/>
      <c r="AB68" s="378"/>
      <c r="AC68" s="378"/>
      <c r="AD68" s="378"/>
      <c r="AE68" s="378"/>
      <c r="AF68" s="378"/>
      <c r="AG68" s="378"/>
      <c r="AH68" s="378"/>
    </row>
    <row r="69" spans="17:34">
      <c r="Q69" s="378"/>
      <c r="R69" s="378"/>
      <c r="S69" s="378"/>
      <c r="T69" s="378"/>
      <c r="U69" s="378"/>
      <c r="V69" s="378"/>
      <c r="W69" s="378"/>
      <c r="X69" s="378"/>
      <c r="Y69" s="378"/>
      <c r="Z69" s="378"/>
      <c r="AA69" s="378"/>
      <c r="AB69" s="378"/>
      <c r="AC69" s="378"/>
      <c r="AD69" s="378"/>
      <c r="AE69" s="378"/>
      <c r="AF69" s="378"/>
      <c r="AG69" s="378"/>
      <c r="AH69" s="378"/>
    </row>
    <row r="70" spans="17:34">
      <c r="Q70" s="378"/>
      <c r="R70" s="378"/>
      <c r="S70" s="378"/>
      <c r="T70" s="378"/>
      <c r="U70" s="378"/>
      <c r="V70" s="378"/>
      <c r="W70" s="378"/>
      <c r="X70" s="378"/>
      <c r="Y70" s="378"/>
      <c r="Z70" s="378"/>
      <c r="AA70" s="378"/>
      <c r="AB70" s="378"/>
      <c r="AC70" s="378"/>
      <c r="AD70" s="378"/>
      <c r="AE70" s="378"/>
      <c r="AF70" s="378"/>
      <c r="AG70" s="378"/>
      <c r="AH70" s="378"/>
    </row>
    <row r="71" spans="17:34">
      <c r="Q71" s="378"/>
      <c r="R71" s="378"/>
      <c r="S71" s="378"/>
      <c r="T71" s="378"/>
      <c r="U71" s="378"/>
      <c r="V71" s="378"/>
      <c r="W71" s="378"/>
      <c r="X71" s="378"/>
      <c r="Y71" s="378"/>
      <c r="Z71" s="378"/>
      <c r="AA71" s="378"/>
      <c r="AB71" s="378"/>
      <c r="AC71" s="378"/>
      <c r="AD71" s="378"/>
      <c r="AE71" s="378"/>
      <c r="AF71" s="378"/>
      <c r="AG71" s="378"/>
      <c r="AH71" s="378"/>
    </row>
    <row r="72" spans="17:34">
      <c r="Q72" s="378"/>
      <c r="R72" s="378"/>
      <c r="S72" s="378"/>
      <c r="T72" s="378"/>
      <c r="U72" s="378"/>
      <c r="V72" s="378"/>
      <c r="W72" s="378"/>
      <c r="X72" s="378"/>
      <c r="Y72" s="378"/>
      <c r="Z72" s="378"/>
      <c r="AA72" s="378"/>
      <c r="AB72" s="378"/>
      <c r="AC72" s="378"/>
      <c r="AD72" s="378"/>
      <c r="AE72" s="378"/>
      <c r="AF72" s="378"/>
      <c r="AG72" s="378"/>
      <c r="AH72" s="378"/>
    </row>
    <row r="73" spans="17:34">
      <c r="Q73" s="378"/>
      <c r="R73" s="378"/>
      <c r="S73" s="378"/>
      <c r="T73" s="378"/>
      <c r="U73" s="378"/>
      <c r="V73" s="378"/>
      <c r="W73" s="378"/>
      <c r="X73" s="378"/>
      <c r="Y73" s="378"/>
      <c r="Z73" s="378"/>
      <c r="AA73" s="378"/>
      <c r="AB73" s="378"/>
      <c r="AC73" s="378"/>
      <c r="AD73" s="378"/>
      <c r="AE73" s="378"/>
      <c r="AF73" s="378"/>
      <c r="AG73" s="378"/>
      <c r="AH73" s="378"/>
    </row>
    <row r="74" spans="17:34">
      <c r="Q74" s="378"/>
      <c r="R74" s="378"/>
      <c r="S74" s="378"/>
      <c r="T74" s="378"/>
      <c r="U74" s="378"/>
      <c r="V74" s="378"/>
      <c r="W74" s="378"/>
      <c r="X74" s="378"/>
      <c r="Y74" s="378"/>
      <c r="Z74" s="378"/>
      <c r="AA74" s="378"/>
      <c r="AB74" s="378"/>
      <c r="AC74" s="378"/>
      <c r="AD74" s="378"/>
      <c r="AE74" s="378"/>
      <c r="AF74" s="378"/>
      <c r="AG74" s="378"/>
      <c r="AH74" s="378"/>
    </row>
    <row r="75" spans="17:34">
      <c r="Q75" s="378"/>
      <c r="R75" s="378"/>
      <c r="S75" s="378"/>
      <c r="T75" s="378"/>
      <c r="U75" s="378"/>
      <c r="V75" s="378"/>
      <c r="W75" s="378"/>
      <c r="X75" s="378"/>
      <c r="Y75" s="378"/>
      <c r="Z75" s="378"/>
      <c r="AA75" s="378"/>
      <c r="AB75" s="378"/>
      <c r="AC75" s="378"/>
      <c r="AD75" s="378"/>
      <c r="AE75" s="378"/>
      <c r="AF75" s="378"/>
      <c r="AG75" s="378"/>
      <c r="AH75" s="378"/>
    </row>
    <row r="76" spans="17:34">
      <c r="Q76" s="378"/>
      <c r="R76" s="378"/>
      <c r="S76" s="378"/>
      <c r="T76" s="378"/>
      <c r="U76" s="378"/>
      <c r="V76" s="378"/>
      <c r="W76" s="378"/>
      <c r="X76" s="378"/>
      <c r="Y76" s="378"/>
      <c r="Z76" s="378"/>
      <c r="AA76" s="378"/>
      <c r="AB76" s="378"/>
      <c r="AC76" s="378"/>
      <c r="AD76" s="378"/>
      <c r="AE76" s="378"/>
      <c r="AF76" s="378"/>
      <c r="AG76" s="378"/>
      <c r="AH76" s="378"/>
    </row>
    <row r="77" spans="17:34">
      <c r="Q77" s="378"/>
      <c r="R77" s="378"/>
      <c r="S77" s="378"/>
      <c r="T77" s="378"/>
      <c r="U77" s="378"/>
      <c r="V77" s="378"/>
      <c r="W77" s="378"/>
      <c r="X77" s="378"/>
      <c r="Y77" s="378"/>
      <c r="Z77" s="378"/>
      <c r="AA77" s="378"/>
      <c r="AB77" s="378"/>
      <c r="AC77" s="378"/>
      <c r="AD77" s="378"/>
      <c r="AE77" s="378"/>
      <c r="AF77" s="378"/>
      <c r="AG77" s="378"/>
      <c r="AH77" s="378"/>
    </row>
    <row r="78" spans="17:34">
      <c r="Q78" s="378"/>
      <c r="R78" s="378"/>
      <c r="S78" s="378"/>
      <c r="T78" s="378"/>
      <c r="U78" s="378"/>
      <c r="V78" s="378"/>
      <c r="W78" s="378"/>
      <c r="X78" s="378"/>
      <c r="Y78" s="378"/>
      <c r="Z78" s="378"/>
      <c r="AA78" s="378"/>
      <c r="AB78" s="378"/>
      <c r="AC78" s="378"/>
      <c r="AD78" s="378"/>
      <c r="AE78" s="378"/>
      <c r="AF78" s="378"/>
      <c r="AG78" s="378"/>
      <c r="AH78" s="378"/>
    </row>
    <row r="79" spans="17:34">
      <c r="Q79" s="378"/>
      <c r="R79" s="378"/>
      <c r="S79" s="378"/>
      <c r="T79" s="378"/>
      <c r="U79" s="378"/>
      <c r="V79" s="378"/>
      <c r="W79" s="378"/>
      <c r="X79" s="378"/>
      <c r="Y79" s="378"/>
      <c r="Z79" s="378"/>
      <c r="AA79" s="378"/>
      <c r="AB79" s="378"/>
      <c r="AC79" s="378"/>
      <c r="AD79" s="378"/>
      <c r="AE79" s="378"/>
      <c r="AF79" s="378"/>
      <c r="AG79" s="378"/>
      <c r="AH79" s="378"/>
    </row>
    <row r="80" spans="17:34">
      <c r="Q80" s="378"/>
      <c r="R80" s="378"/>
      <c r="S80" s="378"/>
      <c r="T80" s="378"/>
      <c r="U80" s="378"/>
      <c r="V80" s="378"/>
      <c r="W80" s="378"/>
      <c r="X80" s="378"/>
      <c r="Y80" s="378"/>
      <c r="Z80" s="378"/>
      <c r="AA80" s="378"/>
      <c r="AB80" s="378"/>
      <c r="AC80" s="378"/>
      <c r="AD80" s="378"/>
      <c r="AE80" s="378"/>
      <c r="AF80" s="378"/>
      <c r="AG80" s="378"/>
      <c r="AH80" s="378"/>
    </row>
    <row r="81" spans="17:34">
      <c r="Q81" s="378"/>
      <c r="R81" s="378"/>
      <c r="S81" s="378"/>
      <c r="T81" s="378"/>
      <c r="U81" s="378"/>
      <c r="V81" s="378"/>
      <c r="W81" s="378"/>
      <c r="X81" s="378"/>
      <c r="Y81" s="378"/>
      <c r="Z81" s="378"/>
      <c r="AA81" s="378"/>
      <c r="AB81" s="378"/>
      <c r="AC81" s="378"/>
      <c r="AD81" s="378"/>
      <c r="AE81" s="378"/>
      <c r="AF81" s="378"/>
      <c r="AG81" s="378"/>
      <c r="AH81" s="378"/>
    </row>
    <row r="82" spans="17:34">
      <c r="Q82" s="378"/>
      <c r="R82" s="378"/>
      <c r="S82" s="378"/>
      <c r="T82" s="378"/>
      <c r="U82" s="378"/>
      <c r="V82" s="378"/>
      <c r="W82" s="378"/>
      <c r="X82" s="378"/>
      <c r="Y82" s="378"/>
      <c r="Z82" s="378"/>
      <c r="AA82" s="378"/>
      <c r="AB82" s="378"/>
      <c r="AC82" s="378"/>
      <c r="AD82" s="378"/>
      <c r="AE82" s="378"/>
      <c r="AF82" s="378"/>
      <c r="AG82" s="378"/>
      <c r="AH82" s="378"/>
    </row>
    <row r="83" spans="17:34">
      <c r="Q83" s="378"/>
      <c r="R83" s="378"/>
      <c r="S83" s="378"/>
      <c r="T83" s="378"/>
      <c r="U83" s="378"/>
      <c r="V83" s="378"/>
      <c r="W83" s="378"/>
      <c r="X83" s="378"/>
      <c r="Y83" s="378"/>
      <c r="Z83" s="378"/>
      <c r="AA83" s="378"/>
      <c r="AB83" s="378"/>
      <c r="AC83" s="378"/>
      <c r="AD83" s="378"/>
      <c r="AE83" s="378"/>
      <c r="AF83" s="378"/>
      <c r="AG83" s="378"/>
      <c r="AH83" s="378"/>
    </row>
    <row r="84" spans="17:34">
      <c r="Q84" s="378"/>
      <c r="R84" s="378"/>
      <c r="S84" s="378"/>
      <c r="T84" s="378"/>
      <c r="U84" s="378"/>
      <c r="V84" s="378"/>
      <c r="W84" s="378"/>
      <c r="X84" s="378"/>
      <c r="Y84" s="378"/>
      <c r="Z84" s="378"/>
      <c r="AA84" s="378"/>
      <c r="AB84" s="378"/>
      <c r="AC84" s="378"/>
      <c r="AD84" s="378"/>
      <c r="AE84" s="378"/>
      <c r="AF84" s="378"/>
      <c r="AG84" s="378"/>
      <c r="AH84" s="378"/>
    </row>
    <row r="85" spans="17:34">
      <c r="Q85" s="378"/>
      <c r="R85" s="378"/>
      <c r="S85" s="378"/>
      <c r="T85" s="378"/>
      <c r="U85" s="378"/>
      <c r="V85" s="378"/>
      <c r="W85" s="378"/>
      <c r="X85" s="378"/>
      <c r="Y85" s="378"/>
      <c r="Z85" s="378"/>
      <c r="AA85" s="378"/>
      <c r="AB85" s="378"/>
      <c r="AC85" s="378"/>
      <c r="AD85" s="378"/>
      <c r="AE85" s="378"/>
      <c r="AF85" s="378"/>
      <c r="AG85" s="378"/>
      <c r="AH85" s="378"/>
    </row>
    <row r="86" spans="17:34">
      <c r="Q86" s="378"/>
      <c r="R86" s="378"/>
      <c r="S86" s="378"/>
      <c r="T86" s="378"/>
      <c r="U86" s="378"/>
      <c r="V86" s="378"/>
      <c r="W86" s="378"/>
      <c r="X86" s="378"/>
      <c r="Y86" s="378"/>
      <c r="Z86" s="378"/>
      <c r="AA86" s="378"/>
      <c r="AB86" s="378"/>
      <c r="AC86" s="378"/>
      <c r="AD86" s="378"/>
      <c r="AE86" s="378"/>
      <c r="AF86" s="378"/>
      <c r="AG86" s="378"/>
      <c r="AH86" s="378"/>
    </row>
  </sheetData>
  <mergeCells count="10">
    <mergeCell ref="AK1:AK2"/>
    <mergeCell ref="S2:U2"/>
    <mergeCell ref="AM2:AO2"/>
    <mergeCell ref="Q1:Q2"/>
    <mergeCell ref="C6:C7"/>
    <mergeCell ref="F6:G6"/>
    <mergeCell ref="B1:D1"/>
    <mergeCell ref="B6:B7"/>
    <mergeCell ref="D6:D7"/>
    <mergeCell ref="E6:E7"/>
  </mergeCells>
  <pageMargins left="0.59055118110236227" right="0.62992125984251968" top="1.1811023622047245" bottom="1.9685039370078741" header="0" footer="0"/>
  <pageSetup paperSize="9" orientation="portrait" r:id="rId1"/>
  <ignoredErrors>
    <ignoredError sqref="G5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0.39997558519241921"/>
  </sheetPr>
  <dimension ref="A1:BV345"/>
  <sheetViews>
    <sheetView zoomScaleNormal="100" workbookViewId="0">
      <selection activeCell="B1" sqref="B1:D1"/>
    </sheetView>
  </sheetViews>
  <sheetFormatPr defaultRowHeight="12.75"/>
  <cols>
    <col min="1" max="1" width="1.2851562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customWidth="1"/>
    <col min="9" max="11" width="0.85546875" customWidth="1"/>
    <col min="12" max="14" width="1.7109375" customWidth="1"/>
    <col min="15" max="15" width="1.7109375" style="206" customWidth="1"/>
    <col min="16" max="16" width="9.7109375" style="206" customWidth="1"/>
    <col min="17" max="17" width="38.42578125" bestFit="1" customWidth="1"/>
    <col min="18" max="18" width="9.140625" bestFit="1" customWidth="1"/>
    <col min="19" max="19" width="7.140625" bestFit="1" customWidth="1"/>
    <col min="20" max="20" width="6.140625" bestFit="1" customWidth="1"/>
    <col min="21" max="23" width="7.140625" bestFit="1" customWidth="1"/>
    <col min="24" max="24" width="7.7109375" bestFit="1" customWidth="1"/>
    <col min="25" max="26" width="7.140625" bestFit="1" customWidth="1"/>
    <col min="27" max="27" width="8" bestFit="1" customWidth="1"/>
    <col min="28" max="30" width="8.140625" bestFit="1" customWidth="1"/>
    <col min="31" max="33" width="9.140625" bestFit="1" customWidth="1"/>
    <col min="34" max="36" width="8.140625" bestFit="1" customWidth="1"/>
    <col min="37" max="37" width="38.42578125" bestFit="1" customWidth="1"/>
    <col min="38" max="38" width="10.140625" bestFit="1" customWidth="1"/>
    <col min="39" max="50" width="9.28515625" bestFit="1" customWidth="1"/>
  </cols>
  <sheetData>
    <row r="1" spans="1:74" ht="17.25" customHeight="1">
      <c r="A1" s="55"/>
      <c r="B1" s="463" t="s">
        <v>401</v>
      </c>
      <c r="C1" s="463"/>
      <c r="D1" s="463"/>
      <c r="E1" s="464"/>
      <c r="F1" s="465"/>
      <c r="G1" s="465"/>
      <c r="H1" s="465"/>
      <c r="I1" s="465"/>
      <c r="J1" s="465"/>
      <c r="K1" s="465"/>
      <c r="L1" s="465"/>
      <c r="M1" s="465"/>
      <c r="N1" s="30"/>
      <c r="O1" s="56"/>
      <c r="P1" s="329"/>
      <c r="Q1" s="523" t="s">
        <v>413</v>
      </c>
      <c r="R1" s="524"/>
      <c r="S1" s="524"/>
      <c r="T1" s="524"/>
      <c r="U1" s="524"/>
      <c r="V1" s="524"/>
      <c r="W1" s="524"/>
      <c r="X1" s="524"/>
      <c r="Y1" s="524"/>
      <c r="Z1" s="524"/>
      <c r="AA1" s="524"/>
      <c r="AB1" s="524"/>
      <c r="AC1" s="524"/>
      <c r="AD1" s="524"/>
      <c r="AE1" s="524"/>
      <c r="AF1" s="524"/>
      <c r="AG1" s="524"/>
      <c r="AH1" s="524"/>
      <c r="AI1" s="524"/>
      <c r="AJ1" s="524"/>
      <c r="AK1" s="523" t="s">
        <v>414</v>
      </c>
      <c r="AL1" s="524"/>
      <c r="AM1" s="524"/>
      <c r="AN1" s="524"/>
      <c r="AO1" s="524"/>
      <c r="AP1" s="524"/>
      <c r="AQ1" s="524"/>
      <c r="AR1" s="524"/>
      <c r="AS1" s="524"/>
      <c r="AT1" s="524"/>
      <c r="AU1" s="524"/>
      <c r="AV1" s="524"/>
      <c r="AW1" s="524"/>
      <c r="AX1" s="524"/>
      <c r="AY1" s="524"/>
      <c r="AZ1" s="524"/>
      <c r="BA1" s="524"/>
      <c r="BB1" s="524"/>
      <c r="BC1" s="524"/>
      <c r="BD1" s="524"/>
      <c r="BE1" s="525"/>
      <c r="BF1" s="525"/>
      <c r="BG1" s="525"/>
      <c r="BH1" s="525"/>
      <c r="BI1" s="525"/>
      <c r="BJ1" s="525"/>
      <c r="BK1" s="525"/>
      <c r="BL1" s="525"/>
      <c r="BM1" s="525"/>
      <c r="BN1" s="525"/>
      <c r="BO1" s="525"/>
      <c r="BP1" s="525"/>
      <c r="BQ1" s="525"/>
      <c r="BR1" s="525"/>
      <c r="BS1" s="525"/>
      <c r="BT1" s="525"/>
      <c r="BU1" s="525"/>
      <c r="BV1" s="525"/>
    </row>
    <row r="2" spans="1:74" ht="12.75" customHeight="1">
      <c r="A2" s="30"/>
      <c r="B2" s="466" t="str">
        <f>"Diagnozuotų onkologinių susirgimų skaičius ir sergamumo rodikliai Lietuvoje pagal lokalizaciją  " &amp; GrafikaiSerg!A1 &amp; " metais. Vyrai"</f>
        <v>Diagnozuotų onkologinių susirgimų skaičius ir sergamumo rodikliai Lietuvoje pagal lokalizaciją  2013 metais. Vyrai</v>
      </c>
      <c r="C2" s="465"/>
      <c r="D2" s="465"/>
      <c r="E2" s="467"/>
      <c r="F2" s="465"/>
      <c r="G2" s="465"/>
      <c r="H2" s="465"/>
      <c r="I2" s="465"/>
      <c r="J2" s="465"/>
      <c r="K2" s="465"/>
      <c r="L2" s="465"/>
      <c r="M2" s="465"/>
      <c r="N2" s="30"/>
      <c r="O2" s="56"/>
      <c r="P2" s="329"/>
      <c r="Q2" s="523"/>
      <c r="R2" s="526" t="s">
        <v>353</v>
      </c>
      <c r="S2" s="527" t="s">
        <v>357</v>
      </c>
      <c r="T2" s="527"/>
      <c r="U2" s="527"/>
      <c r="V2" s="528">
        <f>GrafikaiSerg!A1</f>
        <v>2013</v>
      </c>
      <c r="W2" s="524" t="s">
        <v>356</v>
      </c>
      <c r="X2" s="524" t="str">
        <f>CONCATENATE("pop",RIGHT(V2,2),"m")</f>
        <v>pop13m</v>
      </c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3"/>
      <c r="AL2" s="526" t="s">
        <v>353</v>
      </c>
      <c r="AM2" s="527" t="s">
        <v>357</v>
      </c>
      <c r="AN2" s="527"/>
      <c r="AO2" s="527"/>
      <c r="AP2" s="528">
        <f>V2</f>
        <v>2013</v>
      </c>
      <c r="AQ2" s="524" t="s">
        <v>356</v>
      </c>
      <c r="AR2" s="524" t="str">
        <f>CONCATENATE("pop",RIGHT(AP2,2),"m")</f>
        <v>pop13m</v>
      </c>
      <c r="AS2" s="524"/>
      <c r="AT2" s="524"/>
      <c r="AU2" s="524"/>
      <c r="AV2" s="524"/>
      <c r="AW2" s="524"/>
      <c r="AX2" s="524"/>
      <c r="AY2" s="524"/>
      <c r="AZ2" s="524"/>
      <c r="BA2" s="524"/>
      <c r="BB2" s="524"/>
      <c r="BC2" s="524"/>
      <c r="BD2" s="524"/>
      <c r="BE2" s="525"/>
      <c r="BF2" s="525"/>
      <c r="BG2" s="525"/>
      <c r="BH2" s="525"/>
      <c r="BI2" s="525"/>
      <c r="BJ2" s="525"/>
      <c r="BK2" s="525"/>
      <c r="BL2" s="525"/>
      <c r="BM2" s="525"/>
      <c r="BN2" s="525"/>
      <c r="BO2" s="525"/>
      <c r="BP2" s="525"/>
      <c r="BQ2" s="525"/>
      <c r="BR2" s="525"/>
      <c r="BS2" s="525"/>
      <c r="BT2" s="525"/>
      <c r="BU2" s="525"/>
      <c r="BV2" s="525"/>
    </row>
    <row r="3" spans="1:74" ht="12.75" customHeight="1">
      <c r="A3" s="30"/>
      <c r="B3" s="57" t="s">
        <v>637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56"/>
      <c r="P3" s="468"/>
      <c r="Q3" s="529" t="s">
        <v>407</v>
      </c>
      <c r="R3" s="530">
        <f>SUM(S3:AJ3)</f>
        <v>100000</v>
      </c>
      <c r="S3" s="531">
        <v>8000</v>
      </c>
      <c r="T3" s="531">
        <v>7000</v>
      </c>
      <c r="U3" s="531">
        <v>7000</v>
      </c>
      <c r="V3" s="531">
        <v>7000</v>
      </c>
      <c r="W3" s="531">
        <v>7000</v>
      </c>
      <c r="X3" s="531">
        <v>7000</v>
      </c>
      <c r="Y3" s="531">
        <v>7000</v>
      </c>
      <c r="Z3" s="531">
        <v>7000</v>
      </c>
      <c r="AA3" s="531">
        <v>7000</v>
      </c>
      <c r="AB3" s="531">
        <v>7000</v>
      </c>
      <c r="AC3" s="531">
        <v>7000</v>
      </c>
      <c r="AD3" s="531">
        <v>6000</v>
      </c>
      <c r="AE3" s="531">
        <v>5000</v>
      </c>
      <c r="AF3" s="531">
        <v>4000</v>
      </c>
      <c r="AG3" s="531">
        <v>3000</v>
      </c>
      <c r="AH3" s="531">
        <v>2000</v>
      </c>
      <c r="AI3" s="531">
        <v>1000</v>
      </c>
      <c r="AJ3" s="531">
        <v>1000</v>
      </c>
      <c r="AK3" s="529" t="s">
        <v>408</v>
      </c>
      <c r="AL3" s="530">
        <f>SUM(AM3:BD3)</f>
        <v>100000</v>
      </c>
      <c r="AM3" s="524">
        <v>12000</v>
      </c>
      <c r="AN3" s="524">
        <v>10000</v>
      </c>
      <c r="AO3" s="524">
        <v>9000</v>
      </c>
      <c r="AP3" s="524">
        <v>9000</v>
      </c>
      <c r="AQ3" s="524">
        <v>8000</v>
      </c>
      <c r="AR3" s="524">
        <v>8000</v>
      </c>
      <c r="AS3" s="524">
        <v>6000</v>
      </c>
      <c r="AT3" s="524">
        <v>6000</v>
      </c>
      <c r="AU3" s="524">
        <v>6000</v>
      </c>
      <c r="AV3" s="524">
        <v>6000</v>
      </c>
      <c r="AW3" s="524">
        <v>5000</v>
      </c>
      <c r="AX3" s="524">
        <v>4000</v>
      </c>
      <c r="AY3" s="524">
        <v>4000</v>
      </c>
      <c r="AZ3" s="524">
        <v>3000</v>
      </c>
      <c r="BA3" s="524">
        <v>2000</v>
      </c>
      <c r="BB3" s="524">
        <v>1000</v>
      </c>
      <c r="BC3" s="524">
        <v>500</v>
      </c>
      <c r="BD3" s="524">
        <v>500</v>
      </c>
      <c r="BE3" s="525"/>
      <c r="BF3" s="525"/>
      <c r="BG3" s="525"/>
      <c r="BH3" s="525"/>
      <c r="BI3" s="525"/>
      <c r="BJ3" s="525"/>
      <c r="BK3" s="525"/>
      <c r="BL3" s="525"/>
      <c r="BM3" s="525"/>
      <c r="BN3" s="525"/>
      <c r="BO3" s="525"/>
      <c r="BP3" s="525"/>
      <c r="BQ3" s="525"/>
      <c r="BR3" s="525"/>
      <c r="BS3" s="525"/>
      <c r="BT3" s="525"/>
      <c r="BU3" s="525"/>
      <c r="BV3" s="525"/>
    </row>
    <row r="4" spans="1:74" ht="12.95" customHeight="1">
      <c r="A4" s="30"/>
      <c r="B4" s="414" t="s">
        <v>350</v>
      </c>
      <c r="C4" s="414" t="s">
        <v>243</v>
      </c>
      <c r="D4" s="417" t="s">
        <v>267</v>
      </c>
      <c r="E4" s="419" t="s">
        <v>354</v>
      </c>
      <c r="F4" s="416" t="s">
        <v>358</v>
      </c>
      <c r="G4" s="416"/>
      <c r="H4" s="210"/>
      <c r="I4" s="210"/>
      <c r="J4" s="210"/>
      <c r="K4" s="210"/>
      <c r="L4" s="210"/>
      <c r="M4" s="210"/>
      <c r="N4" s="210"/>
      <c r="O4" s="56"/>
      <c r="P4" s="469"/>
      <c r="Q4" s="524" t="s">
        <v>415</v>
      </c>
      <c r="R4" s="530">
        <f>SUM(S4:AJ4)</f>
        <v>1362443</v>
      </c>
      <c r="S4" s="470">
        <f>HLOOKUP($X$2,Populiacija!$B$1:$BB$20,2,FALSE)</f>
        <v>77450</v>
      </c>
      <c r="T4" s="470">
        <f>HLOOKUP($X$2,Populiacija!$B$1:$BB$20,3,FALSE)</f>
        <v>69004</v>
      </c>
      <c r="U4" s="470">
        <f>HLOOKUP($X$2,Populiacija!$B$1:$BB$20,4,FALSE)</f>
        <v>75796</v>
      </c>
      <c r="V4" s="470">
        <f>HLOOKUP($X$2,Populiacija!$B$1:$BB$20,5,FALSE)</f>
        <v>93604</v>
      </c>
      <c r="W4" s="470">
        <f>HLOOKUP($X$2,Populiacija!$B$1:$BB$20,6,FALSE)</f>
        <v>110043</v>
      </c>
      <c r="X4" s="470">
        <f>HLOOKUP($X$2,Populiacija!$B$1:$BB$20,7,FALSE)</f>
        <v>99495</v>
      </c>
      <c r="Y4" s="470">
        <f>HLOOKUP($X$2,Populiacija!$B$1:$BB$20,8,FALSE)</f>
        <v>88515</v>
      </c>
      <c r="Z4" s="470">
        <f>HLOOKUP($X$2,Populiacija!$B$1:$BB$20,9,FALSE)</f>
        <v>91233</v>
      </c>
      <c r="AA4" s="470">
        <f>HLOOKUP($X$2,Populiacija!$B$1:$BB$20,10,FALSE)</f>
        <v>101097</v>
      </c>
      <c r="AB4" s="470">
        <f>HLOOKUP($X$2,Populiacija!$B$1:$BB$20,11,FALSE)</f>
        <v>102448</v>
      </c>
      <c r="AC4" s="470">
        <f>HLOOKUP($X$2,Populiacija!$B$1:$BB$20,12,FALSE)</f>
        <v>110413</v>
      </c>
      <c r="AD4" s="470">
        <f>HLOOKUP($X$2,Populiacija!$B$1:$BB$20,13,FALSE)</f>
        <v>88386</v>
      </c>
      <c r="AE4" s="470">
        <f>HLOOKUP($X$2,Populiacija!$B$1:$BB$20,14,FALSE)</f>
        <v>72515</v>
      </c>
      <c r="AF4" s="470">
        <f>HLOOKUP($X$2,Populiacija!$B$1:$BB$20,15,FALSE)</f>
        <v>53668</v>
      </c>
      <c r="AG4" s="470">
        <f>HLOOKUP($X$2,Populiacija!$B$1:$BB$20,16,FALSE)</f>
        <v>51266</v>
      </c>
      <c r="AH4" s="470">
        <f>HLOOKUP($X$2,Populiacija!$B$1:$BB$20,17,FALSE)</f>
        <v>39045</v>
      </c>
      <c r="AI4" s="470">
        <f>HLOOKUP($X$2,Populiacija!$B$1:$BB$20,18,FALSE)</f>
        <v>25056</v>
      </c>
      <c r="AJ4" s="470">
        <f>HLOOKUP($X$2,Populiacija!$B$1:$BB$20,19,FALSE)</f>
        <v>13409</v>
      </c>
      <c r="AK4" s="524" t="s">
        <v>415</v>
      </c>
      <c r="AL4" s="530">
        <f>SUM(AM4:BD4)</f>
        <v>1362443</v>
      </c>
      <c r="AM4" s="470">
        <f>HLOOKUP($X$2,Populiacija!$B$1:$BB$20,2,FALSE)</f>
        <v>77450</v>
      </c>
      <c r="AN4" s="470">
        <f>HLOOKUP($X$2,Populiacija!$B$1:$BB$20,3,FALSE)</f>
        <v>69004</v>
      </c>
      <c r="AO4" s="470">
        <f>HLOOKUP($X$2,Populiacija!$B$1:$BB$20,4,FALSE)</f>
        <v>75796</v>
      </c>
      <c r="AP4" s="470">
        <f>HLOOKUP($X$2,Populiacija!$B$1:$BB$20,5,FALSE)</f>
        <v>93604</v>
      </c>
      <c r="AQ4" s="470">
        <f>HLOOKUP($X$2,Populiacija!$B$1:$BB$20,6,FALSE)</f>
        <v>110043</v>
      </c>
      <c r="AR4" s="470">
        <f>HLOOKUP($X$2,Populiacija!$B$1:$BB$20,7,FALSE)</f>
        <v>99495</v>
      </c>
      <c r="AS4" s="470">
        <f>HLOOKUP($X$2,Populiacija!$B$1:$BB$20,8,FALSE)</f>
        <v>88515</v>
      </c>
      <c r="AT4" s="470">
        <f>HLOOKUP($X$2,Populiacija!$B$1:$BB$20,9,FALSE)</f>
        <v>91233</v>
      </c>
      <c r="AU4" s="470">
        <f>HLOOKUP($X$2,Populiacija!$B$1:$BB$20,10,FALSE)</f>
        <v>101097</v>
      </c>
      <c r="AV4" s="470">
        <f>HLOOKUP($X$2,Populiacija!$B$1:$BB$20,11,FALSE)</f>
        <v>102448</v>
      </c>
      <c r="AW4" s="470">
        <f>HLOOKUP($X$2,Populiacija!$B$1:$BB$20,12,FALSE)</f>
        <v>110413</v>
      </c>
      <c r="AX4" s="470">
        <f>HLOOKUP($X$2,Populiacija!$B$1:$BB$20,13,FALSE)</f>
        <v>88386</v>
      </c>
      <c r="AY4" s="470">
        <f>HLOOKUP($X$2,Populiacija!$B$1:$BB$20,14,FALSE)</f>
        <v>72515</v>
      </c>
      <c r="AZ4" s="470">
        <f>HLOOKUP($X$2,Populiacija!$B$1:$BB$20,15,FALSE)</f>
        <v>53668</v>
      </c>
      <c r="BA4" s="470">
        <f>HLOOKUP($X$2,Populiacija!$B$1:$BB$20,16,FALSE)</f>
        <v>51266</v>
      </c>
      <c r="BB4" s="470">
        <f>HLOOKUP($X$2,Populiacija!$B$1:$BB$20,17,FALSE)</f>
        <v>39045</v>
      </c>
      <c r="BC4" s="470">
        <f>HLOOKUP($X$2,Populiacija!$B$1:$BB$20,18,FALSE)</f>
        <v>25056</v>
      </c>
      <c r="BD4" s="470">
        <f>HLOOKUP($X$2,Populiacija!$B$1:$BB$20,19,FALSE)</f>
        <v>13409</v>
      </c>
      <c r="BE4" s="525"/>
      <c r="BF4" s="525"/>
      <c r="BG4" s="525"/>
      <c r="BH4" s="525"/>
      <c r="BI4" s="525"/>
      <c r="BJ4" s="525"/>
      <c r="BK4" s="525"/>
      <c r="BL4" s="525"/>
      <c r="BM4" s="525"/>
      <c r="BN4" s="525"/>
      <c r="BO4" s="525"/>
      <c r="BP4" s="525"/>
      <c r="BQ4" s="525"/>
      <c r="BR4" s="525"/>
      <c r="BS4" s="525"/>
      <c r="BT4" s="525"/>
      <c r="BU4" s="525"/>
      <c r="BV4" s="525"/>
    </row>
    <row r="5" spans="1:74" ht="12.95" customHeight="1" thickBot="1">
      <c r="A5" s="30"/>
      <c r="B5" s="415"/>
      <c r="C5" s="415"/>
      <c r="D5" s="418"/>
      <c r="E5" s="420"/>
      <c r="F5" s="272" t="s">
        <v>426</v>
      </c>
      <c r="G5" s="272" t="s">
        <v>427</v>
      </c>
      <c r="H5" s="210"/>
      <c r="I5" s="210"/>
      <c r="J5" s="210"/>
      <c r="K5" s="210"/>
      <c r="L5" s="210"/>
      <c r="M5" s="210"/>
      <c r="N5" s="210"/>
      <c r="O5" s="58"/>
      <c r="P5" s="470"/>
      <c r="Q5" s="524" t="s">
        <v>351</v>
      </c>
      <c r="R5" s="526"/>
      <c r="S5" s="532" t="s">
        <v>13</v>
      </c>
      <c r="T5" s="533" t="s">
        <v>11</v>
      </c>
      <c r="U5" s="533" t="s">
        <v>12</v>
      </c>
      <c r="V5" s="532" t="s">
        <v>14</v>
      </c>
      <c r="W5" s="532" t="s">
        <v>15</v>
      </c>
      <c r="X5" s="532" t="s">
        <v>16</v>
      </c>
      <c r="Y5" s="532" t="s">
        <v>158</v>
      </c>
      <c r="Z5" s="532" t="s">
        <v>17</v>
      </c>
      <c r="AA5" s="532" t="s">
        <v>18</v>
      </c>
      <c r="AB5" s="532" t="s">
        <v>19</v>
      </c>
      <c r="AC5" s="532" t="s">
        <v>20</v>
      </c>
      <c r="AD5" s="532" t="s">
        <v>21</v>
      </c>
      <c r="AE5" s="532" t="s">
        <v>159</v>
      </c>
      <c r="AF5" s="532" t="s">
        <v>160</v>
      </c>
      <c r="AG5" s="532" t="s">
        <v>161</v>
      </c>
      <c r="AH5" s="532" t="s">
        <v>162</v>
      </c>
      <c r="AI5" s="532" t="s">
        <v>22</v>
      </c>
      <c r="AJ5" s="532" t="s">
        <v>23</v>
      </c>
      <c r="AK5" s="524" t="s">
        <v>351</v>
      </c>
      <c r="AL5" s="526"/>
      <c r="AM5" s="534" t="s">
        <v>13</v>
      </c>
      <c r="AN5" s="535" t="s">
        <v>11</v>
      </c>
      <c r="AO5" s="535" t="s">
        <v>12</v>
      </c>
      <c r="AP5" s="534" t="s">
        <v>14</v>
      </c>
      <c r="AQ5" s="532" t="s">
        <v>15</v>
      </c>
      <c r="AR5" s="532" t="s">
        <v>16</v>
      </c>
      <c r="AS5" s="532" t="s">
        <v>158</v>
      </c>
      <c r="AT5" s="532" t="s">
        <v>17</v>
      </c>
      <c r="AU5" s="532" t="s">
        <v>18</v>
      </c>
      <c r="AV5" s="532" t="s">
        <v>19</v>
      </c>
      <c r="AW5" s="532" t="s">
        <v>20</v>
      </c>
      <c r="AX5" s="532" t="s">
        <v>21</v>
      </c>
      <c r="AY5" s="532" t="s">
        <v>159</v>
      </c>
      <c r="AZ5" s="532" t="s">
        <v>160</v>
      </c>
      <c r="BA5" s="532" t="s">
        <v>161</v>
      </c>
      <c r="BB5" s="532" t="s">
        <v>162</v>
      </c>
      <c r="BC5" s="532" t="s">
        <v>22</v>
      </c>
      <c r="BD5" s="532" t="s">
        <v>23</v>
      </c>
      <c r="BE5" s="525"/>
      <c r="BF5" s="525"/>
      <c r="BG5" s="525"/>
      <c r="BH5" s="525"/>
      <c r="BI5" s="525"/>
      <c r="BJ5" s="525"/>
      <c r="BK5" s="525"/>
      <c r="BL5" s="525"/>
      <c r="BM5" s="525"/>
      <c r="BN5" s="525"/>
      <c r="BO5" s="525"/>
      <c r="BP5" s="525"/>
      <c r="BQ5" s="525"/>
      <c r="BR5" s="525"/>
      <c r="BS5" s="525"/>
      <c r="BT5" s="525"/>
      <c r="BU5" s="525"/>
      <c r="BV5" s="525"/>
    </row>
    <row r="6" spans="1:74" ht="12" customHeight="1" thickTop="1">
      <c r="A6" s="30"/>
      <c r="B6" s="123" t="str">
        <f>UPPER(LEFT(TRIM(Data!B5),1)) &amp; MID(TRIM(Data!B5),2,50)</f>
        <v>Piktybiniai navikai</v>
      </c>
      <c r="C6" s="123" t="str">
        <f>UPPER(LEFT(TRIM(Data!C5),1)) &amp; MID(TRIM(Data!C5),2,50)</f>
        <v>C00-C96</v>
      </c>
      <c r="D6" s="124">
        <f>Data!D5</f>
        <v>9529</v>
      </c>
      <c r="E6" s="125">
        <f t="shared" ref="E6:E47" si="0">D6/$R$4*100000</f>
        <v>699.40540631791566</v>
      </c>
      <c r="F6" s="126">
        <f>R6/$R$3</f>
        <v>604.0777054120789</v>
      </c>
      <c r="G6" s="127">
        <f t="shared" ref="G6:G47" si="1">AL6/$AL$3</f>
        <v>420.67388247101667</v>
      </c>
      <c r="H6" s="72"/>
      <c r="I6" s="72"/>
      <c r="J6" s="72"/>
      <c r="K6" s="72"/>
      <c r="L6" s="72"/>
      <c r="M6" s="72"/>
      <c r="N6" s="72"/>
      <c r="O6" s="58"/>
      <c r="P6" s="471"/>
      <c r="Q6" s="536" t="s">
        <v>352</v>
      </c>
      <c r="R6" s="530">
        <f t="shared" ref="R6:R47" si="2">SUM(S6:AJ6)</f>
        <v>60407770.541207895</v>
      </c>
      <c r="S6" s="530">
        <f>Data!Q5/S$4*100000*S$3</f>
        <v>113621.69141381537</v>
      </c>
      <c r="T6" s="530">
        <f>Data!R5/T$4*100000*T$3</f>
        <v>71010.376210074784</v>
      </c>
      <c r="U6" s="530">
        <f>Data!S5/U$4*100000*U$3</f>
        <v>120059.10602142593</v>
      </c>
      <c r="V6" s="530">
        <f>Data!T5/V$4*100000*V$3</f>
        <v>164522.88363745139</v>
      </c>
      <c r="W6" s="530">
        <f>Data!U5/W$4*100000*W$3</f>
        <v>146306.4438446789</v>
      </c>
      <c r="X6" s="530">
        <f>Data!V5/X$4*100000*X$3</f>
        <v>323634.35348509974</v>
      </c>
      <c r="Y6" s="530">
        <f>Data!W5/Y$4*100000*Y$3</f>
        <v>482404.11229735077</v>
      </c>
      <c r="Z6" s="530">
        <f>Data!X5/Z$4*100000*Z$3</f>
        <v>629158.30894522823</v>
      </c>
      <c r="AA6" s="530">
        <f>Data!Y5/AA$4*100000*AA$3</f>
        <v>1135543.0922777136</v>
      </c>
      <c r="AB6" s="530">
        <f>Data!Z5/AB$4*100000*AB$3</f>
        <v>2015656.7234109009</v>
      </c>
      <c r="AC6" s="530">
        <f>Data!AA5/AC$4*100000*AC$3</f>
        <v>4830952.8769257246</v>
      </c>
      <c r="AD6" s="530">
        <f>Data!AB5/AD$4*100000*AD$3</f>
        <v>7195709.7277849438</v>
      </c>
      <c r="AE6" s="530">
        <f>Data!AC5/AE$4*100000*AE$3</f>
        <v>9839343.5840860493</v>
      </c>
      <c r="AF6" s="530">
        <f>Data!AD5/AF$4*100000*AF$3</f>
        <v>11224565.84929567</v>
      </c>
      <c r="AG6" s="530">
        <f>Data!AE5/AG$4*100000*AG$3</f>
        <v>9860336.2852572855</v>
      </c>
      <c r="AH6" s="530">
        <f>Data!AF5/AH$4*100000*AH$3</f>
        <v>6080163.9134332184</v>
      </c>
      <c r="AI6" s="530">
        <f>Data!AG5/AI$4*100000*AI$3</f>
        <v>3005268.1992337164</v>
      </c>
      <c r="AJ6" s="530">
        <f>Data!AH5/AJ$4*100000*AJ$3</f>
        <v>3169513.0136475498</v>
      </c>
      <c r="AK6" s="536" t="s">
        <v>352</v>
      </c>
      <c r="AL6" s="530">
        <f t="shared" ref="AL6:AL47" si="3">SUM(AM6:BD6)</f>
        <v>42067388.247101665</v>
      </c>
      <c r="AM6" s="530">
        <f>Data!Q5/AM$4*100000*AM$3</f>
        <v>170432.53712072305</v>
      </c>
      <c r="AN6" s="530">
        <f>Data!R5/AN$4*100000*AN$3</f>
        <v>101443.39458582111</v>
      </c>
      <c r="AO6" s="530">
        <f>Data!S5/AO$4*100000*AO$3</f>
        <v>154361.70774183335</v>
      </c>
      <c r="AP6" s="530">
        <f>Data!T5/AP$4*100000*AP$3</f>
        <v>211529.42181958037</v>
      </c>
      <c r="AQ6" s="530">
        <f>Data!U5/AQ$4*100000*AQ$3</f>
        <v>167207.36439391875</v>
      </c>
      <c r="AR6" s="530">
        <f>Data!V5/AR$4*100000*AR$3</f>
        <v>369867.83255439968</v>
      </c>
      <c r="AS6" s="530">
        <f>Data!W5/AS$4*100000*AS$3</f>
        <v>413489.23911201494</v>
      </c>
      <c r="AT6" s="530">
        <f>Data!X5/AT$4*100000*AT$3</f>
        <v>539278.55052448134</v>
      </c>
      <c r="AU6" s="530">
        <f>Data!Y5/AU$4*100000*AU$3</f>
        <v>973322.65052375442</v>
      </c>
      <c r="AV6" s="530">
        <f>Data!Z5/AV$4*100000*AV$3</f>
        <v>1727705.7629236295</v>
      </c>
      <c r="AW6" s="530">
        <f>Data!AA5/AW$4*100000*AW$3</f>
        <v>3450680.6263755173</v>
      </c>
      <c r="AX6" s="530">
        <f>Data!AB5/AX$4*100000*AX$3</f>
        <v>4797139.8185232952</v>
      </c>
      <c r="AY6" s="530">
        <f>Data!AC5/AY$4*100000*AY$3</f>
        <v>7871474.8672688399</v>
      </c>
      <c r="AZ6" s="530">
        <f>Data!AD5/AZ$4*100000*AZ$3</f>
        <v>8418424.3869717531</v>
      </c>
      <c r="BA6" s="530">
        <f>Data!AE5/BA$4*100000*BA$3</f>
        <v>6573557.523504857</v>
      </c>
      <c r="BB6" s="530">
        <f>Data!AF5/BB$4*100000*BB$3</f>
        <v>3040081.9567166092</v>
      </c>
      <c r="BC6" s="530">
        <f>Data!AG5/BC$4*100000*BC$3</f>
        <v>1502634.0996168582</v>
      </c>
      <c r="BD6" s="530">
        <f>Data!AH5/BD$4*100000*BD$3</f>
        <v>1584756.5068237749</v>
      </c>
      <c r="BE6" s="525"/>
      <c r="BF6" s="525"/>
      <c r="BG6" s="525"/>
      <c r="BH6" s="525"/>
      <c r="BI6" s="525"/>
      <c r="BJ6" s="525"/>
      <c r="BK6" s="525"/>
      <c r="BL6" s="525"/>
      <c r="BM6" s="525"/>
      <c r="BN6" s="525"/>
      <c r="BO6" s="525"/>
      <c r="BP6" s="525"/>
      <c r="BQ6" s="525"/>
      <c r="BR6" s="525"/>
      <c r="BS6" s="525"/>
      <c r="BT6" s="525"/>
      <c r="BU6" s="525"/>
      <c r="BV6" s="525"/>
    </row>
    <row r="7" spans="1:74" ht="12" customHeight="1">
      <c r="A7" s="30"/>
      <c r="B7" s="128" t="str">
        <f>UPPER(LEFT(TRIM(Data!B6),1)) &amp; MID(TRIM(Data!B6),2,50)</f>
        <v>Lūpos</v>
      </c>
      <c r="C7" s="128" t="str">
        <f>UPPER(LEFT(TRIM(Data!C6),1)) &amp; MID(TRIM(Data!C6),2,50)</f>
        <v>C00</v>
      </c>
      <c r="D7" s="129">
        <f>Data!D6</f>
        <v>24</v>
      </c>
      <c r="E7" s="130">
        <f t="shared" si="0"/>
        <v>1.7615415837579993</v>
      </c>
      <c r="F7" s="131">
        <f>R7/$R$3</f>
        <v>1.4426974406774724</v>
      </c>
      <c r="G7" s="131">
        <f t="shared" si="1"/>
        <v>0.96008822543430661</v>
      </c>
      <c r="H7" s="72"/>
      <c r="I7" s="72"/>
      <c r="J7" s="72"/>
      <c r="K7" s="72"/>
      <c r="L7" s="72"/>
      <c r="M7" s="72"/>
      <c r="N7" s="72"/>
      <c r="O7" s="58"/>
      <c r="P7" s="472"/>
      <c r="Q7" s="536" t="s">
        <v>352</v>
      </c>
      <c r="R7" s="530">
        <f t="shared" si="2"/>
        <v>144269.74406774723</v>
      </c>
      <c r="S7" s="530">
        <f>Data!Q6/S$4*100000*S$3</f>
        <v>0</v>
      </c>
      <c r="T7" s="530">
        <f>Data!R6/T$4*100000*T$3</f>
        <v>0</v>
      </c>
      <c r="U7" s="530">
        <f>Data!S6/U$4*100000*U$3</f>
        <v>0</v>
      </c>
      <c r="V7" s="530">
        <f>Data!T6/V$4*100000*V$3</f>
        <v>0</v>
      </c>
      <c r="W7" s="530">
        <f>Data!U6/W$4*100000*W$3</f>
        <v>0</v>
      </c>
      <c r="X7" s="530">
        <f>Data!V6/X$4*100000*X$3</f>
        <v>0</v>
      </c>
      <c r="Y7" s="530">
        <f>Data!W6/Y$4*100000*Y$3</f>
        <v>0</v>
      </c>
      <c r="Z7" s="530">
        <f>Data!X6/Z$4*100000*Z$3</f>
        <v>7672.6623042101</v>
      </c>
      <c r="AA7" s="530">
        <f>Data!Y6/AA$4*100000*AA$3</f>
        <v>6924.0432455958144</v>
      </c>
      <c r="AB7" s="530">
        <f>Data!Z6/AB$4*100000*AB$3</f>
        <v>0</v>
      </c>
      <c r="AC7" s="530">
        <f>Data!AA6/AC$4*100000*AC$3</f>
        <v>0</v>
      </c>
      <c r="AD7" s="530">
        <f>Data!AB6/AD$4*100000*AD$3</f>
        <v>6788.4054035707013</v>
      </c>
      <c r="AE7" s="530">
        <f>Data!AC6/AE$4*100000*AE$3</f>
        <v>13790.250293042818</v>
      </c>
      <c r="AF7" s="530">
        <f>Data!AD6/AF$4*100000*AF$3</f>
        <v>22359.692926883807</v>
      </c>
      <c r="AG7" s="530">
        <f>Data!AE6/AG$4*100000*AG$3</f>
        <v>46814.652986384732</v>
      </c>
      <c r="AH7" s="530">
        <f>Data!AF6/AH$4*100000*AH$3</f>
        <v>20489.179152260211</v>
      </c>
      <c r="AI7" s="530">
        <f>Data!AG6/AI$4*100000*AI$3</f>
        <v>11973.180076628352</v>
      </c>
      <c r="AJ7" s="530">
        <f>Data!AH6/AJ$4*100000*AJ$3</f>
        <v>7457.6776791707061</v>
      </c>
      <c r="AK7" s="536" t="s">
        <v>352</v>
      </c>
      <c r="AL7" s="530">
        <f t="shared" si="3"/>
        <v>96008.822543430666</v>
      </c>
      <c r="AM7" s="530">
        <f>Data!Q6/AM$4*100000*AM$3</f>
        <v>0</v>
      </c>
      <c r="AN7" s="530">
        <f>Data!R6/AN$4*100000*AN$3</f>
        <v>0</v>
      </c>
      <c r="AO7" s="530">
        <f>Data!S6/AO$4*100000*AO$3</f>
        <v>0</v>
      </c>
      <c r="AP7" s="530">
        <f>Data!T6/AP$4*100000*AP$3</f>
        <v>0</v>
      </c>
      <c r="AQ7" s="530">
        <f>Data!U6/AQ$4*100000*AQ$3</f>
        <v>0</v>
      </c>
      <c r="AR7" s="530">
        <f>Data!V6/AR$4*100000*AR$3</f>
        <v>0</v>
      </c>
      <c r="AS7" s="530">
        <f>Data!W6/AS$4*100000*AS$3</f>
        <v>0</v>
      </c>
      <c r="AT7" s="530">
        <f>Data!X6/AT$4*100000*AT$3</f>
        <v>6576.5676893229429</v>
      </c>
      <c r="AU7" s="530">
        <f>Data!Y6/AU$4*100000*AU$3</f>
        <v>5934.894210510698</v>
      </c>
      <c r="AV7" s="530">
        <f>Data!Z6/AV$4*100000*AV$3</f>
        <v>0</v>
      </c>
      <c r="AW7" s="530">
        <f>Data!AA6/AW$4*100000*AW$3</f>
        <v>0</v>
      </c>
      <c r="AX7" s="530">
        <f>Data!AB6/AX$4*100000*AX$3</f>
        <v>4525.6036023804672</v>
      </c>
      <c r="AY7" s="530">
        <f>Data!AC6/AY$4*100000*AY$3</f>
        <v>11032.200234434255</v>
      </c>
      <c r="AZ7" s="530">
        <f>Data!AD6/AZ$4*100000*AZ$3</f>
        <v>16769.769695162853</v>
      </c>
      <c r="BA7" s="530">
        <f>Data!AE6/BA$4*100000*BA$3</f>
        <v>31209.768657589822</v>
      </c>
      <c r="BB7" s="530">
        <f>Data!AF6/BB$4*100000*BB$3</f>
        <v>10244.589576130105</v>
      </c>
      <c r="BC7" s="530">
        <f>Data!AG6/BC$4*100000*BC$3</f>
        <v>5986.5900383141761</v>
      </c>
      <c r="BD7" s="530">
        <f>Data!AH6/BD$4*100000*BD$3</f>
        <v>3728.8388395853531</v>
      </c>
      <c r="BE7" s="525"/>
      <c r="BF7" s="525"/>
      <c r="BG7" s="525"/>
      <c r="BH7" s="525"/>
      <c r="BI7" s="525"/>
      <c r="BJ7" s="525"/>
      <c r="BK7" s="525"/>
      <c r="BL7" s="525"/>
      <c r="BM7" s="525"/>
      <c r="BN7" s="525"/>
      <c r="BO7" s="525"/>
      <c r="BP7" s="525"/>
      <c r="BQ7" s="525"/>
      <c r="BR7" s="525"/>
      <c r="BS7" s="525"/>
      <c r="BT7" s="525"/>
      <c r="BU7" s="525"/>
      <c r="BV7" s="525"/>
    </row>
    <row r="8" spans="1:74" ht="12" customHeight="1">
      <c r="A8" s="30"/>
      <c r="B8" s="123" t="str">
        <f>UPPER(LEFT(TRIM(Data!B7),1)) &amp; MID(TRIM(Data!B7),2,50)</f>
        <v>Burnos ertmės ir ryklės</v>
      </c>
      <c r="C8" s="123" t="str">
        <f>UPPER(LEFT(TRIM(Data!C7),1)) &amp; MID(TRIM(Data!C7),2,50)</f>
        <v>C01-C14</v>
      </c>
      <c r="D8" s="124">
        <f>Data!D7</f>
        <v>253</v>
      </c>
      <c r="E8" s="125">
        <f t="shared" si="0"/>
        <v>18.569584195448911</v>
      </c>
      <c r="F8" s="126">
        <f t="shared" ref="F8:F47" si="4">R8/$R$3</f>
        <v>16.847177212565093</v>
      </c>
      <c r="G8" s="127">
        <f t="shared" si="1"/>
        <v>12.385364422294856</v>
      </c>
      <c r="H8" s="72"/>
      <c r="I8" s="72"/>
      <c r="J8" s="72"/>
      <c r="K8" s="72"/>
      <c r="L8" s="72"/>
      <c r="M8" s="72"/>
      <c r="N8" s="72"/>
      <c r="O8" s="58"/>
      <c r="P8" s="329"/>
      <c r="Q8" s="536" t="s">
        <v>352</v>
      </c>
      <c r="R8" s="530">
        <f t="shared" si="2"/>
        <v>1684717.7212565094</v>
      </c>
      <c r="S8" s="530">
        <f>Data!Q7/S$4*100000*S$3</f>
        <v>0</v>
      </c>
      <c r="T8" s="530">
        <f>Data!R7/T$4*100000*T$3</f>
        <v>0</v>
      </c>
      <c r="U8" s="530">
        <f>Data!S7/U$4*100000*U$3</f>
        <v>0</v>
      </c>
      <c r="V8" s="530">
        <f>Data!T7/V$4*100000*V$3</f>
        <v>0</v>
      </c>
      <c r="W8" s="530">
        <f>Data!U7/W$4*100000*W$3</f>
        <v>0</v>
      </c>
      <c r="X8" s="530">
        <f>Data!V7/X$4*100000*X$3</f>
        <v>7035.5294235891261</v>
      </c>
      <c r="Y8" s="530">
        <f>Data!W7/Y$4*100000*Y$3</f>
        <v>7908.2641360221432</v>
      </c>
      <c r="Z8" s="530">
        <f>Data!X7/Z$4*100000*Z$3</f>
        <v>61381.2984336808</v>
      </c>
      <c r="AA8" s="530">
        <f>Data!Y7/AA$4*100000*AA$3</f>
        <v>76164.475701553951</v>
      </c>
      <c r="AB8" s="530">
        <f>Data!Z7/AB$4*100000*AB$3</f>
        <v>129821.9584569733</v>
      </c>
      <c r="AC8" s="530">
        <f>Data!AA7/AC$4*100000*AC$3</f>
        <v>145816.16295182632</v>
      </c>
      <c r="AD8" s="530">
        <f>Data!AB7/AD$4*100000*AD$3</f>
        <v>312266.64856425225</v>
      </c>
      <c r="AE8" s="530">
        <f>Data!AC7/AE$4*100000*AE$3</f>
        <v>386127.00820519897</v>
      </c>
      <c r="AF8" s="530">
        <f>Data!AD7/AF$4*100000*AF$3</f>
        <v>283222.77707386157</v>
      </c>
      <c r="AG8" s="530">
        <f>Data!AE7/AG$4*100000*AG$3</f>
        <v>140443.9589591542</v>
      </c>
      <c r="AH8" s="530">
        <f>Data!AF7/AH$4*100000*AH$3</f>
        <v>92201.306185170964</v>
      </c>
      <c r="AI8" s="530">
        <f>Data!AG7/AI$4*100000*AI$3</f>
        <v>19955.300127713923</v>
      </c>
      <c r="AJ8" s="530">
        <f>Data!AH7/AJ$4*100000*AJ$3</f>
        <v>22373.033037512119</v>
      </c>
      <c r="AK8" s="536" t="s">
        <v>352</v>
      </c>
      <c r="AL8" s="530">
        <f t="shared" si="3"/>
        <v>1238536.4422294856</v>
      </c>
      <c r="AM8" s="530">
        <f>Data!Q7/AM$4*100000*AM$3</f>
        <v>0</v>
      </c>
      <c r="AN8" s="530">
        <f>Data!R7/AN$4*100000*AN$3</f>
        <v>0</v>
      </c>
      <c r="AO8" s="530">
        <f>Data!S7/AO$4*100000*AO$3</f>
        <v>0</v>
      </c>
      <c r="AP8" s="530">
        <f>Data!T7/AP$4*100000*AP$3</f>
        <v>0</v>
      </c>
      <c r="AQ8" s="530">
        <f>Data!U7/AQ$4*100000*AQ$3</f>
        <v>0</v>
      </c>
      <c r="AR8" s="530">
        <f>Data!V7/AR$4*100000*AR$3</f>
        <v>8040.6050555304291</v>
      </c>
      <c r="AS8" s="530">
        <f>Data!W7/AS$4*100000*AS$3</f>
        <v>6778.5121165904084</v>
      </c>
      <c r="AT8" s="530">
        <f>Data!X7/AT$4*100000*AT$3</f>
        <v>52612.541514583543</v>
      </c>
      <c r="AU8" s="530">
        <f>Data!Y7/AU$4*100000*AU$3</f>
        <v>65283.836315617671</v>
      </c>
      <c r="AV8" s="530">
        <f>Data!Z7/AV$4*100000*AV$3</f>
        <v>111275.96439169139</v>
      </c>
      <c r="AW8" s="530">
        <f>Data!AA7/AW$4*100000*AW$3</f>
        <v>104154.40210844738</v>
      </c>
      <c r="AX8" s="530">
        <f>Data!AB7/AX$4*100000*AX$3</f>
        <v>208177.76570950149</v>
      </c>
      <c r="AY8" s="530">
        <f>Data!AC7/AY$4*100000*AY$3</f>
        <v>308901.60656415916</v>
      </c>
      <c r="AZ8" s="530">
        <f>Data!AD7/AZ$4*100000*AZ$3</f>
        <v>212417.08280539617</v>
      </c>
      <c r="BA8" s="530">
        <f>Data!AE7/BA$4*100000*BA$3</f>
        <v>93629.305972769478</v>
      </c>
      <c r="BB8" s="530">
        <f>Data!AF7/BB$4*100000*BB$3</f>
        <v>46100.653092585482</v>
      </c>
      <c r="BC8" s="530">
        <f>Data!AG7/BC$4*100000*BC$3</f>
        <v>9977.6500638569614</v>
      </c>
      <c r="BD8" s="530">
        <f>Data!AH7/BD$4*100000*BD$3</f>
        <v>11186.51651875606</v>
      </c>
      <c r="BE8" s="525"/>
      <c r="BF8" s="525"/>
      <c r="BG8" s="525"/>
      <c r="BH8" s="525"/>
      <c r="BI8" s="525"/>
      <c r="BJ8" s="525"/>
      <c r="BK8" s="525"/>
      <c r="BL8" s="525"/>
      <c r="BM8" s="525"/>
      <c r="BN8" s="525"/>
      <c r="BO8" s="525"/>
      <c r="BP8" s="525"/>
      <c r="BQ8" s="525"/>
      <c r="BR8" s="525"/>
      <c r="BS8" s="525"/>
      <c r="BT8" s="525"/>
      <c r="BU8" s="525"/>
      <c r="BV8" s="525"/>
    </row>
    <row r="9" spans="1:74" ht="12" customHeight="1">
      <c r="A9" s="30"/>
      <c r="B9" s="128" t="str">
        <f>UPPER(LEFT(TRIM(Data!B8),1)) &amp; MID(TRIM(Data!B8),2,50)</f>
        <v>Stemplės</v>
      </c>
      <c r="C9" s="128" t="str">
        <f>UPPER(LEFT(TRIM(Data!C8),1)) &amp; MID(TRIM(Data!C8),2,50)</f>
        <v>C15</v>
      </c>
      <c r="D9" s="129">
        <f>Data!D8</f>
        <v>164</v>
      </c>
      <c r="E9" s="130">
        <f t="shared" si="0"/>
        <v>12.03720082234633</v>
      </c>
      <c r="F9" s="131">
        <f t="shared" si="4"/>
        <v>10.746838587473217</v>
      </c>
      <c r="G9" s="131">
        <f t="shared" si="1"/>
        <v>7.6329865478248671</v>
      </c>
      <c r="H9" s="72"/>
      <c r="I9" s="72"/>
      <c r="J9" s="72"/>
      <c r="K9" s="72"/>
      <c r="L9" s="72"/>
      <c r="M9" s="72"/>
      <c r="N9" s="72"/>
      <c r="O9" s="58"/>
      <c r="P9" s="329"/>
      <c r="Q9" s="536" t="s">
        <v>352</v>
      </c>
      <c r="R9" s="530">
        <f t="shared" si="2"/>
        <v>1074683.8587473216</v>
      </c>
      <c r="S9" s="530">
        <f>Data!Q8/S$4*100000*S$3</f>
        <v>0</v>
      </c>
      <c r="T9" s="530">
        <f>Data!R8/T$4*100000*T$3</f>
        <v>0</v>
      </c>
      <c r="U9" s="530">
        <f>Data!S8/U$4*100000*U$3</f>
        <v>0</v>
      </c>
      <c r="V9" s="530">
        <f>Data!T8/V$4*100000*V$3</f>
        <v>0</v>
      </c>
      <c r="W9" s="530">
        <f>Data!U8/W$4*100000*W$3</f>
        <v>0</v>
      </c>
      <c r="X9" s="530">
        <f>Data!V8/X$4*100000*X$3</f>
        <v>0</v>
      </c>
      <c r="Y9" s="530">
        <f>Data!W8/Y$4*100000*Y$3</f>
        <v>0</v>
      </c>
      <c r="Z9" s="530">
        <f>Data!X8/Z$4*100000*Z$3</f>
        <v>7672.6623042101</v>
      </c>
      <c r="AA9" s="530">
        <f>Data!Y8/AA$4*100000*AA$3</f>
        <v>20772.129736787443</v>
      </c>
      <c r="AB9" s="530">
        <f>Data!Z8/AB$4*100000*AB$3</f>
        <v>61494.611900671553</v>
      </c>
      <c r="AC9" s="530">
        <f>Data!AA8/AC$4*100000*AC$3</f>
        <v>101437.33074909658</v>
      </c>
      <c r="AD9" s="530">
        <f>Data!AB8/AD$4*100000*AD$3</f>
        <v>196863.75670355032</v>
      </c>
      <c r="AE9" s="530">
        <f>Data!AC8/AE$4*100000*AE$3</f>
        <v>241329.38012824932</v>
      </c>
      <c r="AF9" s="530">
        <f>Data!AD8/AF$4*100000*AF$3</f>
        <v>201237.23634195424</v>
      </c>
      <c r="AG9" s="530">
        <f>Data!AE8/AG$4*100000*AG$3</f>
        <v>99481.13759606758</v>
      </c>
      <c r="AH9" s="530">
        <f>Data!AF8/AH$4*100000*AH$3</f>
        <v>71712.12703291075</v>
      </c>
      <c r="AI9" s="530">
        <f>Data!AG8/AI$4*100000*AI$3</f>
        <v>27937.42017879949</v>
      </c>
      <c r="AJ9" s="530">
        <f>Data!AH8/AJ$4*100000*AJ$3</f>
        <v>44746.066075024239</v>
      </c>
      <c r="AK9" s="536" t="s">
        <v>352</v>
      </c>
      <c r="AL9" s="530">
        <f t="shared" si="3"/>
        <v>763298.65478248673</v>
      </c>
      <c r="AM9" s="530">
        <f>Data!Q8/AM$4*100000*AM$3</f>
        <v>0</v>
      </c>
      <c r="AN9" s="530">
        <f>Data!R8/AN$4*100000*AN$3</f>
        <v>0</v>
      </c>
      <c r="AO9" s="530">
        <f>Data!S8/AO$4*100000*AO$3</f>
        <v>0</v>
      </c>
      <c r="AP9" s="530">
        <f>Data!T8/AP$4*100000*AP$3</f>
        <v>0</v>
      </c>
      <c r="AQ9" s="530">
        <f>Data!U8/AQ$4*100000*AQ$3</f>
        <v>0</v>
      </c>
      <c r="AR9" s="530">
        <f>Data!V8/AR$4*100000*AR$3</f>
        <v>0</v>
      </c>
      <c r="AS9" s="530">
        <f>Data!W8/AS$4*100000*AS$3</f>
        <v>0</v>
      </c>
      <c r="AT9" s="530">
        <f>Data!X8/AT$4*100000*AT$3</f>
        <v>6576.5676893229429</v>
      </c>
      <c r="AU9" s="530">
        <f>Data!Y8/AU$4*100000*AU$3</f>
        <v>17804.682631532094</v>
      </c>
      <c r="AV9" s="530">
        <f>Data!Z8/AV$4*100000*AV$3</f>
        <v>52709.66734343276</v>
      </c>
      <c r="AW9" s="530">
        <f>Data!AA8/AW$4*100000*AW$3</f>
        <v>72455.236249354697</v>
      </c>
      <c r="AX9" s="530">
        <f>Data!AB8/AX$4*100000*AX$3</f>
        <v>131242.50446903353</v>
      </c>
      <c r="AY9" s="530">
        <f>Data!AC8/AY$4*100000*AY$3</f>
        <v>193063.50410259946</v>
      </c>
      <c r="AZ9" s="530">
        <f>Data!AD8/AZ$4*100000*AZ$3</f>
        <v>150927.92725646569</v>
      </c>
      <c r="BA9" s="530">
        <f>Data!AE8/BA$4*100000*BA$3</f>
        <v>66320.758397378391</v>
      </c>
      <c r="BB9" s="530">
        <f>Data!AF8/BB$4*100000*BB$3</f>
        <v>35856.063516455375</v>
      </c>
      <c r="BC9" s="530">
        <f>Data!AG8/BC$4*100000*BC$3</f>
        <v>13968.710089399745</v>
      </c>
      <c r="BD9" s="530">
        <f>Data!AH8/BD$4*100000*BD$3</f>
        <v>22373.033037512119</v>
      </c>
      <c r="BE9" s="525"/>
      <c r="BF9" s="525"/>
      <c r="BG9" s="525"/>
      <c r="BH9" s="525"/>
      <c r="BI9" s="525"/>
      <c r="BJ9" s="525"/>
      <c r="BK9" s="525"/>
      <c r="BL9" s="525"/>
      <c r="BM9" s="525"/>
      <c r="BN9" s="525"/>
      <c r="BO9" s="525"/>
      <c r="BP9" s="525"/>
      <c r="BQ9" s="525"/>
      <c r="BR9" s="525"/>
      <c r="BS9" s="525"/>
      <c r="BT9" s="525"/>
      <c r="BU9" s="525"/>
      <c r="BV9" s="525"/>
    </row>
    <row r="10" spans="1:74" ht="12" customHeight="1">
      <c r="A10" s="30"/>
      <c r="B10" s="123" t="str">
        <f>UPPER(LEFT(TRIM(Data!B9),1)) &amp; MID(TRIM(Data!B9),2,50)</f>
        <v>Skrandžio</v>
      </c>
      <c r="C10" s="123" t="str">
        <f>UPPER(LEFT(TRIM(Data!C9),1)) &amp; MID(TRIM(Data!C9),2,50)</f>
        <v>C16</v>
      </c>
      <c r="D10" s="124">
        <f>Data!D9</f>
        <v>510</v>
      </c>
      <c r="E10" s="125">
        <f t="shared" si="0"/>
        <v>37.432758654857487</v>
      </c>
      <c r="F10" s="126">
        <f t="shared" si="4"/>
        <v>31.656653668974638</v>
      </c>
      <c r="G10" s="127">
        <f t="shared" si="1"/>
        <v>21.473713226109226</v>
      </c>
      <c r="H10" s="72"/>
      <c r="I10" s="72"/>
      <c r="J10" s="72"/>
      <c r="K10" s="72"/>
      <c r="L10" s="72"/>
      <c r="M10" s="72"/>
      <c r="N10" s="72"/>
      <c r="O10" s="58"/>
      <c r="P10" s="329"/>
      <c r="Q10" s="536" t="s">
        <v>352</v>
      </c>
      <c r="R10" s="530">
        <f t="shared" si="2"/>
        <v>3165665.3668974638</v>
      </c>
      <c r="S10" s="530">
        <f>Data!Q9/S$4*100000*S$3</f>
        <v>0</v>
      </c>
      <c r="T10" s="530">
        <f>Data!R9/T$4*100000*T$3</f>
        <v>0</v>
      </c>
      <c r="U10" s="530">
        <f>Data!S9/U$4*100000*U$3</f>
        <v>0</v>
      </c>
      <c r="V10" s="530">
        <f>Data!T9/V$4*100000*V$3</f>
        <v>0</v>
      </c>
      <c r="W10" s="530">
        <f>Data!U9/W$4*100000*W$3</f>
        <v>0</v>
      </c>
      <c r="X10" s="530">
        <f>Data!V9/X$4*100000*X$3</f>
        <v>14071.058847178252</v>
      </c>
      <c r="Y10" s="530">
        <f>Data!W9/Y$4*100000*Y$3</f>
        <v>23724.792408066431</v>
      </c>
      <c r="Z10" s="530">
        <f>Data!X9/Z$4*100000*Z$3</f>
        <v>30690.6492168404</v>
      </c>
      <c r="AA10" s="530">
        <f>Data!Y9/AA$4*100000*AA$3</f>
        <v>90012.562192745565</v>
      </c>
      <c r="AB10" s="530">
        <f>Data!Z9/AB$4*100000*AB$3</f>
        <v>143487.42776823364</v>
      </c>
      <c r="AC10" s="530">
        <f>Data!AA9/AC$4*100000*AC$3</f>
        <v>259933.16004455998</v>
      </c>
      <c r="AD10" s="530">
        <f>Data!AB9/AD$4*100000*AD$3</f>
        <v>291901.43235354015</v>
      </c>
      <c r="AE10" s="530">
        <f>Data!AC9/AE$4*100000*AE$3</f>
        <v>468868.50996345584</v>
      </c>
      <c r="AF10" s="530">
        <f>Data!AD9/AF$4*100000*AF$3</f>
        <v>506819.70634269953</v>
      </c>
      <c r="AG10" s="530">
        <f>Data!AE9/AG$4*100000*AG$3</f>
        <v>485702.02473374165</v>
      </c>
      <c r="AH10" s="530">
        <f>Data!AF9/AH$4*100000*AH$3</f>
        <v>353438.34037648869</v>
      </c>
      <c r="AI10" s="530">
        <f>Data!AG9/AI$4*100000*AI$3</f>
        <v>243454.66155810986</v>
      </c>
      <c r="AJ10" s="530">
        <f>Data!AH9/AJ$4*100000*AJ$3</f>
        <v>253561.04109180401</v>
      </c>
      <c r="AK10" s="536" t="s">
        <v>352</v>
      </c>
      <c r="AL10" s="530">
        <f t="shared" si="3"/>
        <v>2147371.3226109226</v>
      </c>
      <c r="AM10" s="530">
        <f>Data!Q9/AM$4*100000*AM$3</f>
        <v>0</v>
      </c>
      <c r="AN10" s="530">
        <f>Data!R9/AN$4*100000*AN$3</f>
        <v>0</v>
      </c>
      <c r="AO10" s="530">
        <f>Data!S9/AO$4*100000*AO$3</f>
        <v>0</v>
      </c>
      <c r="AP10" s="530">
        <f>Data!T9/AP$4*100000*AP$3</f>
        <v>0</v>
      </c>
      <c r="AQ10" s="530">
        <f>Data!U9/AQ$4*100000*AQ$3</f>
        <v>0</v>
      </c>
      <c r="AR10" s="530">
        <f>Data!V9/AR$4*100000*AR$3</f>
        <v>16081.210111060858</v>
      </c>
      <c r="AS10" s="530">
        <f>Data!W9/AS$4*100000*AS$3</f>
        <v>20335.536349771224</v>
      </c>
      <c r="AT10" s="530">
        <f>Data!X9/AT$4*100000*AT$3</f>
        <v>26306.270757291772</v>
      </c>
      <c r="AU10" s="530">
        <f>Data!Y9/AU$4*100000*AU$3</f>
        <v>77153.62473663906</v>
      </c>
      <c r="AV10" s="530">
        <f>Data!Z9/AV$4*100000*AV$3</f>
        <v>122989.22380134311</v>
      </c>
      <c r="AW10" s="530">
        <f>Data!AA9/AW$4*100000*AW$3</f>
        <v>185666.54288897139</v>
      </c>
      <c r="AX10" s="530">
        <f>Data!AB9/AX$4*100000*AX$3</f>
        <v>194600.9549023601</v>
      </c>
      <c r="AY10" s="530">
        <f>Data!AC9/AY$4*100000*AY$3</f>
        <v>375094.8079707647</v>
      </c>
      <c r="AZ10" s="530">
        <f>Data!AD9/AZ$4*100000*AZ$3</f>
        <v>380114.77975702466</v>
      </c>
      <c r="BA10" s="530">
        <f>Data!AE9/BA$4*100000*BA$3</f>
        <v>323801.34982249443</v>
      </c>
      <c r="BB10" s="530">
        <f>Data!AF9/BB$4*100000*BB$3</f>
        <v>176719.17018824434</v>
      </c>
      <c r="BC10" s="530">
        <f>Data!AG9/BC$4*100000*BC$3</f>
        <v>121727.33077905493</v>
      </c>
      <c r="BD10" s="530">
        <f>Data!AH9/BD$4*100000*BD$3</f>
        <v>126780.52054590201</v>
      </c>
      <c r="BE10" s="525"/>
      <c r="BF10" s="525"/>
      <c r="BG10" s="525"/>
      <c r="BH10" s="525"/>
      <c r="BI10" s="525"/>
      <c r="BJ10" s="525"/>
      <c r="BK10" s="525"/>
      <c r="BL10" s="525"/>
      <c r="BM10" s="525"/>
      <c r="BN10" s="525"/>
      <c r="BO10" s="525"/>
      <c r="BP10" s="525"/>
      <c r="BQ10" s="525"/>
      <c r="BR10" s="525"/>
      <c r="BS10" s="525"/>
      <c r="BT10" s="525"/>
      <c r="BU10" s="525"/>
      <c r="BV10" s="525"/>
    </row>
    <row r="11" spans="1:74" ht="12" customHeight="1">
      <c r="A11" s="30"/>
      <c r="B11" s="128" t="str">
        <f>UPPER(LEFT(TRIM(Data!B10),1)) &amp; MID(TRIM(Data!B10),2,50)</f>
        <v>Gaubtinės žarnos</v>
      </c>
      <c r="C11" s="128" t="str">
        <f>UPPER(LEFT(TRIM(Data!C10),1)) &amp; MID(TRIM(Data!C10),2,50)</f>
        <v>C18</v>
      </c>
      <c r="D11" s="129">
        <f>Data!D10</f>
        <v>442</v>
      </c>
      <c r="E11" s="130">
        <f t="shared" si="0"/>
        <v>32.44172416754315</v>
      </c>
      <c r="F11" s="131">
        <f t="shared" si="4"/>
        <v>27.098895421195504</v>
      </c>
      <c r="G11" s="131">
        <f t="shared" si="1"/>
        <v>18.097493677328135</v>
      </c>
      <c r="H11" s="72"/>
      <c r="I11" s="72"/>
      <c r="J11" s="72"/>
      <c r="K11" s="72"/>
      <c r="L11" s="72"/>
      <c r="M11" s="72"/>
      <c r="N11" s="72"/>
      <c r="O11" s="58"/>
      <c r="P11" s="329"/>
      <c r="Q11" s="536" t="s">
        <v>352</v>
      </c>
      <c r="R11" s="530">
        <f t="shared" si="2"/>
        <v>2709889.5421195505</v>
      </c>
      <c r="S11" s="530">
        <f>Data!Q10/S$4*100000*S$3</f>
        <v>0</v>
      </c>
      <c r="T11" s="530">
        <f>Data!R10/T$4*100000*T$3</f>
        <v>0</v>
      </c>
      <c r="U11" s="530">
        <f>Data!S10/U$4*100000*U$3</f>
        <v>0</v>
      </c>
      <c r="V11" s="530">
        <f>Data!T10/V$4*100000*V$3</f>
        <v>0</v>
      </c>
      <c r="W11" s="530">
        <f>Data!U10/W$4*100000*W$3</f>
        <v>0</v>
      </c>
      <c r="X11" s="530">
        <f>Data!V10/X$4*100000*X$3</f>
        <v>7035.5294235891261</v>
      </c>
      <c r="Y11" s="530">
        <f>Data!W10/Y$4*100000*Y$3</f>
        <v>23724.792408066431</v>
      </c>
      <c r="Z11" s="530">
        <f>Data!X10/Z$4*100000*Z$3</f>
        <v>15345.3246084202</v>
      </c>
      <c r="AA11" s="530">
        <f>Data!Y10/AA$4*100000*AA$3</f>
        <v>20772.129736787443</v>
      </c>
      <c r="AB11" s="530">
        <f>Data!Z10/AB$4*100000*AB$3</f>
        <v>54661.877245041389</v>
      </c>
      <c r="AC11" s="530">
        <f>Data!AA10/AC$4*100000*AC$3</f>
        <v>152155.99612364484</v>
      </c>
      <c r="AD11" s="530">
        <f>Data!AB10/AD$4*100000*AD$3</f>
        <v>251170.99993211593</v>
      </c>
      <c r="AE11" s="530">
        <f>Data!AC10/AE$4*100000*AE$3</f>
        <v>317175.75673998485</v>
      </c>
      <c r="AF11" s="530">
        <f>Data!AD10/AF$4*100000*AF$3</f>
        <v>596258.47805023473</v>
      </c>
      <c r="AG11" s="530">
        <f>Data!AE10/AG$4*100000*AG$3</f>
        <v>544220.34096672258</v>
      </c>
      <c r="AH11" s="530">
        <f>Data!AF10/AH$4*100000*AH$3</f>
        <v>327826.86643616337</v>
      </c>
      <c r="AI11" s="530">
        <f>Data!AG10/AI$4*100000*AI$3</f>
        <v>235472.54150702426</v>
      </c>
      <c r="AJ11" s="530">
        <f>Data!AH10/AJ$4*100000*AJ$3</f>
        <v>164068.90894175557</v>
      </c>
      <c r="AK11" s="536" t="s">
        <v>352</v>
      </c>
      <c r="AL11" s="530">
        <f t="shared" si="3"/>
        <v>1809749.3677328133</v>
      </c>
      <c r="AM11" s="530">
        <f>Data!Q10/AM$4*100000*AM$3</f>
        <v>0</v>
      </c>
      <c r="AN11" s="530">
        <f>Data!R10/AN$4*100000*AN$3</f>
        <v>0</v>
      </c>
      <c r="AO11" s="530">
        <f>Data!S10/AO$4*100000*AO$3</f>
        <v>0</v>
      </c>
      <c r="AP11" s="530">
        <f>Data!T10/AP$4*100000*AP$3</f>
        <v>0</v>
      </c>
      <c r="AQ11" s="530">
        <f>Data!U10/AQ$4*100000*AQ$3</f>
        <v>0</v>
      </c>
      <c r="AR11" s="530">
        <f>Data!V10/AR$4*100000*AR$3</f>
        <v>8040.6050555304291</v>
      </c>
      <c r="AS11" s="530">
        <f>Data!W10/AS$4*100000*AS$3</f>
        <v>20335.536349771224</v>
      </c>
      <c r="AT11" s="530">
        <f>Data!X10/AT$4*100000*AT$3</f>
        <v>13153.135378645886</v>
      </c>
      <c r="AU11" s="530">
        <f>Data!Y10/AU$4*100000*AU$3</f>
        <v>17804.682631532094</v>
      </c>
      <c r="AV11" s="530">
        <f>Data!Z10/AV$4*100000*AV$3</f>
        <v>46853.037638606904</v>
      </c>
      <c r="AW11" s="530">
        <f>Data!AA10/AW$4*100000*AW$3</f>
        <v>108682.85437403203</v>
      </c>
      <c r="AX11" s="530">
        <f>Data!AB10/AX$4*100000*AX$3</f>
        <v>167447.33328807729</v>
      </c>
      <c r="AY11" s="530">
        <f>Data!AC10/AY$4*100000*AY$3</f>
        <v>253740.60539198789</v>
      </c>
      <c r="AZ11" s="530">
        <f>Data!AD10/AZ$4*100000*AZ$3</f>
        <v>447193.8585376761</v>
      </c>
      <c r="BA11" s="530">
        <f>Data!AE10/BA$4*100000*BA$3</f>
        <v>362813.56064448174</v>
      </c>
      <c r="BB11" s="530">
        <f>Data!AF10/BB$4*100000*BB$3</f>
        <v>163913.43321808169</v>
      </c>
      <c r="BC11" s="530">
        <f>Data!AG10/BC$4*100000*BC$3</f>
        <v>117736.27075351213</v>
      </c>
      <c r="BD11" s="530">
        <f>Data!AH10/BD$4*100000*BD$3</f>
        <v>82034.454470877783</v>
      </c>
      <c r="BE11" s="525"/>
      <c r="BF11" s="525"/>
      <c r="BG11" s="525"/>
      <c r="BH11" s="525"/>
      <c r="BI11" s="525"/>
      <c r="BJ11" s="525"/>
      <c r="BK11" s="525"/>
      <c r="BL11" s="525"/>
      <c r="BM11" s="525"/>
      <c r="BN11" s="525"/>
      <c r="BO11" s="525"/>
      <c r="BP11" s="525"/>
      <c r="BQ11" s="525"/>
      <c r="BR11" s="525"/>
      <c r="BS11" s="525"/>
      <c r="BT11" s="525"/>
      <c r="BU11" s="525"/>
      <c r="BV11" s="525"/>
    </row>
    <row r="12" spans="1:74" ht="12" customHeight="1">
      <c r="A12" s="30"/>
      <c r="B12" s="123" t="str">
        <f>UPPER(LEFT(TRIM(Data!B11),1)) &amp; MID(TRIM(Data!B11),2,50)</f>
        <v>Tiesiosios žarnos, išangės</v>
      </c>
      <c r="C12" s="123" t="str">
        <f>UPPER(LEFT(TRIM(Data!C11),1)) &amp; MID(TRIM(Data!C11),2,50)</f>
        <v>C19-C21</v>
      </c>
      <c r="D12" s="124">
        <f>Data!D11</f>
        <v>386</v>
      </c>
      <c r="E12" s="125">
        <f t="shared" si="0"/>
        <v>28.331460472107825</v>
      </c>
      <c r="F12" s="126">
        <f t="shared" si="4"/>
        <v>24.251728857896811</v>
      </c>
      <c r="G12" s="127">
        <f t="shared" si="1"/>
        <v>16.438734882980036</v>
      </c>
      <c r="H12" s="72"/>
      <c r="I12" s="72"/>
      <c r="J12" s="72"/>
      <c r="K12" s="72"/>
      <c r="L12" s="72"/>
      <c r="M12" s="72"/>
      <c r="N12" s="72"/>
      <c r="O12" s="58"/>
      <c r="P12" s="329"/>
      <c r="Q12" s="536" t="s">
        <v>352</v>
      </c>
      <c r="R12" s="530">
        <f t="shared" si="2"/>
        <v>2425172.8857896812</v>
      </c>
      <c r="S12" s="530">
        <f>Data!Q11/S$4*100000*S$3</f>
        <v>0</v>
      </c>
      <c r="T12" s="530">
        <f>Data!R11/T$4*100000*T$3</f>
        <v>0</v>
      </c>
      <c r="U12" s="530">
        <f>Data!S11/U$4*100000*U$3</f>
        <v>0</v>
      </c>
      <c r="V12" s="530">
        <f>Data!T11/V$4*100000*V$3</f>
        <v>0</v>
      </c>
      <c r="W12" s="530">
        <f>Data!U11/W$4*100000*W$3</f>
        <v>0</v>
      </c>
      <c r="X12" s="530">
        <f>Data!V11/X$4*100000*X$3</f>
        <v>7035.5294235891261</v>
      </c>
      <c r="Y12" s="530">
        <f>Data!W11/Y$4*100000*Y$3</f>
        <v>0</v>
      </c>
      <c r="Z12" s="530">
        <f>Data!X11/Z$4*100000*Z$3</f>
        <v>23017.986912630295</v>
      </c>
      <c r="AA12" s="530">
        <f>Data!Y11/AA$4*100000*AA$3</f>
        <v>41544.259473574886</v>
      </c>
      <c r="AB12" s="530">
        <f>Data!Z11/AB$4*100000*AB$3</f>
        <v>116156.48914571294</v>
      </c>
      <c r="AC12" s="530">
        <f>Data!AA11/AC$4*100000*AC$3</f>
        <v>158495.82929546339</v>
      </c>
      <c r="AD12" s="530">
        <f>Data!AB11/AD$4*100000*AD$3</f>
        <v>217228.97291426244</v>
      </c>
      <c r="AE12" s="530">
        <f>Data!AC11/AE$4*100000*AE$3</f>
        <v>330966.00703302771</v>
      </c>
      <c r="AF12" s="530">
        <f>Data!AD11/AF$4*100000*AF$3</f>
        <v>529179.3992695834</v>
      </c>
      <c r="AG12" s="530">
        <f>Data!AE11/AG$4*100000*AG$3</f>
        <v>362813.56064448174</v>
      </c>
      <c r="AH12" s="530">
        <f>Data!AF11/AH$4*100000*AH$3</f>
        <v>281726.21334357798</v>
      </c>
      <c r="AI12" s="530">
        <f>Data!AG11/AI$4*100000*AI$3</f>
        <v>155651.34099616858</v>
      </c>
      <c r="AJ12" s="530">
        <f>Data!AH11/AJ$4*100000*AJ$3</f>
        <v>201357.29733760905</v>
      </c>
      <c r="AK12" s="536" t="s">
        <v>352</v>
      </c>
      <c r="AL12" s="530">
        <f t="shared" si="3"/>
        <v>1643873.4882980036</v>
      </c>
      <c r="AM12" s="530">
        <f>Data!Q11/AM$4*100000*AM$3</f>
        <v>0</v>
      </c>
      <c r="AN12" s="530">
        <f>Data!R11/AN$4*100000*AN$3</f>
        <v>0</v>
      </c>
      <c r="AO12" s="530">
        <f>Data!S11/AO$4*100000*AO$3</f>
        <v>0</v>
      </c>
      <c r="AP12" s="530">
        <f>Data!T11/AP$4*100000*AP$3</f>
        <v>0</v>
      </c>
      <c r="AQ12" s="530">
        <f>Data!U11/AQ$4*100000*AQ$3</f>
        <v>0</v>
      </c>
      <c r="AR12" s="530">
        <f>Data!V11/AR$4*100000*AR$3</f>
        <v>8040.6050555304291</v>
      </c>
      <c r="AS12" s="530">
        <f>Data!W11/AS$4*100000*AS$3</f>
        <v>0</v>
      </c>
      <c r="AT12" s="530">
        <f>Data!X11/AT$4*100000*AT$3</f>
        <v>19729.703067968825</v>
      </c>
      <c r="AU12" s="530">
        <f>Data!Y11/AU$4*100000*AU$3</f>
        <v>35609.365263064188</v>
      </c>
      <c r="AV12" s="530">
        <f>Data!Z11/AV$4*100000*AV$3</f>
        <v>99562.704982039664</v>
      </c>
      <c r="AW12" s="530">
        <f>Data!AA11/AW$4*100000*AW$3</f>
        <v>113211.30663961671</v>
      </c>
      <c r="AX12" s="530">
        <f>Data!AB11/AX$4*100000*AX$3</f>
        <v>144819.31527617495</v>
      </c>
      <c r="AY12" s="530">
        <f>Data!AC11/AY$4*100000*AY$3</f>
        <v>264772.80562642217</v>
      </c>
      <c r="AZ12" s="530">
        <f>Data!AD11/AZ$4*100000*AZ$3</f>
        <v>396884.54945218755</v>
      </c>
      <c r="BA12" s="530">
        <f>Data!AE11/BA$4*100000*BA$3</f>
        <v>241875.70709632116</v>
      </c>
      <c r="BB12" s="530">
        <f>Data!AF11/BB$4*100000*BB$3</f>
        <v>140863.10667178899</v>
      </c>
      <c r="BC12" s="530">
        <f>Data!AG11/BC$4*100000*BC$3</f>
        <v>77825.670498084291</v>
      </c>
      <c r="BD12" s="530">
        <f>Data!AH11/BD$4*100000*BD$3</f>
        <v>100678.64866880453</v>
      </c>
      <c r="BE12" s="525"/>
      <c r="BF12" s="525"/>
      <c r="BG12" s="525"/>
      <c r="BH12" s="525"/>
      <c r="BI12" s="525"/>
      <c r="BJ12" s="525"/>
      <c r="BK12" s="525"/>
      <c r="BL12" s="525"/>
      <c r="BM12" s="525"/>
      <c r="BN12" s="525"/>
      <c r="BO12" s="525"/>
      <c r="BP12" s="525"/>
      <c r="BQ12" s="525"/>
      <c r="BR12" s="525"/>
      <c r="BS12" s="525"/>
      <c r="BT12" s="525"/>
      <c r="BU12" s="525"/>
      <c r="BV12" s="525"/>
    </row>
    <row r="13" spans="1:74" ht="12" customHeight="1">
      <c r="A13" s="30"/>
      <c r="B13" s="128" t="str">
        <f>UPPER(LEFT(TRIM(Data!B12),1)) &amp; MID(TRIM(Data!B12),2,50)</f>
        <v>Kepenų</v>
      </c>
      <c r="C13" s="128" t="str">
        <f>UPPER(LEFT(TRIM(Data!C12),1)) &amp; MID(TRIM(Data!C12),2,50)</f>
        <v>C22</v>
      </c>
      <c r="D13" s="129">
        <f>Data!D12</f>
        <v>121</v>
      </c>
      <c r="E13" s="130">
        <f t="shared" si="0"/>
        <v>8.8811054847799138</v>
      </c>
      <c r="F13" s="131">
        <f t="shared" si="4"/>
        <v>7.6968153020658985</v>
      </c>
      <c r="G13" s="131">
        <f t="shared" si="1"/>
        <v>5.4067368125355477</v>
      </c>
      <c r="H13" s="72"/>
      <c r="I13" s="72"/>
      <c r="J13" s="72"/>
      <c r="K13" s="72"/>
      <c r="L13" s="72"/>
      <c r="M13" s="72"/>
      <c r="N13" s="72"/>
      <c r="O13" s="58"/>
      <c r="P13" s="329"/>
      <c r="Q13" s="536" t="s">
        <v>352</v>
      </c>
      <c r="R13" s="530">
        <f t="shared" si="2"/>
        <v>769681.53020658984</v>
      </c>
      <c r="S13" s="530">
        <f>Data!Q12/S$4*100000*S$3</f>
        <v>10329.244673983216</v>
      </c>
      <c r="T13" s="530">
        <f>Data!R12/T$4*100000*T$3</f>
        <v>0</v>
      </c>
      <c r="U13" s="530">
        <f>Data!S12/U$4*100000*U$3</f>
        <v>9235.3158478019941</v>
      </c>
      <c r="V13" s="530">
        <f>Data!T12/V$4*100000*V$3</f>
        <v>0</v>
      </c>
      <c r="W13" s="530">
        <f>Data!U12/W$4*100000*W$3</f>
        <v>0</v>
      </c>
      <c r="X13" s="530">
        <f>Data!V12/X$4*100000*X$3</f>
        <v>7035.5294235891261</v>
      </c>
      <c r="Y13" s="530">
        <f>Data!W12/Y$4*100000*Y$3</f>
        <v>0</v>
      </c>
      <c r="Z13" s="530">
        <f>Data!X12/Z$4*100000*Z$3</f>
        <v>0</v>
      </c>
      <c r="AA13" s="530">
        <f>Data!Y12/AA$4*100000*AA$3</f>
        <v>20772.129736787443</v>
      </c>
      <c r="AB13" s="530">
        <f>Data!Z12/AB$4*100000*AB$3</f>
        <v>61494.611900671553</v>
      </c>
      <c r="AC13" s="530">
        <f>Data!AA12/AC$4*100000*AC$3</f>
        <v>57058.49854636682</v>
      </c>
      <c r="AD13" s="530">
        <f>Data!AB12/AD$4*100000*AD$3</f>
        <v>128979.70266784332</v>
      </c>
      <c r="AE13" s="530">
        <f>Data!AC12/AE$4*100000*AE$3</f>
        <v>89636.626904778328</v>
      </c>
      <c r="AF13" s="530">
        <f>Data!AD12/AF$4*100000*AF$3</f>
        <v>96892.002683163155</v>
      </c>
      <c r="AG13" s="530">
        <f>Data!AE12/AG$4*100000*AG$3</f>
        <v>117036.63246596184</v>
      </c>
      <c r="AH13" s="530">
        <f>Data!AF12/AH$4*100000*AH$3</f>
        <v>87079.011397105904</v>
      </c>
      <c r="AI13" s="530">
        <f>Data!AG12/AI$4*100000*AI$3</f>
        <v>31928.480204342275</v>
      </c>
      <c r="AJ13" s="530">
        <f>Data!AH12/AJ$4*100000*AJ$3</f>
        <v>52203.743754194948</v>
      </c>
      <c r="AK13" s="536" t="s">
        <v>352</v>
      </c>
      <c r="AL13" s="530">
        <f t="shared" si="3"/>
        <v>540673.68125355477</v>
      </c>
      <c r="AM13" s="530">
        <f>Data!Q12/AM$4*100000*AM$3</f>
        <v>15493.867010974822</v>
      </c>
      <c r="AN13" s="530">
        <f>Data!R12/AN$4*100000*AN$3</f>
        <v>0</v>
      </c>
      <c r="AO13" s="530">
        <f>Data!S12/AO$4*100000*AO$3</f>
        <v>11873.977518602564</v>
      </c>
      <c r="AP13" s="530">
        <f>Data!T12/AP$4*100000*AP$3</f>
        <v>0</v>
      </c>
      <c r="AQ13" s="530">
        <f>Data!U12/AQ$4*100000*AQ$3</f>
        <v>0</v>
      </c>
      <c r="AR13" s="530">
        <f>Data!V12/AR$4*100000*AR$3</f>
        <v>8040.6050555304291</v>
      </c>
      <c r="AS13" s="530">
        <f>Data!W12/AS$4*100000*AS$3</f>
        <v>0</v>
      </c>
      <c r="AT13" s="530">
        <f>Data!X12/AT$4*100000*AT$3</f>
        <v>0</v>
      </c>
      <c r="AU13" s="530">
        <f>Data!Y12/AU$4*100000*AU$3</f>
        <v>17804.682631532094</v>
      </c>
      <c r="AV13" s="530">
        <f>Data!Z12/AV$4*100000*AV$3</f>
        <v>52709.66734343276</v>
      </c>
      <c r="AW13" s="530">
        <f>Data!AA12/AW$4*100000*AW$3</f>
        <v>40756.070390262015</v>
      </c>
      <c r="AX13" s="530">
        <f>Data!AB12/AX$4*100000*AX$3</f>
        <v>85986.468445228878</v>
      </c>
      <c r="AY13" s="530">
        <f>Data!AC12/AY$4*100000*AY$3</f>
        <v>71709.301523822665</v>
      </c>
      <c r="AZ13" s="530">
        <f>Data!AD12/AZ$4*100000*AZ$3</f>
        <v>72669.002012372366</v>
      </c>
      <c r="BA13" s="530">
        <f>Data!AE12/BA$4*100000*BA$3</f>
        <v>78024.421643974565</v>
      </c>
      <c r="BB13" s="530">
        <f>Data!AF12/BB$4*100000*BB$3</f>
        <v>43539.505698552952</v>
      </c>
      <c r="BC13" s="530">
        <f>Data!AG12/BC$4*100000*BC$3</f>
        <v>15964.240102171138</v>
      </c>
      <c r="BD13" s="530">
        <f>Data!AH12/BD$4*100000*BD$3</f>
        <v>26101.871877097474</v>
      </c>
      <c r="BE13" s="525"/>
      <c r="BF13" s="525"/>
      <c r="BG13" s="525"/>
      <c r="BH13" s="525"/>
      <c r="BI13" s="525"/>
      <c r="BJ13" s="525"/>
      <c r="BK13" s="525"/>
      <c r="BL13" s="525"/>
      <c r="BM13" s="525"/>
      <c r="BN13" s="525"/>
      <c r="BO13" s="525"/>
      <c r="BP13" s="525"/>
      <c r="BQ13" s="525"/>
      <c r="BR13" s="525"/>
      <c r="BS13" s="525"/>
      <c r="BT13" s="525"/>
      <c r="BU13" s="525"/>
      <c r="BV13" s="525"/>
    </row>
    <row r="14" spans="1:74" ht="12" customHeight="1">
      <c r="A14" s="30"/>
      <c r="B14" s="123" t="str">
        <f>UPPER(LEFT(TRIM(Data!B13),1)) &amp; MID(TRIM(Data!B13),2,50)</f>
        <v>Tulžies pūslės, ekstrahepatinių takų</v>
      </c>
      <c r="C14" s="123" t="str">
        <f>UPPER(LEFT(TRIM(Data!C13),1)) &amp; MID(TRIM(Data!C13),2,50)</f>
        <v>C23, C24</v>
      </c>
      <c r="D14" s="124">
        <f>Data!D13</f>
        <v>48</v>
      </c>
      <c r="E14" s="125">
        <f t="shared" si="0"/>
        <v>3.5230831675159986</v>
      </c>
      <c r="F14" s="126">
        <f t="shared" si="4"/>
        <v>2.8912523864401902</v>
      </c>
      <c r="G14" s="127">
        <f t="shared" si="1"/>
        <v>1.9064253488056173</v>
      </c>
      <c r="H14" s="72"/>
      <c r="I14" s="72"/>
      <c r="J14" s="72"/>
      <c r="K14" s="72"/>
      <c r="L14" s="72"/>
      <c r="M14" s="72"/>
      <c r="N14" s="72"/>
      <c r="O14" s="58"/>
      <c r="P14" s="329"/>
      <c r="Q14" s="536" t="s">
        <v>352</v>
      </c>
      <c r="R14" s="530">
        <f t="shared" si="2"/>
        <v>289125.238644019</v>
      </c>
      <c r="S14" s="530">
        <f>Data!Q13/S$4*100000*S$3</f>
        <v>0</v>
      </c>
      <c r="T14" s="530">
        <f>Data!R13/T$4*100000*T$3</f>
        <v>0</v>
      </c>
      <c r="U14" s="530">
        <f>Data!S13/U$4*100000*U$3</f>
        <v>0</v>
      </c>
      <c r="V14" s="530">
        <f>Data!T13/V$4*100000*V$3</f>
        <v>0</v>
      </c>
      <c r="W14" s="530">
        <f>Data!U13/W$4*100000*W$3</f>
        <v>0</v>
      </c>
      <c r="X14" s="530">
        <f>Data!V13/X$4*100000*X$3</f>
        <v>0</v>
      </c>
      <c r="Y14" s="530">
        <f>Data!W13/Y$4*100000*Y$3</f>
        <v>0</v>
      </c>
      <c r="Z14" s="530">
        <f>Data!X13/Z$4*100000*Z$3</f>
        <v>7672.6623042101</v>
      </c>
      <c r="AA14" s="530">
        <f>Data!Y13/AA$4*100000*AA$3</f>
        <v>13848.086491191629</v>
      </c>
      <c r="AB14" s="530">
        <f>Data!Z13/AB$4*100000*AB$3</f>
        <v>6832.7346556301736</v>
      </c>
      <c r="AC14" s="530">
        <f>Data!AA13/AC$4*100000*AC$3</f>
        <v>12679.666343637073</v>
      </c>
      <c r="AD14" s="530">
        <f>Data!AB13/AD$4*100000*AD$3</f>
        <v>33942.027017853507</v>
      </c>
      <c r="AE14" s="530">
        <f>Data!AC13/AE$4*100000*AE$3</f>
        <v>41370.750879128464</v>
      </c>
      <c r="AF14" s="530">
        <f>Data!AD13/AF$4*100000*AF$3</f>
        <v>37266.15487813967</v>
      </c>
      <c r="AG14" s="530">
        <f>Data!AE13/AG$4*100000*AG$3</f>
        <v>35110.989739788551</v>
      </c>
      <c r="AH14" s="530">
        <f>Data!AF13/AH$4*100000*AH$3</f>
        <v>46100.653092585482</v>
      </c>
      <c r="AI14" s="530">
        <f>Data!AG13/AI$4*100000*AI$3</f>
        <v>31928.480204342275</v>
      </c>
      <c r="AJ14" s="530">
        <f>Data!AH13/AJ$4*100000*AJ$3</f>
        <v>22373.033037512119</v>
      </c>
      <c r="AK14" s="536" t="s">
        <v>352</v>
      </c>
      <c r="AL14" s="530">
        <f t="shared" si="3"/>
        <v>190642.53488056173</v>
      </c>
      <c r="AM14" s="530">
        <f>Data!Q13/AM$4*100000*AM$3</f>
        <v>0</v>
      </c>
      <c r="AN14" s="530">
        <f>Data!R13/AN$4*100000*AN$3</f>
        <v>0</v>
      </c>
      <c r="AO14" s="530">
        <f>Data!S13/AO$4*100000*AO$3</f>
        <v>0</v>
      </c>
      <c r="AP14" s="530">
        <f>Data!T13/AP$4*100000*AP$3</f>
        <v>0</v>
      </c>
      <c r="AQ14" s="530">
        <f>Data!U13/AQ$4*100000*AQ$3</f>
        <v>0</v>
      </c>
      <c r="AR14" s="530">
        <f>Data!V13/AR$4*100000*AR$3</f>
        <v>0</v>
      </c>
      <c r="AS14" s="530">
        <f>Data!W13/AS$4*100000*AS$3</f>
        <v>0</v>
      </c>
      <c r="AT14" s="530">
        <f>Data!X13/AT$4*100000*AT$3</f>
        <v>6576.5676893229429</v>
      </c>
      <c r="AU14" s="530">
        <f>Data!Y13/AU$4*100000*AU$3</f>
        <v>11869.788421021396</v>
      </c>
      <c r="AV14" s="530">
        <f>Data!Z13/AV$4*100000*AV$3</f>
        <v>5856.629704825863</v>
      </c>
      <c r="AW14" s="530">
        <f>Data!AA13/AW$4*100000*AW$3</f>
        <v>9056.9045311693371</v>
      </c>
      <c r="AX14" s="530">
        <f>Data!AB13/AX$4*100000*AX$3</f>
        <v>22628.018011902339</v>
      </c>
      <c r="AY14" s="530">
        <f>Data!AC13/AY$4*100000*AY$3</f>
        <v>33096.600703302771</v>
      </c>
      <c r="AZ14" s="530">
        <f>Data!AD13/AZ$4*100000*AZ$3</f>
        <v>27949.616158604756</v>
      </c>
      <c r="BA14" s="530">
        <f>Data!AE13/BA$4*100000*BA$3</f>
        <v>23407.32649319237</v>
      </c>
      <c r="BB14" s="530">
        <f>Data!AF13/BB$4*100000*BB$3</f>
        <v>23050.326546292741</v>
      </c>
      <c r="BC14" s="530">
        <f>Data!AG13/BC$4*100000*BC$3</f>
        <v>15964.240102171138</v>
      </c>
      <c r="BD14" s="530">
        <f>Data!AH13/BD$4*100000*BD$3</f>
        <v>11186.51651875606</v>
      </c>
      <c r="BE14" s="525"/>
      <c r="BF14" s="525"/>
      <c r="BG14" s="525"/>
      <c r="BH14" s="525"/>
      <c r="BI14" s="525"/>
      <c r="BJ14" s="525"/>
      <c r="BK14" s="525"/>
      <c r="BL14" s="525"/>
      <c r="BM14" s="525"/>
      <c r="BN14" s="525"/>
      <c r="BO14" s="525"/>
      <c r="BP14" s="525"/>
      <c r="BQ14" s="525"/>
      <c r="BR14" s="525"/>
      <c r="BS14" s="525"/>
      <c r="BT14" s="525"/>
      <c r="BU14" s="525"/>
      <c r="BV14" s="525"/>
    </row>
    <row r="15" spans="1:74" ht="12" customHeight="1">
      <c r="A15" s="30"/>
      <c r="B15" s="128" t="str">
        <f>UPPER(LEFT(TRIM(Data!B14),1)) &amp; MID(TRIM(Data!B14),2,50)</f>
        <v>Kasos</v>
      </c>
      <c r="C15" s="128" t="str">
        <f>UPPER(LEFT(TRIM(Data!C14),1)) &amp; MID(TRIM(Data!C14),2,50)</f>
        <v>C25</v>
      </c>
      <c r="D15" s="129">
        <f>Data!D14</f>
        <v>243</v>
      </c>
      <c r="E15" s="130">
        <f t="shared" si="0"/>
        <v>17.835608535549746</v>
      </c>
      <c r="F15" s="131">
        <f t="shared" si="4"/>
        <v>15.226624873718457</v>
      </c>
      <c r="G15" s="131">
        <f t="shared" si="1"/>
        <v>10.408241692560837</v>
      </c>
      <c r="H15" s="72"/>
      <c r="I15" s="72"/>
      <c r="J15" s="72"/>
      <c r="K15" s="72"/>
      <c r="L15" s="72"/>
      <c r="M15" s="72"/>
      <c r="N15" s="72"/>
      <c r="O15" s="58"/>
      <c r="P15" s="329"/>
      <c r="Q15" s="536" t="s">
        <v>352</v>
      </c>
      <c r="R15" s="530">
        <f t="shared" si="2"/>
        <v>1522662.4873718456</v>
      </c>
      <c r="S15" s="530">
        <f>Data!Q14/S$4*100000*S$3</f>
        <v>0</v>
      </c>
      <c r="T15" s="530">
        <f>Data!R14/T$4*100000*T$3</f>
        <v>0</v>
      </c>
      <c r="U15" s="530">
        <f>Data!S14/U$4*100000*U$3</f>
        <v>0</v>
      </c>
      <c r="V15" s="530">
        <f>Data!T14/V$4*100000*V$3</f>
        <v>0</v>
      </c>
      <c r="W15" s="530">
        <f>Data!U14/W$4*100000*W$3</f>
        <v>0</v>
      </c>
      <c r="X15" s="530">
        <f>Data!V14/X$4*100000*X$3</f>
        <v>0</v>
      </c>
      <c r="Y15" s="530">
        <f>Data!W14/Y$4*100000*Y$3</f>
        <v>23724.792408066431</v>
      </c>
      <c r="Z15" s="530">
        <f>Data!X14/Z$4*100000*Z$3</f>
        <v>0</v>
      </c>
      <c r="AA15" s="530">
        <f>Data!Y14/AA$4*100000*AA$3</f>
        <v>48468.302719170701</v>
      </c>
      <c r="AB15" s="530">
        <f>Data!Z14/AB$4*100000*AB$3</f>
        <v>47829.142589411218</v>
      </c>
      <c r="AC15" s="530">
        <f>Data!AA14/AC$4*100000*AC$3</f>
        <v>177515.32881091902</v>
      </c>
      <c r="AD15" s="530">
        <f>Data!AB14/AD$4*100000*AD$3</f>
        <v>122191.29726427264</v>
      </c>
      <c r="AE15" s="530">
        <f>Data!AC14/AE$4*100000*AE$3</f>
        <v>220644.00468868509</v>
      </c>
      <c r="AF15" s="530">
        <f>Data!AD14/AF$4*100000*AF$3</f>
        <v>260863.08414697772</v>
      </c>
      <c r="AG15" s="530">
        <f>Data!AE14/AG$4*100000*AG$3</f>
        <v>280887.91791830841</v>
      </c>
      <c r="AH15" s="530">
        <f>Data!AF14/AH$4*100000*AH$3</f>
        <v>194647.20194647202</v>
      </c>
      <c r="AI15" s="530">
        <f>Data!AG14/AI$4*100000*AI$3</f>
        <v>63856.96040868455</v>
      </c>
      <c r="AJ15" s="530">
        <f>Data!AH14/AJ$4*100000*AJ$3</f>
        <v>82034.454470877783</v>
      </c>
      <c r="AK15" s="536" t="s">
        <v>352</v>
      </c>
      <c r="AL15" s="530">
        <f t="shared" si="3"/>
        <v>1040824.1692560838</v>
      </c>
      <c r="AM15" s="530">
        <f>Data!Q14/AM$4*100000*AM$3</f>
        <v>0</v>
      </c>
      <c r="AN15" s="530">
        <f>Data!R14/AN$4*100000*AN$3</f>
        <v>0</v>
      </c>
      <c r="AO15" s="530">
        <f>Data!S14/AO$4*100000*AO$3</f>
        <v>0</v>
      </c>
      <c r="AP15" s="530">
        <f>Data!T14/AP$4*100000*AP$3</f>
        <v>0</v>
      </c>
      <c r="AQ15" s="530">
        <f>Data!U14/AQ$4*100000*AQ$3</f>
        <v>0</v>
      </c>
      <c r="AR15" s="530">
        <f>Data!V14/AR$4*100000*AR$3</f>
        <v>0</v>
      </c>
      <c r="AS15" s="530">
        <f>Data!W14/AS$4*100000*AS$3</f>
        <v>20335.536349771224</v>
      </c>
      <c r="AT15" s="530">
        <f>Data!X14/AT$4*100000*AT$3</f>
        <v>0</v>
      </c>
      <c r="AU15" s="530">
        <f>Data!Y14/AU$4*100000*AU$3</f>
        <v>41544.259473574886</v>
      </c>
      <c r="AV15" s="530">
        <f>Data!Z14/AV$4*100000*AV$3</f>
        <v>40996.40793378104</v>
      </c>
      <c r="AW15" s="530">
        <f>Data!AA14/AW$4*100000*AW$3</f>
        <v>126796.66343637071</v>
      </c>
      <c r="AX15" s="530">
        <f>Data!AB14/AX$4*100000*AX$3</f>
        <v>81460.864842848416</v>
      </c>
      <c r="AY15" s="530">
        <f>Data!AC14/AY$4*100000*AY$3</f>
        <v>176515.20375094807</v>
      </c>
      <c r="AZ15" s="530">
        <f>Data!AD14/AZ$4*100000*AZ$3</f>
        <v>195647.31311023328</v>
      </c>
      <c r="BA15" s="530">
        <f>Data!AE14/BA$4*100000*BA$3</f>
        <v>187258.61194553896</v>
      </c>
      <c r="BB15" s="530">
        <f>Data!AF14/BB$4*100000*BB$3</f>
        <v>97323.600973236011</v>
      </c>
      <c r="BC15" s="530">
        <f>Data!AG14/BC$4*100000*BC$3</f>
        <v>31928.480204342275</v>
      </c>
      <c r="BD15" s="530">
        <f>Data!AH14/BD$4*100000*BD$3</f>
        <v>41017.227235438892</v>
      </c>
      <c r="BE15" s="525"/>
      <c r="BF15" s="525"/>
      <c r="BG15" s="525"/>
      <c r="BH15" s="525"/>
      <c r="BI15" s="525"/>
      <c r="BJ15" s="525"/>
      <c r="BK15" s="525"/>
      <c r="BL15" s="525"/>
      <c r="BM15" s="525"/>
      <c r="BN15" s="525"/>
      <c r="BO15" s="525"/>
      <c r="BP15" s="525"/>
      <c r="BQ15" s="525"/>
      <c r="BR15" s="525"/>
      <c r="BS15" s="525"/>
      <c r="BT15" s="525"/>
      <c r="BU15" s="525"/>
      <c r="BV15" s="525"/>
    </row>
    <row r="16" spans="1:74" ht="12" customHeight="1">
      <c r="A16" s="30"/>
      <c r="B16" s="123" t="str">
        <f>UPPER(LEFT(TRIM(Data!B15),1)) &amp; MID(TRIM(Data!B15),2,50)</f>
        <v>Kitų virškinimo sistemos organų</v>
      </c>
      <c r="C16" s="123" t="str">
        <f>UPPER(LEFT(TRIM(Data!C15),1)) &amp; MID(TRIM(Data!C15),2,50)</f>
        <v>C17, C26, C48</v>
      </c>
      <c r="D16" s="124">
        <f>Data!D15</f>
        <v>30</v>
      </c>
      <c r="E16" s="125">
        <f t="shared" si="0"/>
        <v>2.2019269796974994</v>
      </c>
      <c r="F16" s="126">
        <f t="shared" si="4"/>
        <v>1.9030973017241035</v>
      </c>
      <c r="G16" s="127">
        <f t="shared" si="1"/>
        <v>1.3343243094054553</v>
      </c>
      <c r="H16" s="72"/>
      <c r="I16" s="72"/>
      <c r="J16" s="72"/>
      <c r="K16" s="72"/>
      <c r="L16" s="72"/>
      <c r="M16" s="72"/>
      <c r="N16" s="72"/>
      <c r="O16" s="58"/>
      <c r="P16" s="329"/>
      <c r="Q16" s="536" t="s">
        <v>352</v>
      </c>
      <c r="R16" s="530">
        <f t="shared" si="2"/>
        <v>190309.73017241035</v>
      </c>
      <c r="S16" s="530">
        <f>Data!Q15/S$4*100000*S$3</f>
        <v>0</v>
      </c>
      <c r="T16" s="530">
        <f>Data!R15/T$4*100000*T$3</f>
        <v>10144.339458582112</v>
      </c>
      <c r="U16" s="530">
        <f>Data!S15/U$4*100000*U$3</f>
        <v>0</v>
      </c>
      <c r="V16" s="530">
        <f>Data!T15/V$4*100000*V$3</f>
        <v>0</v>
      </c>
      <c r="W16" s="530">
        <f>Data!U15/W$4*100000*W$3</f>
        <v>0</v>
      </c>
      <c r="X16" s="530">
        <f>Data!V15/X$4*100000*X$3</f>
        <v>0</v>
      </c>
      <c r="Y16" s="530">
        <f>Data!W15/Y$4*100000*Y$3</f>
        <v>0</v>
      </c>
      <c r="Z16" s="530">
        <f>Data!X15/Z$4*100000*Z$3</f>
        <v>7672.6623042101</v>
      </c>
      <c r="AA16" s="530">
        <f>Data!Y15/AA$4*100000*AA$3</f>
        <v>6924.0432455958144</v>
      </c>
      <c r="AB16" s="530">
        <f>Data!Z15/AB$4*100000*AB$3</f>
        <v>13665.469311260347</v>
      </c>
      <c r="AC16" s="530">
        <f>Data!AA15/AC$4*100000*AC$3</f>
        <v>12679.666343637073</v>
      </c>
      <c r="AD16" s="530">
        <f>Data!AB15/AD$4*100000*AD$3</f>
        <v>20365.216210712104</v>
      </c>
      <c r="AE16" s="530">
        <f>Data!AC15/AE$4*100000*AE$3</f>
        <v>13790.250293042818</v>
      </c>
      <c r="AF16" s="530">
        <f>Data!AD15/AF$4*100000*AF$3</f>
        <v>22359.692926883807</v>
      </c>
      <c r="AG16" s="530">
        <f>Data!AE15/AG$4*100000*AG$3</f>
        <v>17555.494869894275</v>
      </c>
      <c r="AH16" s="530">
        <f>Data!AF15/AH$4*100000*AH$3</f>
        <v>15366.884364195161</v>
      </c>
      <c r="AI16" s="530">
        <f>Data!AG15/AI$4*100000*AI$3</f>
        <v>19955.300127713923</v>
      </c>
      <c r="AJ16" s="530">
        <f>Data!AH15/AJ$4*100000*AJ$3</f>
        <v>29830.710716682825</v>
      </c>
      <c r="AK16" s="536" t="s">
        <v>352</v>
      </c>
      <c r="AL16" s="530">
        <f t="shared" si="3"/>
        <v>133432.43094054554</v>
      </c>
      <c r="AM16" s="530">
        <f>Data!Q15/AM$4*100000*AM$3</f>
        <v>0</v>
      </c>
      <c r="AN16" s="530">
        <f>Data!R15/AN$4*100000*AN$3</f>
        <v>14491.91351226016</v>
      </c>
      <c r="AO16" s="530">
        <f>Data!S15/AO$4*100000*AO$3</f>
        <v>0</v>
      </c>
      <c r="AP16" s="530">
        <f>Data!T15/AP$4*100000*AP$3</f>
        <v>0</v>
      </c>
      <c r="AQ16" s="530">
        <f>Data!U15/AQ$4*100000*AQ$3</f>
        <v>0</v>
      </c>
      <c r="AR16" s="530">
        <f>Data!V15/AR$4*100000*AR$3</f>
        <v>0</v>
      </c>
      <c r="AS16" s="530">
        <f>Data!W15/AS$4*100000*AS$3</f>
        <v>0</v>
      </c>
      <c r="AT16" s="530">
        <f>Data!X15/AT$4*100000*AT$3</f>
        <v>6576.5676893229429</v>
      </c>
      <c r="AU16" s="530">
        <f>Data!Y15/AU$4*100000*AU$3</f>
        <v>5934.894210510698</v>
      </c>
      <c r="AV16" s="530">
        <f>Data!Z15/AV$4*100000*AV$3</f>
        <v>11713.259409651726</v>
      </c>
      <c r="AW16" s="530">
        <f>Data!AA15/AW$4*100000*AW$3</f>
        <v>9056.9045311693371</v>
      </c>
      <c r="AX16" s="530">
        <f>Data!AB15/AX$4*100000*AX$3</f>
        <v>13576.810807141403</v>
      </c>
      <c r="AY16" s="530">
        <f>Data!AC15/AY$4*100000*AY$3</f>
        <v>11032.200234434255</v>
      </c>
      <c r="AZ16" s="530">
        <f>Data!AD15/AZ$4*100000*AZ$3</f>
        <v>16769.769695162853</v>
      </c>
      <c r="BA16" s="530">
        <f>Data!AE15/BA$4*100000*BA$3</f>
        <v>11703.663246596185</v>
      </c>
      <c r="BB16" s="530">
        <f>Data!AF15/BB$4*100000*BB$3</f>
        <v>7683.4421820975804</v>
      </c>
      <c r="BC16" s="530">
        <f>Data!AG15/BC$4*100000*BC$3</f>
        <v>9977.6500638569614</v>
      </c>
      <c r="BD16" s="530">
        <f>Data!AH15/BD$4*100000*BD$3</f>
        <v>14915.355358341412</v>
      </c>
      <c r="BE16" s="525"/>
      <c r="BF16" s="525"/>
      <c r="BG16" s="525"/>
      <c r="BH16" s="525"/>
      <c r="BI16" s="525"/>
      <c r="BJ16" s="525"/>
      <c r="BK16" s="525"/>
      <c r="BL16" s="525"/>
      <c r="BM16" s="525"/>
      <c r="BN16" s="525"/>
      <c r="BO16" s="525"/>
      <c r="BP16" s="525"/>
      <c r="BQ16" s="525"/>
      <c r="BR16" s="525"/>
      <c r="BS16" s="525"/>
      <c r="BT16" s="525"/>
      <c r="BU16" s="525"/>
      <c r="BV16" s="525"/>
    </row>
    <row r="17" spans="1:74" ht="12" customHeight="1">
      <c r="A17" s="30"/>
      <c r="B17" s="128" t="str">
        <f>UPPER(LEFT(TRIM(Data!B16),1)) &amp; MID(TRIM(Data!B16),2,50)</f>
        <v>Nosies ertmės, vid.ausies ir ančių</v>
      </c>
      <c r="C17" s="128" t="str">
        <f>UPPER(LEFT(TRIM(Data!C16),1)) &amp; MID(TRIM(Data!C16),2,50)</f>
        <v>C30, C31</v>
      </c>
      <c r="D17" s="129">
        <f>Data!D16</f>
        <v>19</v>
      </c>
      <c r="E17" s="130">
        <f t="shared" si="0"/>
        <v>1.3945537538084161</v>
      </c>
      <c r="F17" s="131">
        <f t="shared" si="4"/>
        <v>1.2590776662287368</v>
      </c>
      <c r="G17" s="131">
        <f t="shared" si="1"/>
        <v>0.96584760433315342</v>
      </c>
      <c r="H17" s="72"/>
      <c r="I17" s="72"/>
      <c r="J17" s="72"/>
      <c r="K17" s="72"/>
      <c r="L17" s="72"/>
      <c r="M17" s="72"/>
      <c r="N17" s="72"/>
      <c r="O17" s="58"/>
      <c r="P17" s="329"/>
      <c r="Q17" s="536" t="s">
        <v>352</v>
      </c>
      <c r="R17" s="530">
        <f t="shared" si="2"/>
        <v>125907.76662287369</v>
      </c>
      <c r="S17" s="530">
        <f>Data!Q16/S$4*100000*S$3</f>
        <v>0</v>
      </c>
      <c r="T17" s="530">
        <f>Data!R16/T$4*100000*T$3</f>
        <v>0</v>
      </c>
      <c r="U17" s="530">
        <f>Data!S16/U$4*100000*U$3</f>
        <v>0</v>
      </c>
      <c r="V17" s="530">
        <f>Data!T16/V$4*100000*V$3</f>
        <v>0</v>
      </c>
      <c r="W17" s="530">
        <f>Data!U16/W$4*100000*W$3</f>
        <v>6361.1497323773438</v>
      </c>
      <c r="X17" s="530">
        <f>Data!V16/X$4*100000*X$3</f>
        <v>0</v>
      </c>
      <c r="Y17" s="530">
        <f>Data!W16/Y$4*100000*Y$3</f>
        <v>0</v>
      </c>
      <c r="Z17" s="530">
        <f>Data!X16/Z$4*100000*Z$3</f>
        <v>0</v>
      </c>
      <c r="AA17" s="530">
        <f>Data!Y16/AA$4*100000*AA$3</f>
        <v>0</v>
      </c>
      <c r="AB17" s="530">
        <f>Data!Z16/AB$4*100000*AB$3</f>
        <v>34163.673278150862</v>
      </c>
      <c r="AC17" s="530">
        <f>Data!AA16/AC$4*100000*AC$3</f>
        <v>12679.666343637073</v>
      </c>
      <c r="AD17" s="530">
        <f>Data!AB16/AD$4*100000*AD$3</f>
        <v>13576.810807141403</v>
      </c>
      <c r="AE17" s="530">
        <f>Data!AC16/AE$4*100000*AE$3</f>
        <v>6895.1251465214091</v>
      </c>
      <c r="AF17" s="530">
        <f>Data!AD16/AF$4*100000*AF$3</f>
        <v>37266.15487813967</v>
      </c>
      <c r="AG17" s="530">
        <f>Data!AE16/AG$4*100000*AG$3</f>
        <v>5851.8316232980915</v>
      </c>
      <c r="AH17" s="530">
        <f>Data!AF16/AH$4*100000*AH$3</f>
        <v>5122.2947880650527</v>
      </c>
      <c r="AI17" s="530">
        <f>Data!AG16/AI$4*100000*AI$3</f>
        <v>3991.0600255427844</v>
      </c>
      <c r="AJ17" s="530">
        <f>Data!AH16/AJ$4*100000*AJ$3</f>
        <v>0</v>
      </c>
      <c r="AK17" s="536" t="s">
        <v>352</v>
      </c>
      <c r="AL17" s="530">
        <f t="shared" si="3"/>
        <v>96584.760433315343</v>
      </c>
      <c r="AM17" s="530">
        <f>Data!Q16/AM$4*100000*AM$3</f>
        <v>0</v>
      </c>
      <c r="AN17" s="530">
        <f>Data!R16/AN$4*100000*AN$3</f>
        <v>0</v>
      </c>
      <c r="AO17" s="530">
        <f>Data!S16/AO$4*100000*AO$3</f>
        <v>0</v>
      </c>
      <c r="AP17" s="530">
        <f>Data!T16/AP$4*100000*AP$3</f>
        <v>0</v>
      </c>
      <c r="AQ17" s="530">
        <f>Data!U16/AQ$4*100000*AQ$3</f>
        <v>7269.8854084312497</v>
      </c>
      <c r="AR17" s="530">
        <f>Data!V16/AR$4*100000*AR$3</f>
        <v>0</v>
      </c>
      <c r="AS17" s="530">
        <f>Data!W16/AS$4*100000*AS$3</f>
        <v>0</v>
      </c>
      <c r="AT17" s="530">
        <f>Data!X16/AT$4*100000*AT$3</f>
        <v>0</v>
      </c>
      <c r="AU17" s="530">
        <f>Data!Y16/AU$4*100000*AU$3</f>
        <v>0</v>
      </c>
      <c r="AV17" s="530">
        <f>Data!Z16/AV$4*100000*AV$3</f>
        <v>29283.148524129312</v>
      </c>
      <c r="AW17" s="530">
        <f>Data!AA16/AW$4*100000*AW$3</f>
        <v>9056.9045311693371</v>
      </c>
      <c r="AX17" s="530">
        <f>Data!AB16/AX$4*100000*AX$3</f>
        <v>9051.2072047609345</v>
      </c>
      <c r="AY17" s="530">
        <f>Data!AC16/AY$4*100000*AY$3</f>
        <v>5516.1001172171273</v>
      </c>
      <c r="AZ17" s="530">
        <f>Data!AD16/AZ$4*100000*AZ$3</f>
        <v>27949.616158604756</v>
      </c>
      <c r="BA17" s="530">
        <f>Data!AE16/BA$4*100000*BA$3</f>
        <v>3901.2210821987278</v>
      </c>
      <c r="BB17" s="530">
        <f>Data!AF16/BB$4*100000*BB$3</f>
        <v>2561.1473940325263</v>
      </c>
      <c r="BC17" s="530">
        <f>Data!AG16/BC$4*100000*BC$3</f>
        <v>1995.5300127713922</v>
      </c>
      <c r="BD17" s="530">
        <f>Data!AH16/BD$4*100000*BD$3</f>
        <v>0</v>
      </c>
      <c r="BE17" s="525"/>
      <c r="BF17" s="525"/>
      <c r="BG17" s="525"/>
      <c r="BH17" s="525"/>
      <c r="BI17" s="525"/>
      <c r="BJ17" s="525"/>
      <c r="BK17" s="525"/>
      <c r="BL17" s="525"/>
      <c r="BM17" s="525"/>
      <c r="BN17" s="525"/>
      <c r="BO17" s="525"/>
      <c r="BP17" s="525"/>
      <c r="BQ17" s="525"/>
      <c r="BR17" s="525"/>
      <c r="BS17" s="525"/>
      <c r="BT17" s="525"/>
      <c r="BU17" s="525"/>
      <c r="BV17" s="525"/>
    </row>
    <row r="18" spans="1:74" ht="12" customHeight="1">
      <c r="A18" s="30"/>
      <c r="B18" s="123" t="str">
        <f>UPPER(LEFT(TRIM(Data!B17),1)) &amp; MID(TRIM(Data!B17),2,50)</f>
        <v>Gerklų</v>
      </c>
      <c r="C18" s="123" t="str">
        <f>UPPER(LEFT(TRIM(Data!C17),1)) &amp; MID(TRIM(Data!C17),2,50)</f>
        <v>C32</v>
      </c>
      <c r="D18" s="124">
        <f>Data!D17</f>
        <v>151</v>
      </c>
      <c r="E18" s="125">
        <f t="shared" si="0"/>
        <v>11.083032464477412</v>
      </c>
      <c r="F18" s="126">
        <f t="shared" si="4"/>
        <v>9.7826747763536037</v>
      </c>
      <c r="G18" s="127">
        <f t="shared" si="1"/>
        <v>6.9141594411914014</v>
      </c>
      <c r="H18" s="72"/>
      <c r="I18" s="72"/>
      <c r="J18" s="72"/>
      <c r="K18" s="72"/>
      <c r="L18" s="72"/>
      <c r="M18" s="72"/>
      <c r="N18" s="72"/>
      <c r="O18" s="58"/>
      <c r="P18" s="329"/>
      <c r="Q18" s="536" t="s">
        <v>352</v>
      </c>
      <c r="R18" s="530">
        <f t="shared" si="2"/>
        <v>978267.47763536044</v>
      </c>
      <c r="S18" s="530">
        <f>Data!Q17/S$4*100000*S$3</f>
        <v>0</v>
      </c>
      <c r="T18" s="530">
        <f>Data!R17/T$4*100000*T$3</f>
        <v>0</v>
      </c>
      <c r="U18" s="530">
        <f>Data!S17/U$4*100000*U$3</f>
        <v>0</v>
      </c>
      <c r="V18" s="530">
        <f>Data!T17/V$4*100000*V$3</f>
        <v>7478.3128926114268</v>
      </c>
      <c r="W18" s="530">
        <f>Data!U17/W$4*100000*W$3</f>
        <v>0</v>
      </c>
      <c r="X18" s="530">
        <f>Data!V17/X$4*100000*X$3</f>
        <v>0</v>
      </c>
      <c r="Y18" s="530">
        <f>Data!W17/Y$4*100000*Y$3</f>
        <v>0</v>
      </c>
      <c r="Z18" s="530">
        <f>Data!X17/Z$4*100000*Z$3</f>
        <v>0</v>
      </c>
      <c r="AA18" s="530">
        <f>Data!Y17/AA$4*100000*AA$3</f>
        <v>27696.172982383257</v>
      </c>
      <c r="AB18" s="530">
        <f>Data!Z17/AB$4*100000*AB$3</f>
        <v>61494.611900671553</v>
      </c>
      <c r="AC18" s="530">
        <f>Data!AA17/AC$4*100000*AC$3</f>
        <v>69738.1648900039</v>
      </c>
      <c r="AD18" s="530">
        <f>Data!AB17/AD$4*100000*AD$3</f>
        <v>203652.16210712108</v>
      </c>
      <c r="AE18" s="530">
        <f>Data!AC17/AE$4*100000*AE$3</f>
        <v>193063.50410259949</v>
      </c>
      <c r="AF18" s="530">
        <f>Data!AD17/AF$4*100000*AF$3</f>
        <v>149064.61951255868</v>
      </c>
      <c r="AG18" s="530">
        <f>Data!AE17/AG$4*100000*AG$3</f>
        <v>122888.46408925994</v>
      </c>
      <c r="AH18" s="530">
        <f>Data!AF17/AH$4*100000*AH$3</f>
        <v>81956.716609040843</v>
      </c>
      <c r="AI18" s="530">
        <f>Data!AG17/AI$4*100000*AI$3</f>
        <v>23946.360153256705</v>
      </c>
      <c r="AJ18" s="530">
        <f>Data!AH17/AJ$4*100000*AJ$3</f>
        <v>37288.38839585353</v>
      </c>
      <c r="AK18" s="536" t="s">
        <v>352</v>
      </c>
      <c r="AL18" s="530">
        <f t="shared" si="3"/>
        <v>691415.94411914016</v>
      </c>
      <c r="AM18" s="530">
        <f>Data!Q17/AM$4*100000*AM$3</f>
        <v>0</v>
      </c>
      <c r="AN18" s="530">
        <f>Data!R17/AN$4*100000*AN$3</f>
        <v>0</v>
      </c>
      <c r="AO18" s="530">
        <f>Data!S17/AO$4*100000*AO$3</f>
        <v>0</v>
      </c>
      <c r="AP18" s="530">
        <f>Data!T17/AP$4*100000*AP$3</f>
        <v>9614.9737190718351</v>
      </c>
      <c r="AQ18" s="530">
        <f>Data!U17/AQ$4*100000*AQ$3</f>
        <v>0</v>
      </c>
      <c r="AR18" s="530">
        <f>Data!V17/AR$4*100000*AR$3</f>
        <v>0</v>
      </c>
      <c r="AS18" s="530">
        <f>Data!W17/AS$4*100000*AS$3</f>
        <v>0</v>
      </c>
      <c r="AT18" s="530">
        <f>Data!X17/AT$4*100000*AT$3</f>
        <v>0</v>
      </c>
      <c r="AU18" s="530">
        <f>Data!Y17/AU$4*100000*AU$3</f>
        <v>23739.576842042792</v>
      </c>
      <c r="AV18" s="530">
        <f>Data!Z17/AV$4*100000*AV$3</f>
        <v>52709.66734343276</v>
      </c>
      <c r="AW18" s="530">
        <f>Data!AA17/AW$4*100000*AW$3</f>
        <v>49812.974921431356</v>
      </c>
      <c r="AX18" s="530">
        <f>Data!AB17/AX$4*100000*AX$3</f>
        <v>135768.10807141406</v>
      </c>
      <c r="AY18" s="530">
        <f>Data!AC17/AY$4*100000*AY$3</f>
        <v>154450.80328207958</v>
      </c>
      <c r="AZ18" s="530">
        <f>Data!AD17/AZ$4*100000*AZ$3</f>
        <v>111798.46463441903</v>
      </c>
      <c r="BA18" s="530">
        <f>Data!AE17/BA$4*100000*BA$3</f>
        <v>81925.64272617329</v>
      </c>
      <c r="BB18" s="530">
        <f>Data!AF17/BB$4*100000*BB$3</f>
        <v>40978.358304520421</v>
      </c>
      <c r="BC18" s="530">
        <f>Data!AG17/BC$4*100000*BC$3</f>
        <v>11973.180076628352</v>
      </c>
      <c r="BD18" s="530">
        <f>Data!AH17/BD$4*100000*BD$3</f>
        <v>18644.194197926765</v>
      </c>
      <c r="BE18" s="525"/>
      <c r="BF18" s="525"/>
      <c r="BG18" s="525"/>
      <c r="BH18" s="525"/>
      <c r="BI18" s="525"/>
      <c r="BJ18" s="525"/>
      <c r="BK18" s="525"/>
      <c r="BL18" s="525"/>
      <c r="BM18" s="525"/>
      <c r="BN18" s="525"/>
      <c r="BO18" s="525"/>
      <c r="BP18" s="525"/>
      <c r="BQ18" s="525"/>
      <c r="BR18" s="525"/>
      <c r="BS18" s="525"/>
      <c r="BT18" s="525"/>
      <c r="BU18" s="525"/>
      <c r="BV18" s="525"/>
    </row>
    <row r="19" spans="1:74" ht="12" customHeight="1">
      <c r="A19" s="30"/>
      <c r="B19" s="128" t="str">
        <f>UPPER(LEFT(TRIM(Data!B18),1)) &amp; MID(TRIM(Data!B18),2,50)</f>
        <v>Plaučių, trachėjos, bronchų</v>
      </c>
      <c r="C19" s="128" t="str">
        <f>UPPER(LEFT(TRIM(Data!C18),1)) &amp; MID(TRIM(Data!C18),2,50)</f>
        <v>C33, C34</v>
      </c>
      <c r="D19" s="129">
        <f>Data!D18</f>
        <v>1147</v>
      </c>
      <c r="E19" s="130">
        <f t="shared" si="0"/>
        <v>84.187008190434383</v>
      </c>
      <c r="F19" s="131">
        <f t="shared" si="4"/>
        <v>71.864290593763258</v>
      </c>
      <c r="G19" s="131">
        <f t="shared" si="1"/>
        <v>49.132437585332688</v>
      </c>
      <c r="H19" s="72"/>
      <c r="I19" s="72"/>
      <c r="J19" s="72"/>
      <c r="K19" s="72"/>
      <c r="L19" s="72"/>
      <c r="M19" s="72"/>
      <c r="N19" s="72"/>
      <c r="O19" s="58"/>
      <c r="P19" s="329"/>
      <c r="Q19" s="536" t="s">
        <v>352</v>
      </c>
      <c r="R19" s="530">
        <f t="shared" si="2"/>
        <v>7186429.0593763264</v>
      </c>
      <c r="S19" s="530">
        <f>Data!Q18/S$4*100000*S$3</f>
        <v>0</v>
      </c>
      <c r="T19" s="530">
        <f>Data!R18/T$4*100000*T$3</f>
        <v>0</v>
      </c>
      <c r="U19" s="530">
        <f>Data!S18/U$4*100000*U$3</f>
        <v>0</v>
      </c>
      <c r="V19" s="530">
        <f>Data!T18/V$4*100000*V$3</f>
        <v>0</v>
      </c>
      <c r="W19" s="530">
        <f>Data!U18/W$4*100000*W$3</f>
        <v>0</v>
      </c>
      <c r="X19" s="530">
        <f>Data!V18/X$4*100000*X$3</f>
        <v>7035.5294235891261</v>
      </c>
      <c r="Y19" s="530">
        <f>Data!W18/Y$4*100000*Y$3</f>
        <v>0</v>
      </c>
      <c r="Z19" s="530">
        <f>Data!X18/Z$4*100000*Z$3</f>
        <v>30690.6492168404</v>
      </c>
      <c r="AA19" s="530">
        <f>Data!Y18/AA$4*100000*AA$3</f>
        <v>62316.389210362322</v>
      </c>
      <c r="AB19" s="530">
        <f>Data!Z18/AB$4*100000*AB$3</f>
        <v>218647.50898016556</v>
      </c>
      <c r="AC19" s="530">
        <f>Data!AA18/AC$4*100000*AC$3</f>
        <v>469147.65471457172</v>
      </c>
      <c r="AD19" s="530">
        <f>Data!AB18/AD$4*100000*AD$3</f>
        <v>984318.78351775161</v>
      </c>
      <c r="AE19" s="530">
        <f>Data!AC18/AE$4*100000*AE$3</f>
        <v>1351444.5287181963</v>
      </c>
      <c r="AF19" s="530">
        <f>Data!AD18/AF$4*100000*AF$3</f>
        <v>1356488.0375642839</v>
      </c>
      <c r="AG19" s="530">
        <f>Data!AE18/AG$4*100000*AG$3</f>
        <v>1170366.3246596185</v>
      </c>
      <c r="AH19" s="530">
        <f>Data!AF18/AH$4*100000*AH$3</f>
        <v>911768.47227557946</v>
      </c>
      <c r="AI19" s="530">
        <f>Data!AG18/AI$4*100000*AI$3</f>
        <v>363186.46232439333</v>
      </c>
      <c r="AJ19" s="530">
        <f>Data!AH18/AJ$4*100000*AJ$3</f>
        <v>261018.71877097472</v>
      </c>
      <c r="AK19" s="536" t="s">
        <v>352</v>
      </c>
      <c r="AL19" s="530">
        <f t="shared" si="3"/>
        <v>4913243.7585332692</v>
      </c>
      <c r="AM19" s="530">
        <f>Data!Q18/AM$4*100000*AM$3</f>
        <v>0</v>
      </c>
      <c r="AN19" s="530">
        <f>Data!R18/AN$4*100000*AN$3</f>
        <v>0</v>
      </c>
      <c r="AO19" s="530">
        <f>Data!S18/AO$4*100000*AO$3</f>
        <v>0</v>
      </c>
      <c r="AP19" s="530">
        <f>Data!T18/AP$4*100000*AP$3</f>
        <v>0</v>
      </c>
      <c r="AQ19" s="530">
        <f>Data!U18/AQ$4*100000*AQ$3</f>
        <v>0</v>
      </c>
      <c r="AR19" s="530">
        <f>Data!V18/AR$4*100000*AR$3</f>
        <v>8040.6050555304291</v>
      </c>
      <c r="AS19" s="530">
        <f>Data!W18/AS$4*100000*AS$3</f>
        <v>0</v>
      </c>
      <c r="AT19" s="530">
        <f>Data!X18/AT$4*100000*AT$3</f>
        <v>26306.270757291772</v>
      </c>
      <c r="AU19" s="530">
        <f>Data!Y18/AU$4*100000*AU$3</f>
        <v>53414.047894596275</v>
      </c>
      <c r="AV19" s="530">
        <f>Data!Z18/AV$4*100000*AV$3</f>
        <v>187412.15055442762</v>
      </c>
      <c r="AW19" s="530">
        <f>Data!AA18/AW$4*100000*AW$3</f>
        <v>335105.46765326551</v>
      </c>
      <c r="AX19" s="530">
        <f>Data!AB18/AX$4*100000*AX$3</f>
        <v>656212.5223451677</v>
      </c>
      <c r="AY19" s="530">
        <f>Data!AC18/AY$4*100000*AY$3</f>
        <v>1081155.6229745571</v>
      </c>
      <c r="AZ19" s="530">
        <f>Data!AD18/AZ$4*100000*AZ$3</f>
        <v>1017366.028173213</v>
      </c>
      <c r="BA19" s="530">
        <f>Data!AE18/BA$4*100000*BA$3</f>
        <v>780244.21643974562</v>
      </c>
      <c r="BB19" s="530">
        <f>Data!AF18/BB$4*100000*BB$3</f>
        <v>455884.23613778973</v>
      </c>
      <c r="BC19" s="530">
        <f>Data!AG18/BC$4*100000*BC$3</f>
        <v>181593.23116219667</v>
      </c>
      <c r="BD19" s="530">
        <f>Data!AH18/BD$4*100000*BD$3</f>
        <v>130509.35938548736</v>
      </c>
      <c r="BE19" s="525"/>
      <c r="BF19" s="525"/>
      <c r="BG19" s="525"/>
      <c r="BH19" s="525"/>
      <c r="BI19" s="525"/>
      <c r="BJ19" s="525"/>
      <c r="BK19" s="525"/>
      <c r="BL19" s="525"/>
      <c r="BM19" s="525"/>
      <c r="BN19" s="525"/>
      <c r="BO19" s="525"/>
      <c r="BP19" s="525"/>
      <c r="BQ19" s="525"/>
      <c r="BR19" s="525"/>
      <c r="BS19" s="525"/>
      <c r="BT19" s="525"/>
      <c r="BU19" s="525"/>
      <c r="BV19" s="525"/>
    </row>
    <row r="20" spans="1:74" ht="12" customHeight="1">
      <c r="A20" s="30"/>
      <c r="B20" s="123" t="str">
        <f>UPPER(LEFT(TRIM(Data!B19),1)) &amp; MID(TRIM(Data!B19),2,50)</f>
        <v>Kitų kvėpavimo sistemos organų</v>
      </c>
      <c r="C20" s="123" t="str">
        <f>UPPER(LEFT(TRIM(Data!C19),1)) &amp; MID(TRIM(Data!C19),2,50)</f>
        <v>C37-C39</v>
      </c>
      <c r="D20" s="124">
        <f>Data!D19</f>
        <v>8</v>
      </c>
      <c r="E20" s="125">
        <f t="shared" si="0"/>
        <v>0.58718052791933317</v>
      </c>
      <c r="F20" s="126">
        <f t="shared" si="4"/>
        <v>0.48815432340628651</v>
      </c>
      <c r="G20" s="127">
        <f t="shared" si="1"/>
        <v>0.3426617032063935</v>
      </c>
      <c r="H20" s="72"/>
      <c r="I20" s="72"/>
      <c r="J20" s="72"/>
      <c r="K20" s="72"/>
      <c r="L20" s="72"/>
      <c r="M20" s="72"/>
      <c r="N20" s="72"/>
      <c r="O20" s="58"/>
      <c r="P20" s="329"/>
      <c r="Q20" s="536" t="s">
        <v>352</v>
      </c>
      <c r="R20" s="530">
        <f t="shared" si="2"/>
        <v>48815.432340628649</v>
      </c>
      <c r="S20" s="530">
        <f>Data!Q19/S$4*100000*S$3</f>
        <v>0</v>
      </c>
      <c r="T20" s="530">
        <f>Data!R19/T$4*100000*T$3</f>
        <v>0</v>
      </c>
      <c r="U20" s="530">
        <f>Data!S19/U$4*100000*U$3</f>
        <v>0</v>
      </c>
      <c r="V20" s="530">
        <f>Data!T19/V$4*100000*V$3</f>
        <v>0</v>
      </c>
      <c r="W20" s="530">
        <f>Data!U19/W$4*100000*W$3</f>
        <v>0</v>
      </c>
      <c r="X20" s="530">
        <f>Data!V19/X$4*100000*X$3</f>
        <v>0</v>
      </c>
      <c r="Y20" s="530">
        <f>Data!W19/Y$4*100000*Y$3</f>
        <v>0</v>
      </c>
      <c r="Z20" s="530">
        <f>Data!X19/Z$4*100000*Z$3</f>
        <v>0</v>
      </c>
      <c r="AA20" s="530">
        <f>Data!Y19/AA$4*100000*AA$3</f>
        <v>6924.0432455958144</v>
      </c>
      <c r="AB20" s="530">
        <f>Data!Z19/AB$4*100000*AB$3</f>
        <v>6832.7346556301736</v>
      </c>
      <c r="AC20" s="530">
        <f>Data!AA19/AC$4*100000*AC$3</f>
        <v>0</v>
      </c>
      <c r="AD20" s="530">
        <f>Data!AB19/AD$4*100000*AD$3</f>
        <v>6788.4054035707013</v>
      </c>
      <c r="AE20" s="530">
        <f>Data!AC19/AE$4*100000*AE$3</f>
        <v>0</v>
      </c>
      <c r="AF20" s="530">
        <f>Data!AD19/AF$4*100000*AF$3</f>
        <v>7453.2309756279355</v>
      </c>
      <c r="AG20" s="530">
        <f>Data!AE19/AG$4*100000*AG$3</f>
        <v>11703.663246596183</v>
      </c>
      <c r="AH20" s="530">
        <f>Data!AF19/AH$4*100000*AH$3</f>
        <v>5122.2947880650527</v>
      </c>
      <c r="AI20" s="530">
        <f>Data!AG19/AI$4*100000*AI$3</f>
        <v>3991.0600255427844</v>
      </c>
      <c r="AJ20" s="530">
        <f>Data!AH19/AJ$4*100000*AJ$3</f>
        <v>0</v>
      </c>
      <c r="AK20" s="536" t="s">
        <v>352</v>
      </c>
      <c r="AL20" s="530">
        <f t="shared" si="3"/>
        <v>34266.17032063935</v>
      </c>
      <c r="AM20" s="530">
        <f>Data!Q19/AM$4*100000*AM$3</f>
        <v>0</v>
      </c>
      <c r="AN20" s="530">
        <f>Data!R19/AN$4*100000*AN$3</f>
        <v>0</v>
      </c>
      <c r="AO20" s="530">
        <f>Data!S19/AO$4*100000*AO$3</f>
        <v>0</v>
      </c>
      <c r="AP20" s="530">
        <f>Data!T19/AP$4*100000*AP$3</f>
        <v>0</v>
      </c>
      <c r="AQ20" s="530">
        <f>Data!U19/AQ$4*100000*AQ$3</f>
        <v>0</v>
      </c>
      <c r="AR20" s="530">
        <f>Data!V19/AR$4*100000*AR$3</f>
        <v>0</v>
      </c>
      <c r="AS20" s="530">
        <f>Data!W19/AS$4*100000*AS$3</f>
        <v>0</v>
      </c>
      <c r="AT20" s="530">
        <f>Data!X19/AT$4*100000*AT$3</f>
        <v>0</v>
      </c>
      <c r="AU20" s="530">
        <f>Data!Y19/AU$4*100000*AU$3</f>
        <v>5934.894210510698</v>
      </c>
      <c r="AV20" s="530">
        <f>Data!Z19/AV$4*100000*AV$3</f>
        <v>5856.629704825863</v>
      </c>
      <c r="AW20" s="530">
        <f>Data!AA19/AW$4*100000*AW$3</f>
        <v>0</v>
      </c>
      <c r="AX20" s="530">
        <f>Data!AB19/AX$4*100000*AX$3</f>
        <v>4525.6036023804672</v>
      </c>
      <c r="AY20" s="530">
        <f>Data!AC19/AY$4*100000*AY$3</f>
        <v>0</v>
      </c>
      <c r="AZ20" s="530">
        <f>Data!AD19/AZ$4*100000*AZ$3</f>
        <v>5589.9232317209517</v>
      </c>
      <c r="BA20" s="530">
        <f>Data!AE19/BA$4*100000*BA$3</f>
        <v>7802.4421643974556</v>
      </c>
      <c r="BB20" s="530">
        <f>Data!AF19/BB$4*100000*BB$3</f>
        <v>2561.1473940325263</v>
      </c>
      <c r="BC20" s="530">
        <f>Data!AG19/BC$4*100000*BC$3</f>
        <v>1995.5300127713922</v>
      </c>
      <c r="BD20" s="530">
        <f>Data!AH19/BD$4*100000*BD$3</f>
        <v>0</v>
      </c>
      <c r="BE20" s="525"/>
      <c r="BF20" s="525"/>
      <c r="BG20" s="525"/>
      <c r="BH20" s="525"/>
      <c r="BI20" s="525"/>
      <c r="BJ20" s="525"/>
      <c r="BK20" s="525"/>
      <c r="BL20" s="525"/>
      <c r="BM20" s="525"/>
      <c r="BN20" s="525"/>
      <c r="BO20" s="525"/>
      <c r="BP20" s="525"/>
      <c r="BQ20" s="525"/>
      <c r="BR20" s="525"/>
      <c r="BS20" s="525"/>
      <c r="BT20" s="525"/>
      <c r="BU20" s="525"/>
      <c r="BV20" s="525"/>
    </row>
    <row r="21" spans="1:74" ht="12" customHeight="1">
      <c r="A21" s="30"/>
      <c r="B21" s="128" t="str">
        <f>UPPER(LEFT(TRIM(Data!B20),1)) &amp; MID(TRIM(Data!B20),2,50)</f>
        <v>Kaulų ir jungiamojo audinio</v>
      </c>
      <c r="C21" s="128" t="str">
        <f>UPPER(LEFT(TRIM(Data!C20),1)) &amp; MID(TRIM(Data!C20),2,50)</f>
        <v>C40-C41, C45-C47, C49</v>
      </c>
      <c r="D21" s="129">
        <f>Data!D20</f>
        <v>64</v>
      </c>
      <c r="E21" s="130">
        <f t="shared" si="0"/>
        <v>4.6974442233546654</v>
      </c>
      <c r="F21" s="131">
        <f t="shared" si="4"/>
        <v>4.3049070825530062</v>
      </c>
      <c r="G21" s="131">
        <f t="shared" si="1"/>
        <v>3.3832895722629148</v>
      </c>
      <c r="H21" s="72"/>
      <c r="I21" s="72"/>
      <c r="J21" s="72"/>
      <c r="K21" s="72"/>
      <c r="L21" s="72"/>
      <c r="M21" s="72"/>
      <c r="N21" s="72"/>
      <c r="O21" s="58"/>
      <c r="P21" s="329"/>
      <c r="Q21" s="536" t="s">
        <v>352</v>
      </c>
      <c r="R21" s="530">
        <f t="shared" si="2"/>
        <v>430490.70825530059</v>
      </c>
      <c r="S21" s="530">
        <f>Data!Q20/S$4*100000*S$3</f>
        <v>10329.244673983216</v>
      </c>
      <c r="T21" s="530">
        <f>Data!R20/T$4*100000*T$3</f>
        <v>0</v>
      </c>
      <c r="U21" s="530">
        <f>Data!S20/U$4*100000*U$3</f>
        <v>18470.631695603988</v>
      </c>
      <c r="V21" s="530">
        <f>Data!T20/V$4*100000*V$3</f>
        <v>7478.3128926114268</v>
      </c>
      <c r="W21" s="530">
        <f>Data!U20/W$4*100000*W$3</f>
        <v>12722.299464754688</v>
      </c>
      <c r="X21" s="530">
        <f>Data!V20/X$4*100000*X$3</f>
        <v>0</v>
      </c>
      <c r="Y21" s="530">
        <f>Data!W20/Y$4*100000*Y$3</f>
        <v>23724.792408066431</v>
      </c>
      <c r="Z21" s="530">
        <f>Data!X20/Z$4*100000*Z$3</f>
        <v>15345.3246084202</v>
      </c>
      <c r="AA21" s="530">
        <f>Data!Y20/AA$4*100000*AA$3</f>
        <v>27696.172982383257</v>
      </c>
      <c r="AB21" s="530">
        <f>Data!Z20/AB$4*100000*AB$3</f>
        <v>27330.938622520694</v>
      </c>
      <c r="AC21" s="530">
        <f>Data!AA20/AC$4*100000*AC$3</f>
        <v>44378.832202729754</v>
      </c>
      <c r="AD21" s="530">
        <f>Data!AB20/AD$4*100000*AD$3</f>
        <v>6788.4054035707013</v>
      </c>
      <c r="AE21" s="530">
        <f>Data!AC20/AE$4*100000*AE$3</f>
        <v>48265.876025649872</v>
      </c>
      <c r="AF21" s="530">
        <f>Data!AD20/AF$4*100000*AF$3</f>
        <v>74532.309756279341</v>
      </c>
      <c r="AG21" s="530">
        <f>Data!AE20/AG$4*100000*AG$3</f>
        <v>40962.821363086652</v>
      </c>
      <c r="AH21" s="530">
        <f>Data!AF20/AH$4*100000*AH$3</f>
        <v>46100.653092585482</v>
      </c>
      <c r="AI21" s="530">
        <f>Data!AG20/AI$4*100000*AI$3</f>
        <v>3991.0600255427844</v>
      </c>
      <c r="AJ21" s="530">
        <f>Data!AH20/AJ$4*100000*AJ$3</f>
        <v>22373.033037512119</v>
      </c>
      <c r="AK21" s="536" t="s">
        <v>352</v>
      </c>
      <c r="AL21" s="530">
        <f t="shared" si="3"/>
        <v>338328.95722629147</v>
      </c>
      <c r="AM21" s="530">
        <f>Data!Q20/AM$4*100000*AM$3</f>
        <v>15493.867010974822</v>
      </c>
      <c r="AN21" s="530">
        <f>Data!R20/AN$4*100000*AN$3</f>
        <v>0</v>
      </c>
      <c r="AO21" s="530">
        <f>Data!S20/AO$4*100000*AO$3</f>
        <v>23747.955037205127</v>
      </c>
      <c r="AP21" s="530">
        <f>Data!T20/AP$4*100000*AP$3</f>
        <v>9614.9737190718351</v>
      </c>
      <c r="AQ21" s="530">
        <f>Data!U20/AQ$4*100000*AQ$3</f>
        <v>14539.770816862499</v>
      </c>
      <c r="AR21" s="530">
        <f>Data!V20/AR$4*100000*AR$3</f>
        <v>0</v>
      </c>
      <c r="AS21" s="530">
        <f>Data!W20/AS$4*100000*AS$3</f>
        <v>20335.536349771224</v>
      </c>
      <c r="AT21" s="530">
        <f>Data!X20/AT$4*100000*AT$3</f>
        <v>13153.135378645886</v>
      </c>
      <c r="AU21" s="530">
        <f>Data!Y20/AU$4*100000*AU$3</f>
        <v>23739.576842042792</v>
      </c>
      <c r="AV21" s="530">
        <f>Data!Z20/AV$4*100000*AV$3</f>
        <v>23426.518819303452</v>
      </c>
      <c r="AW21" s="530">
        <f>Data!AA20/AW$4*100000*AW$3</f>
        <v>31699.165859092678</v>
      </c>
      <c r="AX21" s="530">
        <f>Data!AB20/AX$4*100000*AX$3</f>
        <v>4525.6036023804672</v>
      </c>
      <c r="AY21" s="530">
        <f>Data!AC20/AY$4*100000*AY$3</f>
        <v>38612.700820519894</v>
      </c>
      <c r="AZ21" s="530">
        <f>Data!AD20/AZ$4*100000*AZ$3</f>
        <v>55899.232317209513</v>
      </c>
      <c r="BA21" s="530">
        <f>Data!AE20/BA$4*100000*BA$3</f>
        <v>27308.547575391098</v>
      </c>
      <c r="BB21" s="530">
        <f>Data!AF20/BB$4*100000*BB$3</f>
        <v>23050.326546292741</v>
      </c>
      <c r="BC21" s="530">
        <f>Data!AG20/BC$4*100000*BC$3</f>
        <v>1995.5300127713922</v>
      </c>
      <c r="BD21" s="530">
        <f>Data!AH20/BD$4*100000*BD$3</f>
        <v>11186.51651875606</v>
      </c>
      <c r="BE21" s="525"/>
      <c r="BF21" s="525"/>
      <c r="BG21" s="525"/>
      <c r="BH21" s="525"/>
      <c r="BI21" s="525"/>
      <c r="BJ21" s="525"/>
      <c r="BK21" s="525"/>
      <c r="BL21" s="525"/>
      <c r="BM21" s="525"/>
      <c r="BN21" s="525"/>
      <c r="BO21" s="525"/>
      <c r="BP21" s="525"/>
      <c r="BQ21" s="525"/>
      <c r="BR21" s="525"/>
      <c r="BS21" s="525"/>
      <c r="BT21" s="525"/>
      <c r="BU21" s="525"/>
      <c r="BV21" s="525"/>
    </row>
    <row r="22" spans="1:74" ht="12" customHeight="1">
      <c r="A22" s="30"/>
      <c r="B22" s="123" t="str">
        <f>UPPER(LEFT(TRIM(Data!B21),1)) &amp; MID(TRIM(Data!B21),2,50)</f>
        <v>Odos melanoma</v>
      </c>
      <c r="C22" s="123" t="str">
        <f>UPPER(LEFT(TRIM(Data!C21),1)) &amp; MID(TRIM(Data!C21),2,50)</f>
        <v>C43</v>
      </c>
      <c r="D22" s="124">
        <f>Data!D21</f>
        <v>124</v>
      </c>
      <c r="E22" s="125">
        <f t="shared" si="0"/>
        <v>9.1012981827496642</v>
      </c>
      <c r="F22" s="126">
        <f t="shared" si="4"/>
        <v>7.9421038271178226</v>
      </c>
      <c r="G22" s="127">
        <f t="shared" si="1"/>
        <v>5.9047817735179837</v>
      </c>
      <c r="H22" s="72"/>
      <c r="I22" s="72"/>
      <c r="J22" s="72"/>
      <c r="K22" s="72"/>
      <c r="L22" s="72"/>
      <c r="M22" s="72"/>
      <c r="N22" s="72"/>
      <c r="O22" s="58"/>
      <c r="P22" s="329"/>
      <c r="Q22" s="536" t="s">
        <v>352</v>
      </c>
      <c r="R22" s="530">
        <f t="shared" si="2"/>
        <v>794210.38271178224</v>
      </c>
      <c r="S22" s="530">
        <f>Data!Q21/S$4*100000*S$3</f>
        <v>0</v>
      </c>
      <c r="T22" s="530">
        <f>Data!R21/T$4*100000*T$3</f>
        <v>0</v>
      </c>
      <c r="U22" s="530">
        <f>Data!S21/U$4*100000*U$3</f>
        <v>9235.3158478019941</v>
      </c>
      <c r="V22" s="530">
        <f>Data!T21/V$4*100000*V$3</f>
        <v>0</v>
      </c>
      <c r="W22" s="530">
        <f>Data!U21/W$4*100000*W$3</f>
        <v>6361.1497323773438</v>
      </c>
      <c r="X22" s="530">
        <f>Data!V21/X$4*100000*X$3</f>
        <v>28142.117694356504</v>
      </c>
      <c r="Y22" s="530">
        <f>Data!W21/Y$4*100000*Y$3</f>
        <v>39541.320680110715</v>
      </c>
      <c r="Z22" s="530">
        <f>Data!X21/Z$4*100000*Z$3</f>
        <v>30690.6492168404</v>
      </c>
      <c r="AA22" s="530">
        <f>Data!Y21/AA$4*100000*AA$3</f>
        <v>69240.432455958144</v>
      </c>
      <c r="AB22" s="530">
        <f>Data!Z21/AB$4*100000*AB$3</f>
        <v>54661.877245041389</v>
      </c>
      <c r="AC22" s="530">
        <f>Data!AA21/AC$4*100000*AC$3</f>
        <v>82417.831233640958</v>
      </c>
      <c r="AD22" s="530">
        <f>Data!AB21/AD$4*100000*AD$3</f>
        <v>74672.459439277722</v>
      </c>
      <c r="AE22" s="530">
        <f>Data!AC21/AE$4*100000*AE$3</f>
        <v>110322.00234434255</v>
      </c>
      <c r="AF22" s="530">
        <f>Data!AD21/AF$4*100000*AF$3</f>
        <v>67079.078780651413</v>
      </c>
      <c r="AG22" s="530">
        <f>Data!AE21/AG$4*100000*AG$3</f>
        <v>87777.474349471377</v>
      </c>
      <c r="AH22" s="530">
        <f>Data!AF21/AH$4*100000*AH$3</f>
        <v>56345.242668715582</v>
      </c>
      <c r="AI22" s="530">
        <f>Data!AG21/AI$4*100000*AI$3</f>
        <v>47892.720306513409</v>
      </c>
      <c r="AJ22" s="530">
        <f>Data!AH21/AJ$4*100000*AJ$3</f>
        <v>29830.710716682825</v>
      </c>
      <c r="AK22" s="536" t="s">
        <v>352</v>
      </c>
      <c r="AL22" s="530">
        <f t="shared" si="3"/>
        <v>590478.1773517984</v>
      </c>
      <c r="AM22" s="530">
        <f>Data!Q21/AM$4*100000*AM$3</f>
        <v>0</v>
      </c>
      <c r="AN22" s="530">
        <f>Data!R21/AN$4*100000*AN$3</f>
        <v>0</v>
      </c>
      <c r="AO22" s="530">
        <f>Data!S21/AO$4*100000*AO$3</f>
        <v>11873.977518602564</v>
      </c>
      <c r="AP22" s="530">
        <f>Data!T21/AP$4*100000*AP$3</f>
        <v>0</v>
      </c>
      <c r="AQ22" s="530">
        <f>Data!U21/AQ$4*100000*AQ$3</f>
        <v>7269.8854084312497</v>
      </c>
      <c r="AR22" s="530">
        <f>Data!V21/AR$4*100000*AR$3</f>
        <v>32162.420222121717</v>
      </c>
      <c r="AS22" s="530">
        <f>Data!W21/AS$4*100000*AS$3</f>
        <v>33892.560582952043</v>
      </c>
      <c r="AT22" s="530">
        <f>Data!X21/AT$4*100000*AT$3</f>
        <v>26306.270757291772</v>
      </c>
      <c r="AU22" s="530">
        <f>Data!Y21/AU$4*100000*AU$3</f>
        <v>59348.942105106973</v>
      </c>
      <c r="AV22" s="530">
        <f>Data!Z21/AV$4*100000*AV$3</f>
        <v>46853.037638606904</v>
      </c>
      <c r="AW22" s="530">
        <f>Data!AA21/AW$4*100000*AW$3</f>
        <v>58869.87945260069</v>
      </c>
      <c r="AX22" s="530">
        <f>Data!AB21/AX$4*100000*AX$3</f>
        <v>49781.639626185148</v>
      </c>
      <c r="AY22" s="530">
        <f>Data!AC21/AY$4*100000*AY$3</f>
        <v>88257.601875474036</v>
      </c>
      <c r="AZ22" s="530">
        <f>Data!AD21/AZ$4*100000*AZ$3</f>
        <v>50309.30908548856</v>
      </c>
      <c r="BA22" s="530">
        <f>Data!AE21/BA$4*100000*BA$3</f>
        <v>58518.316232980913</v>
      </c>
      <c r="BB22" s="530">
        <f>Data!AF21/BB$4*100000*BB$3</f>
        <v>28172.621334357791</v>
      </c>
      <c r="BC22" s="530">
        <f>Data!AG21/BC$4*100000*BC$3</f>
        <v>23946.360153256705</v>
      </c>
      <c r="BD22" s="530">
        <f>Data!AH21/BD$4*100000*BD$3</f>
        <v>14915.355358341412</v>
      </c>
      <c r="BE22" s="525"/>
      <c r="BF22" s="525"/>
      <c r="BG22" s="525"/>
      <c r="BH22" s="525"/>
      <c r="BI22" s="525"/>
      <c r="BJ22" s="525"/>
      <c r="BK22" s="525"/>
      <c r="BL22" s="525"/>
      <c r="BM22" s="525"/>
      <c r="BN22" s="525"/>
      <c r="BO22" s="525"/>
      <c r="BP22" s="525"/>
      <c r="BQ22" s="525"/>
      <c r="BR22" s="525"/>
      <c r="BS22" s="525"/>
      <c r="BT22" s="525"/>
      <c r="BU22" s="525"/>
      <c r="BV22" s="525"/>
    </row>
    <row r="23" spans="1:74" ht="12" customHeight="1">
      <c r="A23" s="30"/>
      <c r="B23" s="128" t="str">
        <f>UPPER(LEFT(TRIM(Data!B22),1)) &amp; MID(TRIM(Data!B22),2,50)</f>
        <v>Kiti odos piktybiniai navikai</v>
      </c>
      <c r="C23" s="128" t="str">
        <f>UPPER(LEFT(TRIM(Data!C22),1)) &amp; MID(TRIM(Data!C22),2,50)</f>
        <v>C44</v>
      </c>
      <c r="D23" s="129">
        <f>Data!D22</f>
        <v>882</v>
      </c>
      <c r="E23" s="130">
        <f t="shared" si="0"/>
        <v>64.736653203106471</v>
      </c>
      <c r="F23" s="131">
        <f t="shared" si="4"/>
        <v>54.081639170834677</v>
      </c>
      <c r="G23" s="131">
        <f t="shared" si="1"/>
        <v>36.023242485258805</v>
      </c>
      <c r="H23" s="72"/>
      <c r="I23" s="72"/>
      <c r="J23" s="72"/>
      <c r="K23" s="72"/>
      <c r="L23" s="72"/>
      <c r="M23" s="72"/>
      <c r="N23" s="72"/>
      <c r="O23" s="58"/>
      <c r="P23" s="329"/>
      <c r="Q23" s="536" t="s">
        <v>352</v>
      </c>
      <c r="R23" s="530">
        <f t="shared" si="2"/>
        <v>5408163.9170834674</v>
      </c>
      <c r="S23" s="530">
        <f>Data!Q22/S$4*100000*S$3</f>
        <v>0</v>
      </c>
      <c r="T23" s="530">
        <f>Data!R22/T$4*100000*T$3</f>
        <v>0</v>
      </c>
      <c r="U23" s="530">
        <f>Data!S22/U$4*100000*U$3</f>
        <v>0</v>
      </c>
      <c r="V23" s="530">
        <f>Data!T22/V$4*100000*V$3</f>
        <v>14956.625785222854</v>
      </c>
      <c r="W23" s="530">
        <f>Data!U22/W$4*100000*W$3</f>
        <v>0</v>
      </c>
      <c r="X23" s="530">
        <f>Data!V22/X$4*100000*X$3</f>
        <v>28142.117694356504</v>
      </c>
      <c r="Y23" s="530">
        <f>Data!W22/Y$4*100000*Y$3</f>
        <v>71174.377224199285</v>
      </c>
      <c r="Z23" s="530">
        <f>Data!X22/Z$4*100000*Z$3</f>
        <v>69053.960737890899</v>
      </c>
      <c r="AA23" s="530">
        <f>Data!Y22/AA$4*100000*AA$3</f>
        <v>138480.86491191629</v>
      </c>
      <c r="AB23" s="530">
        <f>Data!Z22/AB$4*100000*AB$3</f>
        <v>204982.0396689052</v>
      </c>
      <c r="AC23" s="530">
        <f>Data!AA22/AC$4*100000*AC$3</f>
        <v>310651.82541910821</v>
      </c>
      <c r="AD23" s="530">
        <f>Data!AB22/AD$4*100000*AD$3</f>
        <v>475188.37824994914</v>
      </c>
      <c r="AE23" s="530">
        <f>Data!AC22/AE$4*100000*AE$3</f>
        <v>606771.01289388409</v>
      </c>
      <c r="AF23" s="530">
        <f>Data!AD22/AF$4*100000*AF$3</f>
        <v>901840.94805097999</v>
      </c>
      <c r="AG23" s="530">
        <f>Data!AE22/AG$4*100000*AG$3</f>
        <v>854367.41700152145</v>
      </c>
      <c r="AH23" s="530">
        <f>Data!AF22/AH$4*100000*AH$3</f>
        <v>788833.39736201824</v>
      </c>
      <c r="AI23" s="530">
        <f>Data!AG22/AI$4*100000*AI$3</f>
        <v>458971.90293742018</v>
      </c>
      <c r="AJ23" s="530">
        <f>Data!AH22/AJ$4*100000*AJ$3</f>
        <v>484749.04914609587</v>
      </c>
      <c r="AK23" s="536" t="s">
        <v>352</v>
      </c>
      <c r="AL23" s="530">
        <f t="shared" si="3"/>
        <v>3602324.2485258807</v>
      </c>
      <c r="AM23" s="530">
        <f>Data!Q22/AM$4*100000*AM$3</f>
        <v>0</v>
      </c>
      <c r="AN23" s="530">
        <f>Data!R22/AN$4*100000*AN$3</f>
        <v>0</v>
      </c>
      <c r="AO23" s="530">
        <f>Data!S22/AO$4*100000*AO$3</f>
        <v>0</v>
      </c>
      <c r="AP23" s="530">
        <f>Data!T22/AP$4*100000*AP$3</f>
        <v>19229.94743814367</v>
      </c>
      <c r="AQ23" s="530">
        <f>Data!U22/AQ$4*100000*AQ$3</f>
        <v>0</v>
      </c>
      <c r="AR23" s="530">
        <f>Data!V22/AR$4*100000*AR$3</f>
        <v>32162.420222121717</v>
      </c>
      <c r="AS23" s="530">
        <f>Data!W22/AS$4*100000*AS$3</f>
        <v>61006.609049313673</v>
      </c>
      <c r="AT23" s="530">
        <f>Data!X22/AT$4*100000*AT$3</f>
        <v>59189.109203906482</v>
      </c>
      <c r="AU23" s="530">
        <f>Data!Y22/AU$4*100000*AU$3</f>
        <v>118697.88421021395</v>
      </c>
      <c r="AV23" s="530">
        <f>Data!Z22/AV$4*100000*AV$3</f>
        <v>175698.89114477587</v>
      </c>
      <c r="AW23" s="530">
        <f>Data!AA22/AW$4*100000*AW$3</f>
        <v>221894.16101364873</v>
      </c>
      <c r="AX23" s="530">
        <f>Data!AB22/AX$4*100000*AX$3</f>
        <v>316792.25216663274</v>
      </c>
      <c r="AY23" s="530">
        <f>Data!AC22/AY$4*100000*AY$3</f>
        <v>485416.81031510729</v>
      </c>
      <c r="AZ23" s="530">
        <f>Data!AD22/AZ$4*100000*AZ$3</f>
        <v>676380.71103823499</v>
      </c>
      <c r="BA23" s="530">
        <f>Data!AE22/BA$4*100000*BA$3</f>
        <v>569578.27800101426</v>
      </c>
      <c r="BB23" s="530">
        <f>Data!AF22/BB$4*100000*BB$3</f>
        <v>394416.69868100912</v>
      </c>
      <c r="BC23" s="530">
        <f>Data!AG22/BC$4*100000*BC$3</f>
        <v>229485.95146871009</v>
      </c>
      <c r="BD23" s="530">
        <f>Data!AH22/BD$4*100000*BD$3</f>
        <v>242374.52457304794</v>
      </c>
      <c r="BE23" s="525"/>
      <c r="BF23" s="525"/>
      <c r="BG23" s="525"/>
      <c r="BH23" s="525"/>
      <c r="BI23" s="525"/>
      <c r="BJ23" s="525"/>
      <c r="BK23" s="525"/>
      <c r="BL23" s="525"/>
      <c r="BM23" s="525"/>
      <c r="BN23" s="525"/>
      <c r="BO23" s="525"/>
      <c r="BP23" s="525"/>
      <c r="BQ23" s="525"/>
      <c r="BR23" s="525"/>
      <c r="BS23" s="525"/>
      <c r="BT23" s="525"/>
      <c r="BU23" s="525"/>
      <c r="BV23" s="525"/>
    </row>
    <row r="24" spans="1:74" ht="12" customHeight="1">
      <c r="A24" s="30"/>
      <c r="B24" s="123" t="str">
        <f>UPPER(LEFT(TRIM(Data!B23),1)) &amp; MID(TRIM(Data!B23),2,50)</f>
        <v>Krūties</v>
      </c>
      <c r="C24" s="123" t="str">
        <f>UPPER(LEFT(TRIM(Data!C23),1)) &amp; MID(TRIM(Data!C23),2,50)</f>
        <v>C50</v>
      </c>
      <c r="D24" s="124">
        <f>Data!D23</f>
        <v>10</v>
      </c>
      <c r="E24" s="125">
        <f t="shared" si="0"/>
        <v>0.73397565989916647</v>
      </c>
      <c r="F24" s="126">
        <f t="shared" si="4"/>
        <v>0.63393497118749054</v>
      </c>
      <c r="G24" s="127">
        <f t="shared" si="1"/>
        <v>0.42793825381480566</v>
      </c>
      <c r="H24" s="72"/>
      <c r="I24" s="72"/>
      <c r="J24" s="72"/>
      <c r="K24" s="72"/>
      <c r="L24" s="72"/>
      <c r="M24" s="72"/>
      <c r="N24" s="72"/>
      <c r="O24" s="58"/>
      <c r="P24" s="329"/>
      <c r="Q24" s="536" t="s">
        <v>352</v>
      </c>
      <c r="R24" s="530">
        <f t="shared" si="2"/>
        <v>63393.497118749059</v>
      </c>
      <c r="S24" s="530">
        <f>Data!Q23/S$4*100000*S$3</f>
        <v>0</v>
      </c>
      <c r="T24" s="530">
        <f>Data!R23/T$4*100000*T$3</f>
        <v>0</v>
      </c>
      <c r="U24" s="530">
        <f>Data!S23/U$4*100000*U$3</f>
        <v>0</v>
      </c>
      <c r="V24" s="530">
        <f>Data!T23/V$4*100000*V$3</f>
        <v>0</v>
      </c>
      <c r="W24" s="530">
        <f>Data!U23/W$4*100000*W$3</f>
        <v>0</v>
      </c>
      <c r="X24" s="530">
        <f>Data!V23/X$4*100000*X$3</f>
        <v>0</v>
      </c>
      <c r="Y24" s="530">
        <f>Data!W23/Y$4*100000*Y$3</f>
        <v>0</v>
      </c>
      <c r="Z24" s="530">
        <f>Data!X23/Z$4*100000*Z$3</f>
        <v>0</v>
      </c>
      <c r="AA24" s="530">
        <f>Data!Y23/AA$4*100000*AA$3</f>
        <v>0</v>
      </c>
      <c r="AB24" s="530">
        <f>Data!Z23/AB$4*100000*AB$3</f>
        <v>13665.469311260347</v>
      </c>
      <c r="AC24" s="530">
        <f>Data!AA23/AC$4*100000*AC$3</f>
        <v>6339.8331718185364</v>
      </c>
      <c r="AD24" s="530">
        <f>Data!AB23/AD$4*100000*AD$3</f>
        <v>6788.4054035707013</v>
      </c>
      <c r="AE24" s="530">
        <f>Data!AC23/AE$4*100000*AE$3</f>
        <v>0</v>
      </c>
      <c r="AF24" s="530">
        <f>Data!AD23/AF$4*100000*AF$3</f>
        <v>14906.461951255871</v>
      </c>
      <c r="AG24" s="530">
        <f>Data!AE23/AG$4*100000*AG$3</f>
        <v>0</v>
      </c>
      <c r="AH24" s="530">
        <f>Data!AF23/AH$4*100000*AH$3</f>
        <v>10244.589576130105</v>
      </c>
      <c r="AI24" s="530">
        <f>Data!AG23/AI$4*100000*AI$3</f>
        <v>3991.0600255427844</v>
      </c>
      <c r="AJ24" s="530">
        <f>Data!AH23/AJ$4*100000*AJ$3</f>
        <v>7457.6776791707061</v>
      </c>
      <c r="AK24" s="536" t="s">
        <v>352</v>
      </c>
      <c r="AL24" s="530">
        <f t="shared" si="3"/>
        <v>42793.825381480565</v>
      </c>
      <c r="AM24" s="530">
        <f>Data!Q23/AM$4*100000*AM$3</f>
        <v>0</v>
      </c>
      <c r="AN24" s="530">
        <f>Data!R23/AN$4*100000*AN$3</f>
        <v>0</v>
      </c>
      <c r="AO24" s="530">
        <f>Data!S23/AO$4*100000*AO$3</f>
        <v>0</v>
      </c>
      <c r="AP24" s="530">
        <f>Data!T23/AP$4*100000*AP$3</f>
        <v>0</v>
      </c>
      <c r="AQ24" s="530">
        <f>Data!U23/AQ$4*100000*AQ$3</f>
        <v>0</v>
      </c>
      <c r="AR24" s="530">
        <f>Data!V23/AR$4*100000*AR$3</f>
        <v>0</v>
      </c>
      <c r="AS24" s="530">
        <f>Data!W23/AS$4*100000*AS$3</f>
        <v>0</v>
      </c>
      <c r="AT24" s="530">
        <f>Data!X23/AT$4*100000*AT$3</f>
        <v>0</v>
      </c>
      <c r="AU24" s="530">
        <f>Data!Y23/AU$4*100000*AU$3</f>
        <v>0</v>
      </c>
      <c r="AV24" s="530">
        <f>Data!Z23/AV$4*100000*AV$3</f>
        <v>11713.259409651726</v>
      </c>
      <c r="AW24" s="530">
        <f>Data!AA23/AW$4*100000*AW$3</f>
        <v>4528.4522655846686</v>
      </c>
      <c r="AX24" s="530">
        <f>Data!AB23/AX$4*100000*AX$3</f>
        <v>4525.6036023804672</v>
      </c>
      <c r="AY24" s="530">
        <f>Data!AC23/AY$4*100000*AY$3</f>
        <v>0</v>
      </c>
      <c r="AZ24" s="530">
        <f>Data!AD23/AZ$4*100000*AZ$3</f>
        <v>11179.846463441903</v>
      </c>
      <c r="BA24" s="530">
        <f>Data!AE23/BA$4*100000*BA$3</f>
        <v>0</v>
      </c>
      <c r="BB24" s="530">
        <f>Data!AF23/BB$4*100000*BB$3</f>
        <v>5122.2947880650527</v>
      </c>
      <c r="BC24" s="530">
        <f>Data!AG23/BC$4*100000*BC$3</f>
        <v>1995.5300127713922</v>
      </c>
      <c r="BD24" s="530">
        <f>Data!AH23/BD$4*100000*BD$3</f>
        <v>3728.8388395853531</v>
      </c>
      <c r="BE24" s="525"/>
      <c r="BF24" s="525"/>
      <c r="BG24" s="525"/>
      <c r="BH24" s="525"/>
      <c r="BI24" s="525"/>
      <c r="BJ24" s="525"/>
      <c r="BK24" s="525"/>
      <c r="BL24" s="525"/>
      <c r="BM24" s="525"/>
      <c r="BN24" s="525"/>
      <c r="BO24" s="525"/>
      <c r="BP24" s="525"/>
      <c r="BQ24" s="525"/>
      <c r="BR24" s="525"/>
      <c r="BS24" s="525"/>
      <c r="BT24" s="525"/>
      <c r="BU24" s="525"/>
      <c r="BV24" s="525"/>
    </row>
    <row r="25" spans="1:74" ht="12" customHeight="1">
      <c r="A25" s="30"/>
      <c r="B25" s="128" t="str">
        <f>UPPER(LEFT(TRIM(Data!B28),1)) &amp; MID(TRIM(Data!B28),2,50)</f>
        <v>Priešinės liaukos</v>
      </c>
      <c r="C25" s="128" t="str">
        <f>UPPER(LEFT(TRIM(Data!C28),1)) &amp; MID(TRIM(Data!C28),2,50)</f>
        <v>C61</v>
      </c>
      <c r="D25" s="129">
        <f>Data!D28</f>
        <v>3223</v>
      </c>
      <c r="E25" s="130">
        <f t="shared" si="0"/>
        <v>236.56035518550135</v>
      </c>
      <c r="F25" s="131">
        <f t="shared" si="4"/>
        <v>207.30056830553013</v>
      </c>
      <c r="G25" s="131">
        <f t="shared" si="1"/>
        <v>144.3300930705918</v>
      </c>
      <c r="H25" s="72"/>
      <c r="I25" s="72"/>
      <c r="J25" s="72"/>
      <c r="K25" s="72"/>
      <c r="L25" s="72"/>
      <c r="M25" s="72"/>
      <c r="N25" s="72"/>
      <c r="O25" s="56"/>
      <c r="P25" s="329"/>
      <c r="Q25" s="536" t="s">
        <v>352</v>
      </c>
      <c r="R25" s="530">
        <f t="shared" si="2"/>
        <v>20730056.830553014</v>
      </c>
      <c r="S25" s="530">
        <f>Data!Q28/S$4*100000*S$3</f>
        <v>0</v>
      </c>
      <c r="T25" s="530">
        <f>Data!R28/T$4*100000*T$3</f>
        <v>0</v>
      </c>
      <c r="U25" s="530">
        <f>Data!S28/U$4*100000*U$3</f>
        <v>0</v>
      </c>
      <c r="V25" s="530">
        <f>Data!T28/V$4*100000*V$3</f>
        <v>0</v>
      </c>
      <c r="W25" s="530">
        <f>Data!U28/W$4*100000*W$3</f>
        <v>0</v>
      </c>
      <c r="X25" s="530">
        <f>Data!V28/X$4*100000*X$3</f>
        <v>7035.5294235891261</v>
      </c>
      <c r="Y25" s="530">
        <f>Data!W28/Y$4*100000*Y$3</f>
        <v>0</v>
      </c>
      <c r="Z25" s="530">
        <f>Data!X28/Z$4*100000*Z$3</f>
        <v>7672.6623042101</v>
      </c>
      <c r="AA25" s="530">
        <f>Data!Y28/AA$4*100000*AA$3</f>
        <v>62316.389210362322</v>
      </c>
      <c r="AB25" s="530">
        <f>Data!Z28/AB$4*100000*AB$3</f>
        <v>218647.50898016556</v>
      </c>
      <c r="AC25" s="530">
        <f>Data!AA28/AC$4*100000*AC$3</f>
        <v>1876590.6188582869</v>
      </c>
      <c r="AD25" s="530">
        <f>Data!AB28/AD$4*100000*AD$3</f>
        <v>2851130.2694996945</v>
      </c>
      <c r="AE25" s="530">
        <f>Data!AC28/AE$4*100000*AE$3</f>
        <v>4192236.0890850164</v>
      </c>
      <c r="AF25" s="530">
        <f>Data!AD28/AF$4*100000*AF$3</f>
        <v>4695535.5146455988</v>
      </c>
      <c r="AG25" s="530">
        <f>Data!AE28/AG$4*100000*AG$3</f>
        <v>3909023.5243631257</v>
      </c>
      <c r="AH25" s="530">
        <f>Data!AF28/AH$4*100000*AH$3</f>
        <v>1475220.8989627354</v>
      </c>
      <c r="AI25" s="530">
        <f>Data!AG28/AI$4*100000*AI$3</f>
        <v>666507.02426564484</v>
      </c>
      <c r="AJ25" s="530">
        <f>Data!AH28/AJ$4*100000*AJ$3</f>
        <v>768140.80095458275</v>
      </c>
      <c r="AK25" s="536" t="s">
        <v>352</v>
      </c>
      <c r="AL25" s="530">
        <f t="shared" si="3"/>
        <v>14433009.30705918</v>
      </c>
      <c r="AM25" s="530">
        <f>Data!Q28/AM$4*100000*AM$3</f>
        <v>0</v>
      </c>
      <c r="AN25" s="530">
        <f>Data!R28/AN$4*100000*AN$3</f>
        <v>0</v>
      </c>
      <c r="AO25" s="530">
        <f>Data!S28/AO$4*100000*AO$3</f>
        <v>0</v>
      </c>
      <c r="AP25" s="530">
        <f>Data!T28/AP$4*100000*AP$3</f>
        <v>0</v>
      </c>
      <c r="AQ25" s="530">
        <f>Data!U28/AQ$4*100000*AQ$3</f>
        <v>0</v>
      </c>
      <c r="AR25" s="530">
        <f>Data!V28/AR$4*100000*AR$3</f>
        <v>8040.6050555304291</v>
      </c>
      <c r="AS25" s="530">
        <f>Data!W28/AS$4*100000*AS$3</f>
        <v>0</v>
      </c>
      <c r="AT25" s="530">
        <f>Data!X28/AT$4*100000*AT$3</f>
        <v>6576.5676893229429</v>
      </c>
      <c r="AU25" s="530">
        <f>Data!Y28/AU$4*100000*AU$3</f>
        <v>53414.047894596275</v>
      </c>
      <c r="AV25" s="530">
        <f>Data!Z28/AV$4*100000*AV$3</f>
        <v>187412.15055442762</v>
      </c>
      <c r="AW25" s="530">
        <f>Data!AA28/AW$4*100000*AW$3</f>
        <v>1340421.8706130621</v>
      </c>
      <c r="AX25" s="530">
        <f>Data!AB28/AX$4*100000*AX$3</f>
        <v>1900753.5129997963</v>
      </c>
      <c r="AY25" s="530">
        <f>Data!AC28/AY$4*100000*AY$3</f>
        <v>3353788.8712680135</v>
      </c>
      <c r="AZ25" s="530">
        <f>Data!AD28/AZ$4*100000*AZ$3</f>
        <v>3521651.6359841991</v>
      </c>
      <c r="BA25" s="530">
        <f>Data!AE28/BA$4*100000*BA$3</f>
        <v>2606015.6829087506</v>
      </c>
      <c r="BB25" s="530">
        <f>Data!AF28/BB$4*100000*BB$3</f>
        <v>737610.44948136772</v>
      </c>
      <c r="BC25" s="530">
        <f>Data!AG28/BC$4*100000*BC$3</f>
        <v>333253.51213282242</v>
      </c>
      <c r="BD25" s="530">
        <f>Data!AH28/BD$4*100000*BD$3</f>
        <v>384070.40047729138</v>
      </c>
      <c r="BE25" s="525"/>
      <c r="BF25" s="525"/>
      <c r="BG25" s="525"/>
      <c r="BH25" s="525"/>
      <c r="BI25" s="525"/>
      <c r="BJ25" s="525"/>
      <c r="BK25" s="525"/>
      <c r="BL25" s="525"/>
      <c r="BM25" s="525"/>
      <c r="BN25" s="525"/>
      <c r="BO25" s="525"/>
      <c r="BP25" s="525"/>
      <c r="BQ25" s="525"/>
      <c r="BR25" s="525"/>
      <c r="BS25" s="525"/>
      <c r="BT25" s="525"/>
      <c r="BU25" s="525"/>
      <c r="BV25" s="525"/>
    </row>
    <row r="26" spans="1:74" ht="12" customHeight="1">
      <c r="A26" s="30"/>
      <c r="B26" s="123" t="str">
        <f>UPPER(LEFT(TRIM(Data!B29),1)) &amp; MID(TRIM(Data!B29),2,50)</f>
        <v>Sėklidžių</v>
      </c>
      <c r="C26" s="123" t="str">
        <f>UPPER(LEFT(TRIM(Data!C29),1)) &amp; MID(TRIM(Data!C29),2,50)</f>
        <v>C62</v>
      </c>
      <c r="D26" s="124">
        <f>Data!D29</f>
        <v>47</v>
      </c>
      <c r="E26" s="125">
        <f t="shared" si="0"/>
        <v>3.4496856015260819</v>
      </c>
      <c r="F26" s="126">
        <f t="shared" si="4"/>
        <v>3.3467021761977982</v>
      </c>
      <c r="G26" s="127">
        <f t="shared" si="1"/>
        <v>3.1367774806655011</v>
      </c>
      <c r="H26" s="72"/>
      <c r="I26" s="72"/>
      <c r="J26" s="72"/>
      <c r="K26" s="72"/>
      <c r="L26" s="72"/>
      <c r="M26" s="72"/>
      <c r="N26" s="72"/>
      <c r="O26" s="56"/>
      <c r="P26" s="329"/>
      <c r="Q26" s="536" t="s">
        <v>352</v>
      </c>
      <c r="R26" s="530">
        <f t="shared" si="2"/>
        <v>334670.21761977981</v>
      </c>
      <c r="S26" s="530">
        <f>Data!Q29/S$4*100000*S$3</f>
        <v>0</v>
      </c>
      <c r="T26" s="530">
        <f>Data!R29/T$4*100000*T$3</f>
        <v>0</v>
      </c>
      <c r="U26" s="530">
        <f>Data!S29/U$4*100000*U$3</f>
        <v>9235.3158478019941</v>
      </c>
      <c r="V26" s="530">
        <f>Data!T29/V$4*100000*V$3</f>
        <v>7478.3128926114268</v>
      </c>
      <c r="W26" s="530">
        <f>Data!U29/W$4*100000*W$3</f>
        <v>38166.898394264063</v>
      </c>
      <c r="X26" s="530">
        <f>Data!V29/X$4*100000*X$3</f>
        <v>56284.235388713008</v>
      </c>
      <c r="Y26" s="530">
        <f>Data!W29/Y$4*100000*Y$3</f>
        <v>79082.641360221431</v>
      </c>
      <c r="Z26" s="530">
        <f>Data!X29/Z$4*100000*Z$3</f>
        <v>46035.973825260589</v>
      </c>
      <c r="AA26" s="530">
        <f>Data!Y29/AA$4*100000*AA$3</f>
        <v>55392.345964766515</v>
      </c>
      <c r="AB26" s="530">
        <f>Data!Z29/AB$4*100000*AB$3</f>
        <v>0</v>
      </c>
      <c r="AC26" s="530">
        <f>Data!AA29/AC$4*100000*AC$3</f>
        <v>12679.666343637073</v>
      </c>
      <c r="AD26" s="530">
        <f>Data!AB29/AD$4*100000*AD$3</f>
        <v>13576.810807141403</v>
      </c>
      <c r="AE26" s="530">
        <f>Data!AC29/AE$4*100000*AE$3</f>
        <v>6895.1251465214091</v>
      </c>
      <c r="AF26" s="530">
        <f>Data!AD29/AF$4*100000*AF$3</f>
        <v>0</v>
      </c>
      <c r="AG26" s="530">
        <f>Data!AE29/AG$4*100000*AG$3</f>
        <v>5851.8316232980915</v>
      </c>
      <c r="AH26" s="530">
        <f>Data!AF29/AH$4*100000*AH$3</f>
        <v>0</v>
      </c>
      <c r="AI26" s="530">
        <f>Data!AG29/AI$4*100000*AI$3</f>
        <v>3991.0600255427844</v>
      </c>
      <c r="AJ26" s="530">
        <f>Data!AH29/AJ$4*100000*AJ$3</f>
        <v>0</v>
      </c>
      <c r="AK26" s="536" t="s">
        <v>352</v>
      </c>
      <c r="AL26" s="530">
        <f t="shared" si="3"/>
        <v>313677.74806655012</v>
      </c>
      <c r="AM26" s="530">
        <f>Data!Q29/AM$4*100000*AM$3</f>
        <v>0</v>
      </c>
      <c r="AN26" s="530">
        <f>Data!R29/AN$4*100000*AN$3</f>
        <v>0</v>
      </c>
      <c r="AO26" s="530">
        <f>Data!S29/AO$4*100000*AO$3</f>
        <v>11873.977518602564</v>
      </c>
      <c r="AP26" s="530">
        <f>Data!T29/AP$4*100000*AP$3</f>
        <v>9614.9737190718351</v>
      </c>
      <c r="AQ26" s="530">
        <f>Data!U29/AQ$4*100000*AQ$3</f>
        <v>43619.312450587502</v>
      </c>
      <c r="AR26" s="530">
        <f>Data!V29/AR$4*100000*AR$3</f>
        <v>64324.840444243433</v>
      </c>
      <c r="AS26" s="530">
        <f>Data!W29/AS$4*100000*AS$3</f>
        <v>67785.121165904086</v>
      </c>
      <c r="AT26" s="530">
        <f>Data!X29/AT$4*100000*AT$3</f>
        <v>39459.40613593765</v>
      </c>
      <c r="AU26" s="530">
        <f>Data!Y29/AU$4*100000*AU$3</f>
        <v>47479.153684085584</v>
      </c>
      <c r="AV26" s="530">
        <f>Data!Z29/AV$4*100000*AV$3</f>
        <v>0</v>
      </c>
      <c r="AW26" s="530">
        <f>Data!AA29/AW$4*100000*AW$3</f>
        <v>9056.9045311693371</v>
      </c>
      <c r="AX26" s="530">
        <f>Data!AB29/AX$4*100000*AX$3</f>
        <v>9051.2072047609345</v>
      </c>
      <c r="AY26" s="530">
        <f>Data!AC29/AY$4*100000*AY$3</f>
        <v>5516.1001172171273</v>
      </c>
      <c r="AZ26" s="530">
        <f>Data!AD29/AZ$4*100000*AZ$3</f>
        <v>0</v>
      </c>
      <c r="BA26" s="530">
        <f>Data!AE29/BA$4*100000*BA$3</f>
        <v>3901.2210821987278</v>
      </c>
      <c r="BB26" s="530">
        <f>Data!AF29/BB$4*100000*BB$3</f>
        <v>0</v>
      </c>
      <c r="BC26" s="530">
        <f>Data!AG29/BC$4*100000*BC$3</f>
        <v>1995.5300127713922</v>
      </c>
      <c r="BD26" s="530">
        <f>Data!AH29/BD$4*100000*BD$3</f>
        <v>0</v>
      </c>
      <c r="BE26" s="525"/>
      <c r="BF26" s="525"/>
      <c r="BG26" s="525"/>
      <c r="BH26" s="525"/>
      <c r="BI26" s="525"/>
      <c r="BJ26" s="525"/>
      <c r="BK26" s="525"/>
      <c r="BL26" s="525"/>
      <c r="BM26" s="525"/>
      <c r="BN26" s="525"/>
      <c r="BO26" s="525"/>
      <c r="BP26" s="525"/>
      <c r="BQ26" s="525"/>
      <c r="BR26" s="525"/>
      <c r="BS26" s="525"/>
      <c r="BT26" s="525"/>
      <c r="BU26" s="525"/>
      <c r="BV26" s="525"/>
    </row>
    <row r="27" spans="1:74" ht="12" customHeight="1">
      <c r="A27" s="30"/>
      <c r="B27" s="128" t="str">
        <f>UPPER(LEFT(TRIM(Data!B30),1)) &amp; MID(TRIM(Data!B30),2,50)</f>
        <v>Kitų lyties organų</v>
      </c>
      <c r="C27" s="128" t="s">
        <v>416</v>
      </c>
      <c r="D27" s="129">
        <f>Data!D30</f>
        <v>28</v>
      </c>
      <c r="E27" s="130">
        <f t="shared" si="0"/>
        <v>2.0551318477176661</v>
      </c>
      <c r="F27" s="131">
        <f t="shared" si="4"/>
        <v>1.8681507690203705</v>
      </c>
      <c r="G27" s="131">
        <f t="shared" si="1"/>
        <v>1.3970516647888656</v>
      </c>
      <c r="H27" s="72"/>
      <c r="I27" s="72"/>
      <c r="J27" s="72"/>
      <c r="K27" s="72"/>
      <c r="L27" s="72"/>
      <c r="M27" s="72"/>
      <c r="N27" s="72"/>
      <c r="O27" s="56"/>
      <c r="P27" s="329"/>
      <c r="Q27" s="536" t="s">
        <v>352</v>
      </c>
      <c r="R27" s="530">
        <f t="shared" si="2"/>
        <v>186815.07690203705</v>
      </c>
      <c r="S27" s="530">
        <f>Data!Q30/S$4*100000*S$3</f>
        <v>0</v>
      </c>
      <c r="T27" s="530">
        <f>Data!R30/T$4*100000*T$3</f>
        <v>10144.339458582112</v>
      </c>
      <c r="U27" s="530">
        <f>Data!S30/U$4*100000*U$3</f>
        <v>0</v>
      </c>
      <c r="V27" s="530">
        <f>Data!T30/V$4*100000*V$3</f>
        <v>0</v>
      </c>
      <c r="W27" s="530">
        <f>Data!U30/W$4*100000*W$3</f>
        <v>0</v>
      </c>
      <c r="X27" s="530">
        <f>Data!V30/X$4*100000*X$3</f>
        <v>0</v>
      </c>
      <c r="Y27" s="530">
        <f>Data!W30/Y$4*100000*Y$3</f>
        <v>7908.2641360221432</v>
      </c>
      <c r="Z27" s="530">
        <f>Data!X30/Z$4*100000*Z$3</f>
        <v>0</v>
      </c>
      <c r="AA27" s="530">
        <f>Data!Y30/AA$4*100000*AA$3</f>
        <v>20772.129736787443</v>
      </c>
      <c r="AB27" s="530">
        <f>Data!Z30/AB$4*100000*AB$3</f>
        <v>0</v>
      </c>
      <c r="AC27" s="530">
        <f>Data!AA30/AC$4*100000*AC$3</f>
        <v>6339.8331718185364</v>
      </c>
      <c r="AD27" s="530">
        <f>Data!AB30/AD$4*100000*AD$3</f>
        <v>54307.24322856561</v>
      </c>
      <c r="AE27" s="530">
        <f>Data!AC30/AE$4*100000*AE$3</f>
        <v>41370.750879128464</v>
      </c>
      <c r="AF27" s="530">
        <f>Data!AD30/AF$4*100000*AF$3</f>
        <v>7453.2309756279355</v>
      </c>
      <c r="AG27" s="530">
        <f>Data!AE30/AG$4*100000*AG$3</f>
        <v>11703.663246596183</v>
      </c>
      <c r="AH27" s="530">
        <f>Data!AF30/AH$4*100000*AH$3</f>
        <v>15366.884364195161</v>
      </c>
      <c r="AI27" s="530">
        <f>Data!AG30/AI$4*100000*AI$3</f>
        <v>3991.0600255427844</v>
      </c>
      <c r="AJ27" s="530">
        <f>Data!AH30/AJ$4*100000*AJ$3</f>
        <v>7457.6776791707061</v>
      </c>
      <c r="AK27" s="536" t="s">
        <v>352</v>
      </c>
      <c r="AL27" s="530">
        <f t="shared" si="3"/>
        <v>139705.16647888656</v>
      </c>
      <c r="AM27" s="530">
        <f>Data!Q30/AM$4*100000*AM$3</f>
        <v>0</v>
      </c>
      <c r="AN27" s="530">
        <f>Data!R30/AN$4*100000*AN$3</f>
        <v>14491.91351226016</v>
      </c>
      <c r="AO27" s="530">
        <f>Data!S30/AO$4*100000*AO$3</f>
        <v>0</v>
      </c>
      <c r="AP27" s="530">
        <f>Data!T30/AP$4*100000*AP$3</f>
        <v>0</v>
      </c>
      <c r="AQ27" s="530">
        <f>Data!U30/AQ$4*100000*AQ$3</f>
        <v>0</v>
      </c>
      <c r="AR27" s="530">
        <f>Data!V30/AR$4*100000*AR$3</f>
        <v>0</v>
      </c>
      <c r="AS27" s="530">
        <f>Data!W30/AS$4*100000*AS$3</f>
        <v>6778.5121165904084</v>
      </c>
      <c r="AT27" s="530">
        <f>Data!X30/AT$4*100000*AT$3</f>
        <v>0</v>
      </c>
      <c r="AU27" s="530">
        <f>Data!Y30/AU$4*100000*AU$3</f>
        <v>17804.682631532094</v>
      </c>
      <c r="AV27" s="530">
        <f>Data!Z30/AV$4*100000*AV$3</f>
        <v>0</v>
      </c>
      <c r="AW27" s="530">
        <f>Data!AA30/AW$4*100000*AW$3</f>
        <v>4528.4522655846686</v>
      </c>
      <c r="AX27" s="530">
        <f>Data!AB30/AX$4*100000*AX$3</f>
        <v>36204.828819043738</v>
      </c>
      <c r="AY27" s="530">
        <f>Data!AC30/AY$4*100000*AY$3</f>
        <v>33096.600703302771</v>
      </c>
      <c r="AZ27" s="530">
        <f>Data!AD30/AZ$4*100000*AZ$3</f>
        <v>5589.9232317209517</v>
      </c>
      <c r="BA27" s="530">
        <f>Data!AE30/BA$4*100000*BA$3</f>
        <v>7802.4421643974556</v>
      </c>
      <c r="BB27" s="530">
        <f>Data!AF30/BB$4*100000*BB$3</f>
        <v>7683.4421820975804</v>
      </c>
      <c r="BC27" s="530">
        <f>Data!AG30/BC$4*100000*BC$3</f>
        <v>1995.5300127713922</v>
      </c>
      <c r="BD27" s="530">
        <f>Data!AH30/BD$4*100000*BD$3</f>
        <v>3728.8388395853531</v>
      </c>
      <c r="BE27" s="525"/>
      <c r="BF27" s="525"/>
      <c r="BG27" s="525"/>
      <c r="BH27" s="525"/>
      <c r="BI27" s="525"/>
      <c r="BJ27" s="525"/>
      <c r="BK27" s="525"/>
      <c r="BL27" s="525"/>
      <c r="BM27" s="525"/>
      <c r="BN27" s="525"/>
      <c r="BO27" s="525"/>
      <c r="BP27" s="525"/>
      <c r="BQ27" s="525"/>
      <c r="BR27" s="525"/>
      <c r="BS27" s="525"/>
      <c r="BT27" s="525"/>
      <c r="BU27" s="525"/>
      <c r="BV27" s="525"/>
    </row>
    <row r="28" spans="1:74" ht="12" customHeight="1">
      <c r="A28" s="30"/>
      <c r="B28" s="123" t="str">
        <f>UPPER(LEFT(TRIM(Data!B31),1)) &amp; MID(TRIM(Data!B31),2,50)</f>
        <v>Inkstų</v>
      </c>
      <c r="C28" s="123" t="str">
        <f>UPPER(LEFT(TRIM(Data!C31),1)) &amp; MID(TRIM(Data!C31),2,50)</f>
        <v>C64</v>
      </c>
      <c r="D28" s="124">
        <f>Data!D31</f>
        <v>366</v>
      </c>
      <c r="E28" s="125">
        <f t="shared" si="0"/>
        <v>26.86350915230949</v>
      </c>
      <c r="F28" s="126">
        <f t="shared" si="4"/>
        <v>23.135880850128746</v>
      </c>
      <c r="G28" s="127">
        <f t="shared" si="1"/>
        <v>16.323191622185441</v>
      </c>
      <c r="H28" s="72"/>
      <c r="I28" s="72"/>
      <c r="J28" s="72"/>
      <c r="K28" s="72"/>
      <c r="L28" s="72"/>
      <c r="M28" s="72"/>
      <c r="N28" s="72"/>
      <c r="O28" s="56"/>
      <c r="P28" s="329"/>
      <c r="Q28" s="536" t="s">
        <v>352</v>
      </c>
      <c r="R28" s="530">
        <f t="shared" si="2"/>
        <v>2313588.0850128746</v>
      </c>
      <c r="S28" s="530">
        <f>Data!Q31/S$4*100000*S$3</f>
        <v>10329.244673983216</v>
      </c>
      <c r="T28" s="530">
        <f>Data!R31/T$4*100000*T$3</f>
        <v>0</v>
      </c>
      <c r="U28" s="530">
        <f>Data!S31/U$4*100000*U$3</f>
        <v>0</v>
      </c>
      <c r="V28" s="530">
        <f>Data!T31/V$4*100000*V$3</f>
        <v>0</v>
      </c>
      <c r="W28" s="530">
        <f>Data!U31/W$4*100000*W$3</f>
        <v>0</v>
      </c>
      <c r="X28" s="530">
        <f>Data!V31/X$4*100000*X$3</f>
        <v>14071.058847178252</v>
      </c>
      <c r="Y28" s="530">
        <f>Data!W31/Y$4*100000*Y$3</f>
        <v>23724.792408066431</v>
      </c>
      <c r="Z28" s="530">
        <f>Data!X31/Z$4*100000*Z$3</f>
        <v>46035.973825260589</v>
      </c>
      <c r="AA28" s="530">
        <f>Data!Y31/AA$4*100000*AA$3</f>
        <v>90012.562192745565</v>
      </c>
      <c r="AB28" s="530">
        <f>Data!Z31/AB$4*100000*AB$3</f>
        <v>191316.57035764487</v>
      </c>
      <c r="AC28" s="530">
        <f>Data!AA31/AC$4*100000*AC$3</f>
        <v>247253.4937009229</v>
      </c>
      <c r="AD28" s="530">
        <f>Data!AB31/AD$4*100000*AD$3</f>
        <v>291901.43235354015</v>
      </c>
      <c r="AE28" s="530">
        <f>Data!AC31/AE$4*100000*AE$3</f>
        <v>282700.13100737776</v>
      </c>
      <c r="AF28" s="530">
        <f>Data!AD31/AF$4*100000*AF$3</f>
        <v>335395.39390325703</v>
      </c>
      <c r="AG28" s="530">
        <f>Data!AE31/AG$4*100000*AG$3</f>
        <v>362813.56064448174</v>
      </c>
      <c r="AH28" s="530">
        <f>Data!AF31/AH$4*100000*AH$3</f>
        <v>220258.67588679728</v>
      </c>
      <c r="AI28" s="530">
        <f>Data!AG31/AI$4*100000*AI$3</f>
        <v>115740.74074074073</v>
      </c>
      <c r="AJ28" s="530">
        <f>Data!AH31/AJ$4*100000*AJ$3</f>
        <v>82034.454470877783</v>
      </c>
      <c r="AK28" s="536" t="s">
        <v>352</v>
      </c>
      <c r="AL28" s="530">
        <f t="shared" si="3"/>
        <v>1632319.1622185442</v>
      </c>
      <c r="AM28" s="530">
        <f>Data!Q31/AM$4*100000*AM$3</f>
        <v>15493.867010974822</v>
      </c>
      <c r="AN28" s="530">
        <f>Data!R31/AN$4*100000*AN$3</f>
        <v>0</v>
      </c>
      <c r="AO28" s="530">
        <f>Data!S31/AO$4*100000*AO$3</f>
        <v>0</v>
      </c>
      <c r="AP28" s="530">
        <f>Data!T31/AP$4*100000*AP$3</f>
        <v>0</v>
      </c>
      <c r="AQ28" s="530">
        <f>Data!U31/AQ$4*100000*AQ$3</f>
        <v>0</v>
      </c>
      <c r="AR28" s="530">
        <f>Data!V31/AR$4*100000*AR$3</f>
        <v>16081.210111060858</v>
      </c>
      <c r="AS28" s="530">
        <f>Data!W31/AS$4*100000*AS$3</f>
        <v>20335.536349771224</v>
      </c>
      <c r="AT28" s="530">
        <f>Data!X31/AT$4*100000*AT$3</f>
        <v>39459.40613593765</v>
      </c>
      <c r="AU28" s="530">
        <f>Data!Y31/AU$4*100000*AU$3</f>
        <v>77153.62473663906</v>
      </c>
      <c r="AV28" s="530">
        <f>Data!Z31/AV$4*100000*AV$3</f>
        <v>163985.63173512416</v>
      </c>
      <c r="AW28" s="530">
        <f>Data!AA31/AW$4*100000*AW$3</f>
        <v>176609.63835780209</v>
      </c>
      <c r="AX28" s="530">
        <f>Data!AB31/AX$4*100000*AX$3</f>
        <v>194600.9549023601</v>
      </c>
      <c r="AY28" s="530">
        <f>Data!AC31/AY$4*100000*AY$3</f>
        <v>226160.10480590223</v>
      </c>
      <c r="AZ28" s="530">
        <f>Data!AD31/AZ$4*100000*AZ$3</f>
        <v>251546.54542744279</v>
      </c>
      <c r="BA28" s="530">
        <f>Data!AE31/BA$4*100000*BA$3</f>
        <v>241875.70709632116</v>
      </c>
      <c r="BB28" s="530">
        <f>Data!AF31/BB$4*100000*BB$3</f>
        <v>110129.33794339864</v>
      </c>
      <c r="BC28" s="530">
        <f>Data!AG31/BC$4*100000*BC$3</f>
        <v>57870.370370370365</v>
      </c>
      <c r="BD28" s="530">
        <f>Data!AH31/BD$4*100000*BD$3</f>
        <v>41017.227235438892</v>
      </c>
      <c r="BE28" s="525"/>
      <c r="BF28" s="525"/>
      <c r="BG28" s="525"/>
      <c r="BH28" s="525"/>
      <c r="BI28" s="525"/>
      <c r="BJ28" s="525"/>
      <c r="BK28" s="525"/>
      <c r="BL28" s="525"/>
      <c r="BM28" s="525"/>
      <c r="BN28" s="525"/>
      <c r="BO28" s="525"/>
      <c r="BP28" s="525"/>
      <c r="BQ28" s="525"/>
      <c r="BR28" s="525"/>
      <c r="BS28" s="525"/>
      <c r="BT28" s="525"/>
      <c r="BU28" s="525"/>
      <c r="BV28" s="525"/>
    </row>
    <row r="29" spans="1:74" ht="12" customHeight="1">
      <c r="A29" s="30"/>
      <c r="B29" s="128" t="str">
        <f>UPPER(LEFT(TRIM(Data!B32),1)) &amp; MID(TRIM(Data!B32),2,50)</f>
        <v>Šlapimo pūslės</v>
      </c>
      <c r="C29" s="128" t="str">
        <f>UPPER(LEFT(TRIM(Data!C32),1)) &amp; MID(TRIM(Data!C32),2,50)</f>
        <v>C67</v>
      </c>
      <c r="D29" s="129">
        <f>Data!D32</f>
        <v>275</v>
      </c>
      <c r="E29" s="130">
        <f t="shared" si="0"/>
        <v>20.184330647227075</v>
      </c>
      <c r="F29" s="131">
        <f t="shared" si="4"/>
        <v>16.555278825710708</v>
      </c>
      <c r="G29" s="131">
        <f t="shared" si="1"/>
        <v>10.606553348198201</v>
      </c>
      <c r="H29" s="72"/>
      <c r="I29" s="72"/>
      <c r="J29" s="72"/>
      <c r="K29" s="72"/>
      <c r="L29" s="72"/>
      <c r="M29" s="72"/>
      <c r="N29" s="72"/>
      <c r="O29" s="56"/>
      <c r="P29" s="329"/>
      <c r="Q29" s="536" t="s">
        <v>352</v>
      </c>
      <c r="R29" s="530">
        <f t="shared" si="2"/>
        <v>1655527.8825710707</v>
      </c>
      <c r="S29" s="530">
        <f>Data!Q32/S$4*100000*S$3</f>
        <v>0</v>
      </c>
      <c r="T29" s="530">
        <f>Data!R32/T$4*100000*T$3</f>
        <v>0</v>
      </c>
      <c r="U29" s="530">
        <f>Data!S32/U$4*100000*U$3</f>
        <v>0</v>
      </c>
      <c r="V29" s="530">
        <f>Data!T32/V$4*100000*V$3</f>
        <v>0</v>
      </c>
      <c r="W29" s="530">
        <f>Data!U32/W$4*100000*W$3</f>
        <v>0</v>
      </c>
      <c r="X29" s="530">
        <f>Data!V32/X$4*100000*X$3</f>
        <v>7035.5294235891261</v>
      </c>
      <c r="Y29" s="530">
        <f>Data!W32/Y$4*100000*Y$3</f>
        <v>15816.528272044286</v>
      </c>
      <c r="Z29" s="530">
        <f>Data!X32/Z$4*100000*Z$3</f>
        <v>15345.3246084202</v>
      </c>
      <c r="AA29" s="530">
        <f>Data!Y32/AA$4*100000*AA$3</f>
        <v>48468.302719170701</v>
      </c>
      <c r="AB29" s="530">
        <f>Data!Z32/AB$4*100000*AB$3</f>
        <v>20498.20396689052</v>
      </c>
      <c r="AC29" s="530">
        <f>Data!AA32/AC$4*100000*AC$3</f>
        <v>88757.664405459509</v>
      </c>
      <c r="AD29" s="530">
        <f>Data!AB32/AD$4*100000*AD$3</f>
        <v>128979.70266784332</v>
      </c>
      <c r="AE29" s="530">
        <f>Data!AC32/AE$4*100000*AE$3</f>
        <v>144797.62807694959</v>
      </c>
      <c r="AF29" s="530">
        <f>Data!AD32/AF$4*100000*AF$3</f>
        <v>216143.69829321012</v>
      </c>
      <c r="AG29" s="530">
        <f>Data!AE32/AG$4*100000*AG$3</f>
        <v>327702.57090469322</v>
      </c>
      <c r="AH29" s="530">
        <f>Data!AF32/AH$4*100000*AH$3</f>
        <v>327826.86643616337</v>
      </c>
      <c r="AI29" s="530">
        <f>Data!AG32/AI$4*100000*AI$3</f>
        <v>127713.9208173691</v>
      </c>
      <c r="AJ29" s="530">
        <f>Data!AH32/AJ$4*100000*AJ$3</f>
        <v>186441.94197926766</v>
      </c>
      <c r="AK29" s="536" t="s">
        <v>352</v>
      </c>
      <c r="AL29" s="530">
        <f t="shared" si="3"/>
        <v>1060655.33481982</v>
      </c>
      <c r="AM29" s="530">
        <f>Data!Q32/AM$4*100000*AM$3</f>
        <v>0</v>
      </c>
      <c r="AN29" s="530">
        <f>Data!R32/AN$4*100000*AN$3</f>
        <v>0</v>
      </c>
      <c r="AO29" s="530">
        <f>Data!S32/AO$4*100000*AO$3</f>
        <v>0</v>
      </c>
      <c r="AP29" s="530">
        <f>Data!T32/AP$4*100000*AP$3</f>
        <v>0</v>
      </c>
      <c r="AQ29" s="530">
        <f>Data!U32/AQ$4*100000*AQ$3</f>
        <v>0</v>
      </c>
      <c r="AR29" s="530">
        <f>Data!V32/AR$4*100000*AR$3</f>
        <v>8040.6050555304291</v>
      </c>
      <c r="AS29" s="530">
        <f>Data!W32/AS$4*100000*AS$3</f>
        <v>13557.024233180817</v>
      </c>
      <c r="AT29" s="530">
        <f>Data!X32/AT$4*100000*AT$3</f>
        <v>13153.135378645886</v>
      </c>
      <c r="AU29" s="530">
        <f>Data!Y32/AU$4*100000*AU$3</f>
        <v>41544.259473574886</v>
      </c>
      <c r="AV29" s="530">
        <f>Data!Z32/AV$4*100000*AV$3</f>
        <v>17569.889114477592</v>
      </c>
      <c r="AW29" s="530">
        <f>Data!AA32/AW$4*100000*AW$3</f>
        <v>63398.331718185356</v>
      </c>
      <c r="AX29" s="530">
        <f>Data!AB32/AX$4*100000*AX$3</f>
        <v>85986.468445228878</v>
      </c>
      <c r="AY29" s="530">
        <f>Data!AC32/AY$4*100000*AY$3</f>
        <v>115838.10246155968</v>
      </c>
      <c r="AZ29" s="530">
        <f>Data!AD32/AZ$4*100000*AZ$3</f>
        <v>162107.77371990759</v>
      </c>
      <c r="BA29" s="530">
        <f>Data!AE32/BA$4*100000*BA$3</f>
        <v>218468.38060312878</v>
      </c>
      <c r="BB29" s="530">
        <f>Data!AF32/BB$4*100000*BB$3</f>
        <v>163913.43321808169</v>
      </c>
      <c r="BC29" s="530">
        <f>Data!AG32/BC$4*100000*BC$3</f>
        <v>63856.96040868455</v>
      </c>
      <c r="BD29" s="530">
        <f>Data!AH32/BD$4*100000*BD$3</f>
        <v>93220.970989633832</v>
      </c>
      <c r="BE29" s="525"/>
      <c r="BF29" s="525"/>
      <c r="BG29" s="525"/>
      <c r="BH29" s="525"/>
      <c r="BI29" s="525"/>
      <c r="BJ29" s="525"/>
      <c r="BK29" s="525"/>
      <c r="BL29" s="525"/>
      <c r="BM29" s="525"/>
      <c r="BN29" s="525"/>
      <c r="BO29" s="525"/>
      <c r="BP29" s="525"/>
      <c r="BQ29" s="525"/>
      <c r="BR29" s="525"/>
      <c r="BS29" s="525"/>
      <c r="BT29" s="525"/>
      <c r="BU29" s="525"/>
      <c r="BV29" s="525"/>
    </row>
    <row r="30" spans="1:74" ht="12" customHeight="1">
      <c r="A30" s="30"/>
      <c r="B30" s="123" t="str">
        <f>UPPER(LEFT(TRIM(Data!B33),1)) &amp; MID(TRIM(Data!B33),2,50)</f>
        <v>Kitų šlapimą išskiriančių organų</v>
      </c>
      <c r="C30" s="123" t="str">
        <f>UPPER(LEFT(TRIM(Data!C33),1)) &amp; MID(TRIM(Data!C33),2,50)</f>
        <v>C65, C66, C68</v>
      </c>
      <c r="D30" s="124">
        <f>Data!D33</f>
        <v>20</v>
      </c>
      <c r="E30" s="125">
        <f t="shared" si="0"/>
        <v>1.4679513197983329</v>
      </c>
      <c r="F30" s="126">
        <f t="shared" si="4"/>
        <v>1.177294694527169</v>
      </c>
      <c r="G30" s="127">
        <f t="shared" si="1"/>
        <v>0.7908123102932979</v>
      </c>
      <c r="H30" s="72"/>
      <c r="I30" s="72"/>
      <c r="J30" s="72"/>
      <c r="K30" s="72"/>
      <c r="L30" s="72"/>
      <c r="M30" s="72"/>
      <c r="N30" s="72"/>
      <c r="O30" s="56"/>
      <c r="P30" s="329"/>
      <c r="Q30" s="536" t="s">
        <v>352</v>
      </c>
      <c r="R30" s="530">
        <f t="shared" si="2"/>
        <v>117729.46945271689</v>
      </c>
      <c r="S30" s="530">
        <f>Data!Q33/S$4*100000*S$3</f>
        <v>0</v>
      </c>
      <c r="T30" s="530">
        <f>Data!R33/T$4*100000*T$3</f>
        <v>0</v>
      </c>
      <c r="U30" s="530">
        <f>Data!S33/U$4*100000*U$3</f>
        <v>0</v>
      </c>
      <c r="V30" s="530">
        <f>Data!T33/V$4*100000*V$3</f>
        <v>0</v>
      </c>
      <c r="W30" s="530">
        <f>Data!U33/W$4*100000*W$3</f>
        <v>0</v>
      </c>
      <c r="X30" s="530">
        <f>Data!V33/X$4*100000*X$3</f>
        <v>0</v>
      </c>
      <c r="Y30" s="530">
        <f>Data!W33/Y$4*100000*Y$3</f>
        <v>0</v>
      </c>
      <c r="Z30" s="530">
        <f>Data!X33/Z$4*100000*Z$3</f>
        <v>0</v>
      </c>
      <c r="AA30" s="530">
        <f>Data!Y33/AA$4*100000*AA$3</f>
        <v>0</v>
      </c>
      <c r="AB30" s="530">
        <f>Data!Z33/AB$4*100000*AB$3</f>
        <v>6832.7346556301736</v>
      </c>
      <c r="AC30" s="530">
        <f>Data!AA33/AC$4*100000*AC$3</f>
        <v>6339.8331718185364</v>
      </c>
      <c r="AD30" s="530">
        <f>Data!AB33/AD$4*100000*AD$3</f>
        <v>6788.4054035707013</v>
      </c>
      <c r="AE30" s="530">
        <f>Data!AC33/AE$4*100000*AE$3</f>
        <v>6895.1251465214091</v>
      </c>
      <c r="AF30" s="530">
        <f>Data!AD33/AF$4*100000*AF$3</f>
        <v>37266.15487813967</v>
      </c>
      <c r="AG30" s="530">
        <f>Data!AE33/AG$4*100000*AG$3</f>
        <v>23407.326493192366</v>
      </c>
      <c r="AH30" s="530">
        <f>Data!AF33/AH$4*100000*AH$3</f>
        <v>10244.589576130105</v>
      </c>
      <c r="AI30" s="530">
        <f>Data!AG33/AI$4*100000*AI$3</f>
        <v>19955.300127713923</v>
      </c>
      <c r="AJ30" s="530">
        <f>Data!AH33/AJ$4*100000*AJ$3</f>
        <v>0</v>
      </c>
      <c r="AK30" s="536" t="s">
        <v>352</v>
      </c>
      <c r="AL30" s="530">
        <f t="shared" si="3"/>
        <v>79081.231029329792</v>
      </c>
      <c r="AM30" s="530">
        <f>Data!Q33/AM$4*100000*AM$3</f>
        <v>0</v>
      </c>
      <c r="AN30" s="530">
        <f>Data!R33/AN$4*100000*AN$3</f>
        <v>0</v>
      </c>
      <c r="AO30" s="530">
        <f>Data!S33/AO$4*100000*AO$3</f>
        <v>0</v>
      </c>
      <c r="AP30" s="530">
        <f>Data!T33/AP$4*100000*AP$3</f>
        <v>0</v>
      </c>
      <c r="AQ30" s="530">
        <f>Data!U33/AQ$4*100000*AQ$3</f>
        <v>0</v>
      </c>
      <c r="AR30" s="530">
        <f>Data!V33/AR$4*100000*AR$3</f>
        <v>0</v>
      </c>
      <c r="AS30" s="530">
        <f>Data!W33/AS$4*100000*AS$3</f>
        <v>0</v>
      </c>
      <c r="AT30" s="530">
        <f>Data!X33/AT$4*100000*AT$3</f>
        <v>0</v>
      </c>
      <c r="AU30" s="530">
        <f>Data!Y33/AU$4*100000*AU$3</f>
        <v>0</v>
      </c>
      <c r="AV30" s="530">
        <f>Data!Z33/AV$4*100000*AV$3</f>
        <v>5856.629704825863</v>
      </c>
      <c r="AW30" s="530">
        <f>Data!AA33/AW$4*100000*AW$3</f>
        <v>4528.4522655846686</v>
      </c>
      <c r="AX30" s="530">
        <f>Data!AB33/AX$4*100000*AX$3</f>
        <v>4525.6036023804672</v>
      </c>
      <c r="AY30" s="530">
        <f>Data!AC33/AY$4*100000*AY$3</f>
        <v>5516.1001172171273</v>
      </c>
      <c r="AZ30" s="530">
        <f>Data!AD33/AZ$4*100000*AZ$3</f>
        <v>27949.616158604756</v>
      </c>
      <c r="BA30" s="530">
        <f>Data!AE33/BA$4*100000*BA$3</f>
        <v>15604.884328794911</v>
      </c>
      <c r="BB30" s="530">
        <f>Data!AF33/BB$4*100000*BB$3</f>
        <v>5122.2947880650527</v>
      </c>
      <c r="BC30" s="530">
        <f>Data!AG33/BC$4*100000*BC$3</f>
        <v>9977.6500638569614</v>
      </c>
      <c r="BD30" s="530">
        <f>Data!AH33/BD$4*100000*BD$3</f>
        <v>0</v>
      </c>
      <c r="BE30" s="525"/>
      <c r="BF30" s="525"/>
      <c r="BG30" s="525"/>
      <c r="BH30" s="525"/>
      <c r="BI30" s="525"/>
      <c r="BJ30" s="525"/>
      <c r="BK30" s="525"/>
      <c r="BL30" s="525"/>
      <c r="BM30" s="525"/>
      <c r="BN30" s="525"/>
      <c r="BO30" s="525"/>
      <c r="BP30" s="525"/>
      <c r="BQ30" s="525"/>
      <c r="BR30" s="525"/>
      <c r="BS30" s="525"/>
      <c r="BT30" s="525"/>
      <c r="BU30" s="525"/>
      <c r="BV30" s="525"/>
    </row>
    <row r="31" spans="1:74" ht="12" customHeight="1">
      <c r="A31" s="30"/>
      <c r="B31" s="128" t="str">
        <f>UPPER(LEFT(TRIM(Data!B34),1)) &amp; MID(TRIM(Data!B34),2,50)</f>
        <v>Akių</v>
      </c>
      <c r="C31" s="128" t="str">
        <f>UPPER(LEFT(TRIM(Data!C34),1)) &amp; MID(TRIM(Data!C34),2,50)</f>
        <v>C69</v>
      </c>
      <c r="D31" s="129">
        <f>Data!D34</f>
        <v>16</v>
      </c>
      <c r="E31" s="130">
        <f t="shared" si="0"/>
        <v>1.1743610558386663</v>
      </c>
      <c r="F31" s="131">
        <f t="shared" si="4"/>
        <v>1.0366593673910651</v>
      </c>
      <c r="G31" s="131">
        <f t="shared" si="1"/>
        <v>0.82400303773546779</v>
      </c>
      <c r="H31" s="72"/>
      <c r="I31" s="72"/>
      <c r="J31" s="72"/>
      <c r="K31" s="72"/>
      <c r="L31" s="72"/>
      <c r="M31" s="72"/>
      <c r="N31" s="72"/>
      <c r="O31" s="56"/>
      <c r="P31" s="329"/>
      <c r="Q31" s="536" t="s">
        <v>352</v>
      </c>
      <c r="R31" s="530">
        <f t="shared" si="2"/>
        <v>103665.93673910652</v>
      </c>
      <c r="S31" s="530">
        <f>Data!Q34/S$4*100000*S$3</f>
        <v>10329.244673983216</v>
      </c>
      <c r="T31" s="530">
        <f>Data!R34/T$4*100000*T$3</f>
        <v>0</v>
      </c>
      <c r="U31" s="530">
        <f>Data!S34/U$4*100000*U$3</f>
        <v>0</v>
      </c>
      <c r="V31" s="530">
        <f>Data!T34/V$4*100000*V$3</f>
        <v>0</v>
      </c>
      <c r="W31" s="530">
        <f>Data!U34/W$4*100000*W$3</f>
        <v>6361.1497323773438</v>
      </c>
      <c r="X31" s="530">
        <f>Data!V34/X$4*100000*X$3</f>
        <v>0</v>
      </c>
      <c r="Y31" s="530">
        <f>Data!W34/Y$4*100000*Y$3</f>
        <v>0</v>
      </c>
      <c r="Z31" s="530">
        <f>Data!X34/Z$4*100000*Z$3</f>
        <v>0</v>
      </c>
      <c r="AA31" s="530">
        <f>Data!Y34/AA$4*100000*AA$3</f>
        <v>0</v>
      </c>
      <c r="AB31" s="530">
        <f>Data!Z34/AB$4*100000*AB$3</f>
        <v>0</v>
      </c>
      <c r="AC31" s="530">
        <f>Data!AA34/AC$4*100000*AC$3</f>
        <v>6339.8331718185364</v>
      </c>
      <c r="AD31" s="530">
        <f>Data!AB34/AD$4*100000*AD$3</f>
        <v>6788.4054035707013</v>
      </c>
      <c r="AE31" s="530">
        <f>Data!AC34/AE$4*100000*AE$3</f>
        <v>20685.375439564232</v>
      </c>
      <c r="AF31" s="530">
        <f>Data!AD34/AF$4*100000*AF$3</f>
        <v>29812.923902511742</v>
      </c>
      <c r="AG31" s="530">
        <f>Data!AE34/AG$4*100000*AG$3</f>
        <v>0</v>
      </c>
      <c r="AH31" s="530">
        <f>Data!AF34/AH$4*100000*AH$3</f>
        <v>15366.884364195161</v>
      </c>
      <c r="AI31" s="530">
        <f>Data!AG34/AI$4*100000*AI$3</f>
        <v>7982.1200510855688</v>
      </c>
      <c r="AJ31" s="530">
        <f>Data!AH34/AJ$4*100000*AJ$3</f>
        <v>0</v>
      </c>
      <c r="AK31" s="536" t="s">
        <v>352</v>
      </c>
      <c r="AL31" s="530">
        <f t="shared" si="3"/>
        <v>82400.303773546781</v>
      </c>
      <c r="AM31" s="530">
        <f>Data!Q34/AM$4*100000*AM$3</f>
        <v>15493.867010974822</v>
      </c>
      <c r="AN31" s="530">
        <f>Data!R34/AN$4*100000*AN$3</f>
        <v>0</v>
      </c>
      <c r="AO31" s="530">
        <f>Data!S34/AO$4*100000*AO$3</f>
        <v>0</v>
      </c>
      <c r="AP31" s="530">
        <f>Data!T34/AP$4*100000*AP$3</f>
        <v>0</v>
      </c>
      <c r="AQ31" s="530">
        <f>Data!U34/AQ$4*100000*AQ$3</f>
        <v>7269.8854084312497</v>
      </c>
      <c r="AR31" s="530">
        <f>Data!V34/AR$4*100000*AR$3</f>
        <v>0</v>
      </c>
      <c r="AS31" s="530">
        <f>Data!W34/AS$4*100000*AS$3</f>
        <v>0</v>
      </c>
      <c r="AT31" s="530">
        <f>Data!X34/AT$4*100000*AT$3</f>
        <v>0</v>
      </c>
      <c r="AU31" s="530">
        <f>Data!Y34/AU$4*100000*AU$3</f>
        <v>0</v>
      </c>
      <c r="AV31" s="530">
        <f>Data!Z34/AV$4*100000*AV$3</f>
        <v>0</v>
      </c>
      <c r="AW31" s="530">
        <f>Data!AA34/AW$4*100000*AW$3</f>
        <v>4528.4522655846686</v>
      </c>
      <c r="AX31" s="530">
        <f>Data!AB34/AX$4*100000*AX$3</f>
        <v>4525.6036023804672</v>
      </c>
      <c r="AY31" s="530">
        <f>Data!AC34/AY$4*100000*AY$3</f>
        <v>16548.300351651385</v>
      </c>
      <c r="AZ31" s="530">
        <f>Data!AD34/AZ$4*100000*AZ$3</f>
        <v>22359.692926883807</v>
      </c>
      <c r="BA31" s="530">
        <f>Data!AE34/BA$4*100000*BA$3</f>
        <v>0</v>
      </c>
      <c r="BB31" s="530">
        <f>Data!AF34/BB$4*100000*BB$3</f>
        <v>7683.4421820975804</v>
      </c>
      <c r="BC31" s="530">
        <f>Data!AG34/BC$4*100000*BC$3</f>
        <v>3991.0600255427844</v>
      </c>
      <c r="BD31" s="530">
        <f>Data!AH34/BD$4*100000*BD$3</f>
        <v>0</v>
      </c>
      <c r="BE31" s="525"/>
      <c r="BF31" s="525"/>
      <c r="BG31" s="525"/>
      <c r="BH31" s="525"/>
      <c r="BI31" s="525"/>
      <c r="BJ31" s="525"/>
      <c r="BK31" s="525"/>
      <c r="BL31" s="525"/>
      <c r="BM31" s="525"/>
      <c r="BN31" s="525"/>
      <c r="BO31" s="525"/>
      <c r="BP31" s="525"/>
      <c r="BQ31" s="525"/>
      <c r="BR31" s="525"/>
      <c r="BS31" s="525"/>
      <c r="BT31" s="525"/>
      <c r="BU31" s="525"/>
      <c r="BV31" s="525"/>
    </row>
    <row r="32" spans="1:74" ht="12" customHeight="1">
      <c r="A32" s="30"/>
      <c r="B32" s="123" t="str">
        <f>UPPER(LEFT(TRIM(Data!B35),1)) &amp; MID(TRIM(Data!B35),2,50)</f>
        <v>Smegenų</v>
      </c>
      <c r="C32" s="123" t="str">
        <f>UPPER(LEFT(TRIM(Data!C35),1)) &amp; MID(TRIM(Data!C35),2,50)</f>
        <v>C70-C72</v>
      </c>
      <c r="D32" s="124">
        <f>Data!D35</f>
        <v>146</v>
      </c>
      <c r="E32" s="125">
        <f t="shared" si="0"/>
        <v>10.71604463452783</v>
      </c>
      <c r="F32" s="126">
        <f t="shared" si="4"/>
        <v>9.4536086006083497</v>
      </c>
      <c r="G32" s="127">
        <f t="shared" si="1"/>
        <v>7.3434466071117042</v>
      </c>
      <c r="H32" s="72"/>
      <c r="I32" s="72"/>
      <c r="J32" s="72"/>
      <c r="K32" s="72"/>
      <c r="L32" s="72"/>
      <c r="M32" s="72"/>
      <c r="N32" s="72"/>
      <c r="O32" s="56"/>
      <c r="P32" s="329"/>
      <c r="Q32" s="536" t="s">
        <v>352</v>
      </c>
      <c r="R32" s="530">
        <f t="shared" si="2"/>
        <v>945360.86006083502</v>
      </c>
      <c r="S32" s="530">
        <f>Data!Q35/S$4*100000*S$3</f>
        <v>10329.244673983216</v>
      </c>
      <c r="T32" s="530">
        <f>Data!R35/T$4*100000*T$3</f>
        <v>0</v>
      </c>
      <c r="U32" s="530">
        <f>Data!S35/U$4*100000*U$3</f>
        <v>9235.3158478019941</v>
      </c>
      <c r="V32" s="530">
        <f>Data!T35/V$4*100000*V$3</f>
        <v>22434.938677834278</v>
      </c>
      <c r="W32" s="530">
        <f>Data!U35/W$4*100000*W$3</f>
        <v>25444.598929509375</v>
      </c>
      <c r="X32" s="530">
        <f>Data!V35/X$4*100000*X$3</f>
        <v>49248.705965123874</v>
      </c>
      <c r="Y32" s="530">
        <f>Data!W35/Y$4*100000*Y$3</f>
        <v>55357.848952155</v>
      </c>
      <c r="Z32" s="530">
        <f>Data!X35/Z$4*100000*Z$3</f>
        <v>46035.973825260589</v>
      </c>
      <c r="AA32" s="530">
        <f>Data!Y35/AA$4*100000*AA$3</f>
        <v>27696.172982383257</v>
      </c>
      <c r="AB32" s="530">
        <f>Data!Z35/AB$4*100000*AB$3</f>
        <v>68327.346556301723</v>
      </c>
      <c r="AC32" s="530">
        <f>Data!AA35/AC$4*100000*AC$3</f>
        <v>114116.99709273364</v>
      </c>
      <c r="AD32" s="530">
        <f>Data!AB35/AD$4*100000*AD$3</f>
        <v>67884.054035707013</v>
      </c>
      <c r="AE32" s="530">
        <f>Data!AC35/AE$4*100000*AE$3</f>
        <v>75846.376611735512</v>
      </c>
      <c r="AF32" s="530">
        <f>Data!AD35/AF$4*100000*AF$3</f>
        <v>111798.46463441903</v>
      </c>
      <c r="AG32" s="530">
        <f>Data!AE35/AG$4*100000*AG$3</f>
        <v>128740.29571255804</v>
      </c>
      <c r="AH32" s="530">
        <f>Data!AF35/AH$4*100000*AH$3</f>
        <v>66589.832244845675</v>
      </c>
      <c r="AI32" s="530">
        <f>Data!AG35/AI$4*100000*AI$3</f>
        <v>43901.660280970624</v>
      </c>
      <c r="AJ32" s="530">
        <f>Data!AH35/AJ$4*100000*AJ$3</f>
        <v>22373.033037512119</v>
      </c>
      <c r="AK32" s="536" t="s">
        <v>352</v>
      </c>
      <c r="AL32" s="530">
        <f t="shared" si="3"/>
        <v>734344.66071117041</v>
      </c>
      <c r="AM32" s="530">
        <f>Data!Q35/AM$4*100000*AM$3</f>
        <v>15493.867010974822</v>
      </c>
      <c r="AN32" s="530">
        <f>Data!R35/AN$4*100000*AN$3</f>
        <v>0</v>
      </c>
      <c r="AO32" s="530">
        <f>Data!S35/AO$4*100000*AO$3</f>
        <v>11873.977518602564</v>
      </c>
      <c r="AP32" s="530">
        <f>Data!T35/AP$4*100000*AP$3</f>
        <v>28844.9211572155</v>
      </c>
      <c r="AQ32" s="530">
        <f>Data!U35/AQ$4*100000*AQ$3</f>
        <v>29079.541633724999</v>
      </c>
      <c r="AR32" s="530">
        <f>Data!V35/AR$4*100000*AR$3</f>
        <v>56284.235388713001</v>
      </c>
      <c r="AS32" s="530">
        <f>Data!W35/AS$4*100000*AS$3</f>
        <v>47449.584816132854</v>
      </c>
      <c r="AT32" s="530">
        <f>Data!X35/AT$4*100000*AT$3</f>
        <v>39459.40613593765</v>
      </c>
      <c r="AU32" s="530">
        <f>Data!Y35/AU$4*100000*AU$3</f>
        <v>23739.576842042792</v>
      </c>
      <c r="AV32" s="530">
        <f>Data!Z35/AV$4*100000*AV$3</f>
        <v>58566.297048258624</v>
      </c>
      <c r="AW32" s="530">
        <f>Data!AA35/AW$4*100000*AW$3</f>
        <v>81512.140780524031</v>
      </c>
      <c r="AX32" s="530">
        <f>Data!AB35/AX$4*100000*AX$3</f>
        <v>45256.036023804678</v>
      </c>
      <c r="AY32" s="530">
        <f>Data!AC35/AY$4*100000*AY$3</f>
        <v>60677.101289388411</v>
      </c>
      <c r="AZ32" s="530">
        <f>Data!AD35/AZ$4*100000*AZ$3</f>
        <v>83848.848475814259</v>
      </c>
      <c r="BA32" s="530">
        <f>Data!AE35/BA$4*100000*BA$3</f>
        <v>85826.863808372029</v>
      </c>
      <c r="BB32" s="530">
        <f>Data!AF35/BB$4*100000*BB$3</f>
        <v>33294.916122422837</v>
      </c>
      <c r="BC32" s="530">
        <f>Data!AG35/BC$4*100000*BC$3</f>
        <v>21950.830140485312</v>
      </c>
      <c r="BD32" s="530">
        <f>Data!AH35/BD$4*100000*BD$3</f>
        <v>11186.51651875606</v>
      </c>
      <c r="BE32" s="525"/>
      <c r="BF32" s="525"/>
      <c r="BG32" s="525"/>
      <c r="BH32" s="525"/>
      <c r="BI32" s="525"/>
      <c r="BJ32" s="525"/>
      <c r="BK32" s="525"/>
      <c r="BL32" s="525"/>
      <c r="BM32" s="525"/>
      <c r="BN32" s="525"/>
      <c r="BO32" s="525"/>
      <c r="BP32" s="525"/>
      <c r="BQ32" s="525"/>
      <c r="BR32" s="525"/>
      <c r="BS32" s="525"/>
      <c r="BT32" s="525"/>
      <c r="BU32" s="525"/>
      <c r="BV32" s="525"/>
    </row>
    <row r="33" spans="1:74" ht="12" customHeight="1">
      <c r="A33" s="30"/>
      <c r="B33" s="128" t="str">
        <f>UPPER(LEFT(TRIM(Data!B36),1)) &amp; MID(TRIM(Data!B36),2,50)</f>
        <v>Skydliaukės</v>
      </c>
      <c r="C33" s="128" t="str">
        <f>UPPER(LEFT(TRIM(Data!C36),1)) &amp; MID(TRIM(Data!C36),2,50)</f>
        <v>C73</v>
      </c>
      <c r="D33" s="129">
        <f>Data!D36</f>
        <v>57</v>
      </c>
      <c r="E33" s="130">
        <f t="shared" si="0"/>
        <v>4.1836612614252493</v>
      </c>
      <c r="F33" s="131">
        <f t="shared" si="4"/>
        <v>3.8679664436437324</v>
      </c>
      <c r="G33" s="131">
        <f t="shared" si="1"/>
        <v>3.1495596110518598</v>
      </c>
      <c r="H33" s="72"/>
      <c r="I33" s="72"/>
      <c r="J33" s="72"/>
      <c r="K33" s="72"/>
      <c r="L33" s="72"/>
      <c r="M33" s="72"/>
      <c r="N33" s="72"/>
      <c r="O33" s="56"/>
      <c r="P33" s="329"/>
      <c r="Q33" s="536" t="s">
        <v>352</v>
      </c>
      <c r="R33" s="530">
        <f t="shared" si="2"/>
        <v>386796.64436437323</v>
      </c>
      <c r="S33" s="530">
        <f>Data!Q36/S$4*100000*S$3</f>
        <v>0</v>
      </c>
      <c r="T33" s="530">
        <f>Data!R36/T$4*100000*T$3</f>
        <v>0</v>
      </c>
      <c r="U33" s="530">
        <f>Data!S36/U$4*100000*U$3</f>
        <v>9235.3158478019941</v>
      </c>
      <c r="V33" s="530">
        <f>Data!T36/V$4*100000*V$3</f>
        <v>7478.3128926114268</v>
      </c>
      <c r="W33" s="530">
        <f>Data!U36/W$4*100000*W$3</f>
        <v>12722.299464754688</v>
      </c>
      <c r="X33" s="530">
        <f>Data!V36/X$4*100000*X$3</f>
        <v>14071.058847178252</v>
      </c>
      <c r="Y33" s="530">
        <f>Data!W36/Y$4*100000*Y$3</f>
        <v>15816.528272044286</v>
      </c>
      <c r="Z33" s="530">
        <f>Data!X36/Z$4*100000*Z$3</f>
        <v>23017.986912630295</v>
      </c>
      <c r="AA33" s="530">
        <f>Data!Y36/AA$4*100000*AA$3</f>
        <v>48468.302719170701</v>
      </c>
      <c r="AB33" s="530">
        <f>Data!Z36/AB$4*100000*AB$3</f>
        <v>40996.40793378104</v>
      </c>
      <c r="AC33" s="530">
        <f>Data!AA36/AC$4*100000*AC$3</f>
        <v>69738.1648900039</v>
      </c>
      <c r="AD33" s="530">
        <f>Data!AB36/AD$4*100000*AD$3</f>
        <v>40730.432421424208</v>
      </c>
      <c r="AE33" s="530">
        <f>Data!AC36/AE$4*100000*AE$3</f>
        <v>34475.625732607041</v>
      </c>
      <c r="AF33" s="530">
        <f>Data!AD36/AF$4*100000*AF$3</f>
        <v>29812.923902511742</v>
      </c>
      <c r="AG33" s="530">
        <f>Data!AE36/AG$4*100000*AG$3</f>
        <v>35110.989739788551</v>
      </c>
      <c r="AH33" s="530">
        <f>Data!AF36/AH$4*100000*AH$3</f>
        <v>5122.2947880650527</v>
      </c>
      <c r="AI33" s="530">
        <f>Data!AG36/AI$4*100000*AI$3</f>
        <v>0</v>
      </c>
      <c r="AJ33" s="530">
        <f>Data!AH36/AJ$4*100000*AJ$3</f>
        <v>0</v>
      </c>
      <c r="AK33" s="536" t="s">
        <v>352</v>
      </c>
      <c r="AL33" s="530">
        <f t="shared" si="3"/>
        <v>314955.96110518597</v>
      </c>
      <c r="AM33" s="530">
        <f>Data!Q36/AM$4*100000*AM$3</f>
        <v>0</v>
      </c>
      <c r="AN33" s="530">
        <f>Data!R36/AN$4*100000*AN$3</f>
        <v>0</v>
      </c>
      <c r="AO33" s="530">
        <f>Data!S36/AO$4*100000*AO$3</f>
        <v>11873.977518602564</v>
      </c>
      <c r="AP33" s="530">
        <f>Data!T36/AP$4*100000*AP$3</f>
        <v>9614.9737190718351</v>
      </c>
      <c r="AQ33" s="530">
        <f>Data!U36/AQ$4*100000*AQ$3</f>
        <v>14539.770816862499</v>
      </c>
      <c r="AR33" s="530">
        <f>Data!V36/AR$4*100000*AR$3</f>
        <v>16081.210111060858</v>
      </c>
      <c r="AS33" s="530">
        <f>Data!W36/AS$4*100000*AS$3</f>
        <v>13557.024233180817</v>
      </c>
      <c r="AT33" s="530">
        <f>Data!X36/AT$4*100000*AT$3</f>
        <v>19729.703067968825</v>
      </c>
      <c r="AU33" s="530">
        <f>Data!Y36/AU$4*100000*AU$3</f>
        <v>41544.259473574886</v>
      </c>
      <c r="AV33" s="530">
        <f>Data!Z36/AV$4*100000*AV$3</f>
        <v>35139.778228955183</v>
      </c>
      <c r="AW33" s="530">
        <f>Data!AA36/AW$4*100000*AW$3</f>
        <v>49812.974921431356</v>
      </c>
      <c r="AX33" s="530">
        <f>Data!AB36/AX$4*100000*AX$3</f>
        <v>27153.621614282805</v>
      </c>
      <c r="AY33" s="530">
        <f>Data!AC36/AY$4*100000*AY$3</f>
        <v>27580.500586085633</v>
      </c>
      <c r="AZ33" s="530">
        <f>Data!AD36/AZ$4*100000*AZ$3</f>
        <v>22359.692926883807</v>
      </c>
      <c r="BA33" s="530">
        <f>Data!AE36/BA$4*100000*BA$3</f>
        <v>23407.32649319237</v>
      </c>
      <c r="BB33" s="530">
        <f>Data!AF36/BB$4*100000*BB$3</f>
        <v>2561.1473940325263</v>
      </c>
      <c r="BC33" s="530">
        <f>Data!AG36/BC$4*100000*BC$3</f>
        <v>0</v>
      </c>
      <c r="BD33" s="530">
        <f>Data!AH36/BD$4*100000*BD$3</f>
        <v>0</v>
      </c>
      <c r="BE33" s="525"/>
      <c r="BF33" s="525"/>
      <c r="BG33" s="525"/>
      <c r="BH33" s="525"/>
      <c r="BI33" s="525"/>
      <c r="BJ33" s="525"/>
      <c r="BK33" s="525"/>
      <c r="BL33" s="525"/>
      <c r="BM33" s="525"/>
      <c r="BN33" s="525"/>
      <c r="BO33" s="525"/>
      <c r="BP33" s="525"/>
      <c r="BQ33" s="525"/>
      <c r="BR33" s="525"/>
      <c r="BS33" s="525"/>
      <c r="BT33" s="525"/>
      <c r="BU33" s="525"/>
      <c r="BV33" s="525"/>
    </row>
    <row r="34" spans="1:74" ht="12" customHeight="1">
      <c r="A34" s="30"/>
      <c r="B34" s="123" t="str">
        <f>UPPER(LEFT(TRIM(Data!B37),1)) &amp; MID(TRIM(Data!B37),2,50)</f>
        <v>Kitų endokrininių liaukų</v>
      </c>
      <c r="C34" s="123" t="str">
        <f>UPPER(LEFT(TRIM(Data!C37),1)) &amp; MID(TRIM(Data!C37),2,50)</f>
        <v>C74-C75</v>
      </c>
      <c r="D34" s="124">
        <f>Data!D37</f>
        <v>12</v>
      </c>
      <c r="E34" s="125">
        <f t="shared" si="0"/>
        <v>0.88077079187899965</v>
      </c>
      <c r="F34" s="126">
        <f t="shared" si="4"/>
        <v>0.78776479451981107</v>
      </c>
      <c r="G34" s="127">
        <f t="shared" si="1"/>
        <v>0.65368096705327317</v>
      </c>
      <c r="H34" s="72"/>
      <c r="I34" s="72"/>
      <c r="J34" s="72"/>
      <c r="K34" s="72"/>
      <c r="L34" s="72"/>
      <c r="M34" s="72"/>
      <c r="N34" s="72"/>
      <c r="O34" s="56"/>
      <c r="P34" s="329"/>
      <c r="Q34" s="536" t="s">
        <v>352</v>
      </c>
      <c r="R34" s="530">
        <f t="shared" si="2"/>
        <v>78776.479451981111</v>
      </c>
      <c r="S34" s="530">
        <f>Data!Q37/S$4*100000*S$3</f>
        <v>0</v>
      </c>
      <c r="T34" s="530">
        <f>Data!R37/T$4*100000*T$3</f>
        <v>0</v>
      </c>
      <c r="U34" s="530">
        <f>Data!S37/U$4*100000*U$3</f>
        <v>0</v>
      </c>
      <c r="V34" s="530">
        <f>Data!T37/V$4*100000*V$3</f>
        <v>14956.625785222854</v>
      </c>
      <c r="W34" s="530">
        <f>Data!U37/W$4*100000*W$3</f>
        <v>0</v>
      </c>
      <c r="X34" s="530">
        <f>Data!V37/X$4*100000*X$3</f>
        <v>0</v>
      </c>
      <c r="Y34" s="530">
        <f>Data!W37/Y$4*100000*Y$3</f>
        <v>0</v>
      </c>
      <c r="Z34" s="530">
        <f>Data!X37/Z$4*100000*Z$3</f>
        <v>0</v>
      </c>
      <c r="AA34" s="530">
        <f>Data!Y37/AA$4*100000*AA$3</f>
        <v>0</v>
      </c>
      <c r="AB34" s="530">
        <f>Data!Z37/AB$4*100000*AB$3</f>
        <v>13665.469311260347</v>
      </c>
      <c r="AC34" s="530">
        <f>Data!AA37/AC$4*100000*AC$3</f>
        <v>6339.8331718185364</v>
      </c>
      <c r="AD34" s="530">
        <f>Data!AB37/AD$4*100000*AD$3</f>
        <v>6788.4054035707013</v>
      </c>
      <c r="AE34" s="530">
        <f>Data!AC37/AE$4*100000*AE$3</f>
        <v>6895.1251465214091</v>
      </c>
      <c r="AF34" s="530">
        <f>Data!AD37/AF$4*100000*AF$3</f>
        <v>7453.2309756279355</v>
      </c>
      <c r="AG34" s="530">
        <f>Data!AE37/AG$4*100000*AG$3</f>
        <v>17555.494869894275</v>
      </c>
      <c r="AH34" s="530">
        <f>Data!AF37/AH$4*100000*AH$3</f>
        <v>5122.2947880650527</v>
      </c>
      <c r="AI34" s="530">
        <f>Data!AG37/AI$4*100000*AI$3</f>
        <v>0</v>
      </c>
      <c r="AJ34" s="530">
        <f>Data!AH37/AJ$4*100000*AJ$3</f>
        <v>0</v>
      </c>
      <c r="AK34" s="536" t="s">
        <v>352</v>
      </c>
      <c r="AL34" s="530">
        <f t="shared" si="3"/>
        <v>65368.09670532732</v>
      </c>
      <c r="AM34" s="530">
        <f>Data!Q37/AM$4*100000*AM$3</f>
        <v>0</v>
      </c>
      <c r="AN34" s="530">
        <f>Data!R37/AN$4*100000*AN$3</f>
        <v>0</v>
      </c>
      <c r="AO34" s="530">
        <f>Data!S37/AO$4*100000*AO$3</f>
        <v>0</v>
      </c>
      <c r="AP34" s="530">
        <f>Data!T37/AP$4*100000*AP$3</f>
        <v>19229.94743814367</v>
      </c>
      <c r="AQ34" s="530">
        <f>Data!U37/AQ$4*100000*AQ$3</f>
        <v>0</v>
      </c>
      <c r="AR34" s="530">
        <f>Data!V37/AR$4*100000*AR$3</f>
        <v>0</v>
      </c>
      <c r="AS34" s="530">
        <f>Data!W37/AS$4*100000*AS$3</f>
        <v>0</v>
      </c>
      <c r="AT34" s="530">
        <f>Data!X37/AT$4*100000*AT$3</f>
        <v>0</v>
      </c>
      <c r="AU34" s="530">
        <f>Data!Y37/AU$4*100000*AU$3</f>
        <v>0</v>
      </c>
      <c r="AV34" s="530">
        <f>Data!Z37/AV$4*100000*AV$3</f>
        <v>11713.259409651726</v>
      </c>
      <c r="AW34" s="530">
        <f>Data!AA37/AW$4*100000*AW$3</f>
        <v>4528.4522655846686</v>
      </c>
      <c r="AX34" s="530">
        <f>Data!AB37/AX$4*100000*AX$3</f>
        <v>4525.6036023804672</v>
      </c>
      <c r="AY34" s="530">
        <f>Data!AC37/AY$4*100000*AY$3</f>
        <v>5516.1001172171273</v>
      </c>
      <c r="AZ34" s="530">
        <f>Data!AD37/AZ$4*100000*AZ$3</f>
        <v>5589.9232317209517</v>
      </c>
      <c r="BA34" s="530">
        <f>Data!AE37/BA$4*100000*BA$3</f>
        <v>11703.663246596185</v>
      </c>
      <c r="BB34" s="530">
        <f>Data!AF37/BB$4*100000*BB$3</f>
        <v>2561.1473940325263</v>
      </c>
      <c r="BC34" s="530">
        <f>Data!AG37/BC$4*100000*BC$3</f>
        <v>0</v>
      </c>
      <c r="BD34" s="530">
        <f>Data!AH37/BD$4*100000*BD$3</f>
        <v>0</v>
      </c>
      <c r="BE34" s="525"/>
      <c r="BF34" s="525"/>
      <c r="BG34" s="525"/>
      <c r="BH34" s="525"/>
      <c r="BI34" s="525"/>
      <c r="BJ34" s="525"/>
      <c r="BK34" s="525"/>
      <c r="BL34" s="525"/>
      <c r="BM34" s="525"/>
      <c r="BN34" s="525"/>
      <c r="BO34" s="525"/>
      <c r="BP34" s="525"/>
      <c r="BQ34" s="525"/>
      <c r="BR34" s="525"/>
      <c r="BS34" s="525"/>
      <c r="BT34" s="525"/>
      <c r="BU34" s="525"/>
      <c r="BV34" s="525"/>
    </row>
    <row r="35" spans="1:74" ht="12" customHeight="1">
      <c r="A35" s="30"/>
      <c r="B35" s="128" t="str">
        <f>UPPER(LEFT(TRIM(Data!B38),1)) &amp; MID(TRIM(Data!B38),2,50)</f>
        <v>Nepatikslintos lokalizacijos</v>
      </c>
      <c r="C35" s="128" t="str">
        <f>UPPER(LEFT(TRIM(Data!C38),1)) &amp; MID(TRIM(Data!C38),2,50)</f>
        <v>C76-C80</v>
      </c>
      <c r="D35" s="129">
        <f>Data!D38</f>
        <v>226</v>
      </c>
      <c r="E35" s="130">
        <f t="shared" si="0"/>
        <v>16.587849913721161</v>
      </c>
      <c r="F35" s="131">
        <f t="shared" si="4"/>
        <v>13.975007799030307</v>
      </c>
      <c r="G35" s="131">
        <f t="shared" si="1"/>
        <v>9.4068924756355639</v>
      </c>
      <c r="H35" s="72"/>
      <c r="I35" s="72"/>
      <c r="J35" s="72"/>
      <c r="K35" s="72"/>
      <c r="L35" s="72"/>
      <c r="M35" s="72"/>
      <c r="N35" s="72"/>
      <c r="O35" s="56"/>
      <c r="P35" s="329"/>
      <c r="Q35" s="536" t="s">
        <v>352</v>
      </c>
      <c r="R35" s="530">
        <f t="shared" si="2"/>
        <v>1397500.7799030307</v>
      </c>
      <c r="S35" s="530">
        <f>Data!Q38/S$4*100000*S$3</f>
        <v>0</v>
      </c>
      <c r="T35" s="530">
        <f>Data!R38/T$4*100000*T$3</f>
        <v>0</v>
      </c>
      <c r="U35" s="530">
        <f>Data!S38/U$4*100000*U$3</f>
        <v>0</v>
      </c>
      <c r="V35" s="530">
        <f>Data!T38/V$4*100000*V$3</f>
        <v>0</v>
      </c>
      <c r="W35" s="530">
        <f>Data!U38/W$4*100000*W$3</f>
        <v>0</v>
      </c>
      <c r="X35" s="530">
        <f>Data!V38/X$4*100000*X$3</f>
        <v>7035.5294235891261</v>
      </c>
      <c r="Y35" s="530">
        <f>Data!W38/Y$4*100000*Y$3</f>
        <v>7908.2641360221432</v>
      </c>
      <c r="Z35" s="530">
        <f>Data!X38/Z$4*100000*Z$3</f>
        <v>15345.3246084202</v>
      </c>
      <c r="AA35" s="530">
        <f>Data!Y38/AA$4*100000*AA$3</f>
        <v>20772.129736787443</v>
      </c>
      <c r="AB35" s="530">
        <f>Data!Z38/AB$4*100000*AB$3</f>
        <v>40996.40793378104</v>
      </c>
      <c r="AC35" s="530">
        <f>Data!AA38/AC$4*100000*AC$3</f>
        <v>101437.33074909658</v>
      </c>
      <c r="AD35" s="530">
        <f>Data!AB38/AD$4*100000*AD$3</f>
        <v>156133.32428212612</v>
      </c>
      <c r="AE35" s="530">
        <f>Data!AC38/AE$4*100000*AE$3</f>
        <v>255119.63042129212</v>
      </c>
      <c r="AF35" s="530">
        <f>Data!AD38/AF$4*100000*AF$3</f>
        <v>178877.54341507045</v>
      </c>
      <c r="AG35" s="530">
        <f>Data!AE38/AG$4*100000*AG$3</f>
        <v>228221.43330862559</v>
      </c>
      <c r="AH35" s="530">
        <f>Data!AF38/AH$4*100000*AH$3</f>
        <v>204891.79152260211</v>
      </c>
      <c r="AI35" s="530">
        <f>Data!AG38/AI$4*100000*AI$3</f>
        <v>83812.260536398462</v>
      </c>
      <c r="AJ35" s="530">
        <f>Data!AH38/AJ$4*100000*AJ$3</f>
        <v>96949.809829219172</v>
      </c>
      <c r="AK35" s="536" t="s">
        <v>352</v>
      </c>
      <c r="AL35" s="530">
        <f t="shared" si="3"/>
        <v>940689.2475635563</v>
      </c>
      <c r="AM35" s="530">
        <f>Data!Q38/AM$4*100000*AM$3</f>
        <v>0</v>
      </c>
      <c r="AN35" s="530">
        <f>Data!R38/AN$4*100000*AN$3</f>
        <v>0</v>
      </c>
      <c r="AO35" s="530">
        <f>Data!S38/AO$4*100000*AO$3</f>
        <v>0</v>
      </c>
      <c r="AP35" s="530">
        <f>Data!T38/AP$4*100000*AP$3</f>
        <v>0</v>
      </c>
      <c r="AQ35" s="530">
        <f>Data!U38/AQ$4*100000*AQ$3</f>
        <v>0</v>
      </c>
      <c r="AR35" s="530">
        <f>Data!V38/AR$4*100000*AR$3</f>
        <v>8040.6050555304291</v>
      </c>
      <c r="AS35" s="530">
        <f>Data!W38/AS$4*100000*AS$3</f>
        <v>6778.5121165904084</v>
      </c>
      <c r="AT35" s="530">
        <f>Data!X38/AT$4*100000*AT$3</f>
        <v>13153.135378645886</v>
      </c>
      <c r="AU35" s="530">
        <f>Data!Y38/AU$4*100000*AU$3</f>
        <v>17804.682631532094</v>
      </c>
      <c r="AV35" s="530">
        <f>Data!Z38/AV$4*100000*AV$3</f>
        <v>35139.778228955183</v>
      </c>
      <c r="AW35" s="530">
        <f>Data!AA38/AW$4*100000*AW$3</f>
        <v>72455.236249354697</v>
      </c>
      <c r="AX35" s="530">
        <f>Data!AB38/AX$4*100000*AX$3</f>
        <v>104088.88285475074</v>
      </c>
      <c r="AY35" s="530">
        <f>Data!AC38/AY$4*100000*AY$3</f>
        <v>204095.70433703371</v>
      </c>
      <c r="AZ35" s="530">
        <f>Data!AD38/AZ$4*100000*AZ$3</f>
        <v>134158.15756130283</v>
      </c>
      <c r="BA35" s="530">
        <f>Data!AE38/BA$4*100000*BA$3</f>
        <v>152147.62220575041</v>
      </c>
      <c r="BB35" s="530">
        <f>Data!AF38/BB$4*100000*BB$3</f>
        <v>102445.89576130106</v>
      </c>
      <c r="BC35" s="530">
        <f>Data!AG38/BC$4*100000*BC$3</f>
        <v>41906.130268199231</v>
      </c>
      <c r="BD35" s="530">
        <f>Data!AH38/BD$4*100000*BD$3</f>
        <v>48474.904914609586</v>
      </c>
      <c r="BE35" s="525"/>
      <c r="BF35" s="525"/>
      <c r="BG35" s="525"/>
      <c r="BH35" s="525"/>
      <c r="BI35" s="525"/>
      <c r="BJ35" s="525"/>
      <c r="BK35" s="525"/>
      <c r="BL35" s="525"/>
      <c r="BM35" s="525"/>
      <c r="BN35" s="525"/>
      <c r="BO35" s="525"/>
      <c r="BP35" s="525"/>
      <c r="BQ35" s="525"/>
      <c r="BR35" s="525"/>
      <c r="BS35" s="525"/>
      <c r="BT35" s="525"/>
      <c r="BU35" s="525"/>
      <c r="BV35" s="525"/>
    </row>
    <row r="36" spans="1:74" ht="12" customHeight="1">
      <c r="A36" s="30"/>
      <c r="B36" s="123" t="str">
        <f>UPPER(LEFT(TRIM(Data!B39),1)) &amp; MID(TRIM(Data!B39),2,50)</f>
        <v>Hodžkino limfomos</v>
      </c>
      <c r="C36" s="123" t="str">
        <f>UPPER(LEFT(TRIM(Data!C39),1)) &amp; MID(TRIM(Data!C39),2,50)</f>
        <v>C81</v>
      </c>
      <c r="D36" s="124">
        <f>Data!D39</f>
        <v>34</v>
      </c>
      <c r="E36" s="125">
        <f t="shared" si="0"/>
        <v>2.495517243657166</v>
      </c>
      <c r="F36" s="126">
        <f t="shared" si="4"/>
        <v>2.4373280475141583</v>
      </c>
      <c r="G36" s="127">
        <f t="shared" si="1"/>
        <v>2.3600027615614283</v>
      </c>
      <c r="H36" s="72"/>
      <c r="I36" s="72"/>
      <c r="J36" s="72"/>
      <c r="K36" s="72"/>
      <c r="L36" s="72"/>
      <c r="M36" s="72"/>
      <c r="N36" s="72"/>
      <c r="O36" s="56"/>
      <c r="P36" s="329"/>
      <c r="Q36" s="536" t="s">
        <v>352</v>
      </c>
      <c r="R36" s="530">
        <f t="shared" si="2"/>
        <v>243732.80475141582</v>
      </c>
      <c r="S36" s="530">
        <f>Data!Q39/S$4*100000*S$3</f>
        <v>0</v>
      </c>
      <c r="T36" s="530">
        <f>Data!R39/T$4*100000*T$3</f>
        <v>0</v>
      </c>
      <c r="U36" s="530">
        <f>Data!S39/U$4*100000*U$3</f>
        <v>27705.947543405986</v>
      </c>
      <c r="V36" s="530">
        <f>Data!T39/V$4*100000*V$3</f>
        <v>29913.251570445707</v>
      </c>
      <c r="W36" s="530">
        <f>Data!U39/W$4*100000*W$3</f>
        <v>19083.449197132031</v>
      </c>
      <c r="X36" s="530">
        <f>Data!V39/X$4*100000*X$3</f>
        <v>35177.647117945628</v>
      </c>
      <c r="Y36" s="530">
        <f>Data!W39/Y$4*100000*Y$3</f>
        <v>23724.792408066431</v>
      </c>
      <c r="Z36" s="530">
        <f>Data!X39/Z$4*100000*Z$3</f>
        <v>38363.311521050498</v>
      </c>
      <c r="AA36" s="530">
        <f>Data!Y39/AA$4*100000*AA$3</f>
        <v>13848.086491191629</v>
      </c>
      <c r="AB36" s="530">
        <f>Data!Z39/AB$4*100000*AB$3</f>
        <v>0</v>
      </c>
      <c r="AC36" s="530">
        <f>Data!AA39/AC$4*100000*AC$3</f>
        <v>6339.8331718185364</v>
      </c>
      <c r="AD36" s="530">
        <f>Data!AB39/AD$4*100000*AD$3</f>
        <v>27153.621614282805</v>
      </c>
      <c r="AE36" s="530">
        <f>Data!AC39/AE$4*100000*AE$3</f>
        <v>0</v>
      </c>
      <c r="AF36" s="530">
        <f>Data!AD39/AF$4*100000*AF$3</f>
        <v>0</v>
      </c>
      <c r="AG36" s="530">
        <f>Data!AE39/AG$4*100000*AG$3</f>
        <v>5851.8316232980915</v>
      </c>
      <c r="AH36" s="530">
        <f>Data!AF39/AH$4*100000*AH$3</f>
        <v>5122.2947880650527</v>
      </c>
      <c r="AI36" s="530">
        <f>Data!AG39/AI$4*100000*AI$3</f>
        <v>3991.0600255427844</v>
      </c>
      <c r="AJ36" s="530">
        <f>Data!AH39/AJ$4*100000*AJ$3</f>
        <v>7457.6776791707061</v>
      </c>
      <c r="AK36" s="536" t="s">
        <v>352</v>
      </c>
      <c r="AL36" s="530">
        <f t="shared" si="3"/>
        <v>236000.27615614282</v>
      </c>
      <c r="AM36" s="530">
        <f>Data!Q39/AM$4*100000*AM$3</f>
        <v>0</v>
      </c>
      <c r="AN36" s="530">
        <f>Data!R39/AN$4*100000*AN$3</f>
        <v>0</v>
      </c>
      <c r="AO36" s="530">
        <f>Data!S39/AO$4*100000*AO$3</f>
        <v>35621.932555807696</v>
      </c>
      <c r="AP36" s="530">
        <f>Data!T39/AP$4*100000*AP$3</f>
        <v>38459.894876287341</v>
      </c>
      <c r="AQ36" s="530">
        <f>Data!U39/AQ$4*100000*AQ$3</f>
        <v>21809.656225293751</v>
      </c>
      <c r="AR36" s="530">
        <f>Data!V39/AR$4*100000*AR$3</f>
        <v>40203.025277652145</v>
      </c>
      <c r="AS36" s="530">
        <f>Data!W39/AS$4*100000*AS$3</f>
        <v>20335.536349771224</v>
      </c>
      <c r="AT36" s="530">
        <f>Data!X39/AT$4*100000*AT$3</f>
        <v>32882.838446614711</v>
      </c>
      <c r="AU36" s="530">
        <f>Data!Y39/AU$4*100000*AU$3</f>
        <v>11869.788421021396</v>
      </c>
      <c r="AV36" s="530">
        <f>Data!Z39/AV$4*100000*AV$3</f>
        <v>0</v>
      </c>
      <c r="AW36" s="530">
        <f>Data!AA39/AW$4*100000*AW$3</f>
        <v>4528.4522655846686</v>
      </c>
      <c r="AX36" s="530">
        <f>Data!AB39/AX$4*100000*AX$3</f>
        <v>18102.414409521869</v>
      </c>
      <c r="AY36" s="530">
        <f>Data!AC39/AY$4*100000*AY$3</f>
        <v>0</v>
      </c>
      <c r="AZ36" s="530">
        <f>Data!AD39/AZ$4*100000*AZ$3</f>
        <v>0</v>
      </c>
      <c r="BA36" s="530">
        <f>Data!AE39/BA$4*100000*BA$3</f>
        <v>3901.2210821987278</v>
      </c>
      <c r="BB36" s="530">
        <f>Data!AF39/BB$4*100000*BB$3</f>
        <v>2561.1473940325263</v>
      </c>
      <c r="BC36" s="530">
        <f>Data!AG39/BC$4*100000*BC$3</f>
        <v>1995.5300127713922</v>
      </c>
      <c r="BD36" s="530">
        <f>Data!AH39/BD$4*100000*BD$3</f>
        <v>3728.8388395853531</v>
      </c>
      <c r="BE36" s="525"/>
      <c r="BF36" s="525"/>
      <c r="BG36" s="525"/>
      <c r="BH36" s="525"/>
      <c r="BI36" s="525"/>
      <c r="BJ36" s="525"/>
      <c r="BK36" s="525"/>
      <c r="BL36" s="525"/>
      <c r="BM36" s="525"/>
      <c r="BN36" s="525"/>
      <c r="BO36" s="525"/>
      <c r="BP36" s="525"/>
      <c r="BQ36" s="525"/>
      <c r="BR36" s="525"/>
      <c r="BS36" s="525"/>
      <c r="BT36" s="525"/>
      <c r="BU36" s="525"/>
      <c r="BV36" s="525"/>
    </row>
    <row r="37" spans="1:74" ht="12" customHeight="1">
      <c r="A37" s="30"/>
      <c r="B37" s="128" t="str">
        <f>UPPER(LEFT(TRIM(Data!B40),1)) &amp; MID(TRIM(Data!B40),2,50)</f>
        <v>Ne Hodžkino limfomos</v>
      </c>
      <c r="C37" s="128" t="str">
        <f>UPPER(LEFT(TRIM(Data!C40),1)) &amp; MID(TRIM(Data!C40),2,50)</f>
        <v>C82-C85</v>
      </c>
      <c r="D37" s="129">
        <f>Data!D40</f>
        <v>153</v>
      </c>
      <c r="E37" s="130">
        <f t="shared" si="0"/>
        <v>11.229827596457246</v>
      </c>
      <c r="F37" s="131">
        <f t="shared" si="4"/>
        <v>10.008212966127116</v>
      </c>
      <c r="G37" s="131">
        <f t="shared" si="1"/>
        <v>7.4390697967297132</v>
      </c>
      <c r="H37" s="72"/>
      <c r="I37" s="72"/>
      <c r="J37" s="72"/>
      <c r="K37" s="72"/>
      <c r="L37" s="72"/>
      <c r="M37" s="72"/>
      <c r="N37" s="72"/>
      <c r="O37" s="56"/>
      <c r="P37" s="329"/>
      <c r="Q37" s="536" t="s">
        <v>352</v>
      </c>
      <c r="R37" s="530">
        <f t="shared" si="2"/>
        <v>1000821.2966127116</v>
      </c>
      <c r="S37" s="530">
        <f>Data!Q40/S$4*100000*S$3</f>
        <v>0</v>
      </c>
      <c r="T37" s="530">
        <f>Data!R40/T$4*100000*T$3</f>
        <v>20288.678917164223</v>
      </c>
      <c r="U37" s="530">
        <f>Data!S40/U$4*100000*U$3</f>
        <v>9235.3158478019941</v>
      </c>
      <c r="V37" s="530">
        <f>Data!T40/V$4*100000*V$3</f>
        <v>29913.251570445707</v>
      </c>
      <c r="W37" s="530">
        <f>Data!U40/W$4*100000*W$3</f>
        <v>6361.1497323773438</v>
      </c>
      <c r="X37" s="530">
        <f>Data!V40/X$4*100000*X$3</f>
        <v>0</v>
      </c>
      <c r="Y37" s="530">
        <f>Data!W40/Y$4*100000*Y$3</f>
        <v>15816.528272044286</v>
      </c>
      <c r="Z37" s="530">
        <f>Data!X40/Z$4*100000*Z$3</f>
        <v>61381.2984336808</v>
      </c>
      <c r="AA37" s="530">
        <f>Data!Y40/AA$4*100000*AA$3</f>
        <v>34620.216227979072</v>
      </c>
      <c r="AB37" s="530">
        <f>Data!Z40/AB$4*100000*AB$3</f>
        <v>75160.081211931902</v>
      </c>
      <c r="AC37" s="530">
        <f>Data!AA40/AC$4*100000*AC$3</f>
        <v>82417.831233640958</v>
      </c>
      <c r="AD37" s="530">
        <f>Data!AB40/AD$4*100000*AD$3</f>
        <v>61095.648632136319</v>
      </c>
      <c r="AE37" s="530">
        <f>Data!AC40/AE$4*100000*AE$3</f>
        <v>131007.37778390676</v>
      </c>
      <c r="AF37" s="530">
        <f>Data!AD40/AF$4*100000*AF$3</f>
        <v>141611.38853693078</v>
      </c>
      <c r="AG37" s="530">
        <f>Data!AE40/AG$4*100000*AG$3</f>
        <v>122888.46408925994</v>
      </c>
      <c r="AH37" s="530">
        <f>Data!AF40/AH$4*100000*AH$3</f>
        <v>87079.011397105904</v>
      </c>
      <c r="AI37" s="530">
        <f>Data!AG40/AI$4*100000*AI$3</f>
        <v>39910.600255427846</v>
      </c>
      <c r="AJ37" s="530">
        <f>Data!AH40/AJ$4*100000*AJ$3</f>
        <v>82034.454470877783</v>
      </c>
      <c r="AK37" s="536" t="s">
        <v>352</v>
      </c>
      <c r="AL37" s="530">
        <f t="shared" si="3"/>
        <v>743906.9796729713</v>
      </c>
      <c r="AM37" s="530">
        <f>Data!Q40/AM$4*100000*AM$3</f>
        <v>0</v>
      </c>
      <c r="AN37" s="530">
        <f>Data!R40/AN$4*100000*AN$3</f>
        <v>28983.82702452032</v>
      </c>
      <c r="AO37" s="530">
        <f>Data!S40/AO$4*100000*AO$3</f>
        <v>11873.977518602564</v>
      </c>
      <c r="AP37" s="530">
        <f>Data!T40/AP$4*100000*AP$3</f>
        <v>38459.894876287341</v>
      </c>
      <c r="AQ37" s="530">
        <f>Data!U40/AQ$4*100000*AQ$3</f>
        <v>7269.8854084312497</v>
      </c>
      <c r="AR37" s="530">
        <f>Data!V40/AR$4*100000*AR$3</f>
        <v>0</v>
      </c>
      <c r="AS37" s="530">
        <f>Data!W40/AS$4*100000*AS$3</f>
        <v>13557.024233180817</v>
      </c>
      <c r="AT37" s="530">
        <f>Data!X40/AT$4*100000*AT$3</f>
        <v>52612.541514583543</v>
      </c>
      <c r="AU37" s="530">
        <f>Data!Y40/AU$4*100000*AU$3</f>
        <v>29674.471052553487</v>
      </c>
      <c r="AV37" s="530">
        <f>Data!Z40/AV$4*100000*AV$3</f>
        <v>64422.926753084495</v>
      </c>
      <c r="AW37" s="530">
        <f>Data!AA40/AW$4*100000*AW$3</f>
        <v>58869.87945260069</v>
      </c>
      <c r="AX37" s="530">
        <f>Data!AB40/AX$4*100000*AX$3</f>
        <v>40730.432421424208</v>
      </c>
      <c r="AY37" s="530">
        <f>Data!AC40/AY$4*100000*AY$3</f>
        <v>104805.90222712542</v>
      </c>
      <c r="AZ37" s="530">
        <f>Data!AD40/AZ$4*100000*AZ$3</f>
        <v>106208.54140269809</v>
      </c>
      <c r="BA37" s="530">
        <f>Data!AE40/BA$4*100000*BA$3</f>
        <v>81925.64272617329</v>
      </c>
      <c r="BB37" s="530">
        <f>Data!AF40/BB$4*100000*BB$3</f>
        <v>43539.505698552952</v>
      </c>
      <c r="BC37" s="530">
        <f>Data!AG40/BC$4*100000*BC$3</f>
        <v>19955.300127713923</v>
      </c>
      <c r="BD37" s="530">
        <f>Data!AH40/BD$4*100000*BD$3</f>
        <v>41017.227235438892</v>
      </c>
      <c r="BE37" s="525"/>
      <c r="BF37" s="525"/>
      <c r="BG37" s="525"/>
      <c r="BH37" s="525"/>
      <c r="BI37" s="525"/>
      <c r="BJ37" s="525"/>
      <c r="BK37" s="525"/>
      <c r="BL37" s="525"/>
      <c r="BM37" s="525"/>
      <c r="BN37" s="525"/>
      <c r="BO37" s="525"/>
      <c r="BP37" s="525"/>
      <c r="BQ37" s="525"/>
      <c r="BR37" s="525"/>
      <c r="BS37" s="525"/>
      <c r="BT37" s="525"/>
      <c r="BU37" s="525"/>
      <c r="BV37" s="525"/>
    </row>
    <row r="38" spans="1:74" ht="12" customHeight="1">
      <c r="A38" s="30"/>
      <c r="B38" s="123" t="str">
        <f>UPPER(LEFT(TRIM(Data!B41),1)) &amp; MID(TRIM(Data!B41),2,50)</f>
        <v>Mielominės ligos</v>
      </c>
      <c r="C38" s="123" t="str">
        <f>UPPER(LEFT(TRIM(Data!C41),1)) &amp; MID(TRIM(Data!C41),2,50)</f>
        <v>C90</v>
      </c>
      <c r="D38" s="124">
        <f>Data!D41</f>
        <v>82</v>
      </c>
      <c r="E38" s="125">
        <f t="shared" si="0"/>
        <v>6.018600411173165</v>
      </c>
      <c r="F38" s="126">
        <f t="shared" si="4"/>
        <v>5.0891698087411363</v>
      </c>
      <c r="G38" s="127">
        <f t="shared" si="1"/>
        <v>3.4809551585477165</v>
      </c>
      <c r="H38" s="72"/>
      <c r="I38" s="72"/>
      <c r="J38" s="72"/>
      <c r="K38" s="72"/>
      <c r="L38" s="72"/>
      <c r="M38" s="72"/>
      <c r="N38" s="72"/>
      <c r="O38" s="56"/>
      <c r="P38" s="329"/>
      <c r="Q38" s="536" t="s">
        <v>352</v>
      </c>
      <c r="R38" s="530">
        <f t="shared" si="2"/>
        <v>508916.98087411362</v>
      </c>
      <c r="S38" s="530">
        <f>Data!Q41/S$4*100000*S$3</f>
        <v>0</v>
      </c>
      <c r="T38" s="530">
        <f>Data!R41/T$4*100000*T$3</f>
        <v>0</v>
      </c>
      <c r="U38" s="530">
        <f>Data!S41/U$4*100000*U$3</f>
        <v>0</v>
      </c>
      <c r="V38" s="530">
        <f>Data!T41/V$4*100000*V$3</f>
        <v>0</v>
      </c>
      <c r="W38" s="530">
        <f>Data!U41/W$4*100000*W$3</f>
        <v>0</v>
      </c>
      <c r="X38" s="530">
        <f>Data!V41/X$4*100000*X$3</f>
        <v>0</v>
      </c>
      <c r="Y38" s="530">
        <f>Data!W41/Y$4*100000*Y$3</f>
        <v>0</v>
      </c>
      <c r="Z38" s="530">
        <f>Data!X41/Z$4*100000*Z$3</f>
        <v>0</v>
      </c>
      <c r="AA38" s="530">
        <f>Data!Y41/AA$4*100000*AA$3</f>
        <v>13848.086491191629</v>
      </c>
      <c r="AB38" s="530">
        <f>Data!Z41/AB$4*100000*AB$3</f>
        <v>34163.673278150862</v>
      </c>
      <c r="AC38" s="530">
        <f>Data!AA41/AC$4*100000*AC$3</f>
        <v>44378.832202729754</v>
      </c>
      <c r="AD38" s="530">
        <f>Data!AB41/AD$4*100000*AD$3</f>
        <v>47518.837824994909</v>
      </c>
      <c r="AE38" s="530">
        <f>Data!AC41/AE$4*100000*AE$3</f>
        <v>82741.501758256927</v>
      </c>
      <c r="AF38" s="530">
        <f>Data!AD41/AF$4*100000*AF$3</f>
        <v>74532.309756279341</v>
      </c>
      <c r="AG38" s="530">
        <f>Data!AE41/AG$4*100000*AG$3</f>
        <v>93629.305972769464</v>
      </c>
      <c r="AH38" s="530">
        <f>Data!AF41/AH$4*100000*AH$3</f>
        <v>56345.242668715582</v>
      </c>
      <c r="AI38" s="530">
        <f>Data!AG41/AI$4*100000*AI$3</f>
        <v>31928.480204342275</v>
      </c>
      <c r="AJ38" s="530">
        <f>Data!AH41/AJ$4*100000*AJ$3</f>
        <v>29830.710716682825</v>
      </c>
      <c r="AK38" s="536" t="s">
        <v>352</v>
      </c>
      <c r="AL38" s="530">
        <f t="shared" si="3"/>
        <v>348095.51585477166</v>
      </c>
      <c r="AM38" s="530">
        <f>Data!Q41/AM$4*100000*AM$3</f>
        <v>0</v>
      </c>
      <c r="AN38" s="530">
        <f>Data!R41/AN$4*100000*AN$3</f>
        <v>0</v>
      </c>
      <c r="AO38" s="530">
        <f>Data!S41/AO$4*100000*AO$3</f>
        <v>0</v>
      </c>
      <c r="AP38" s="530">
        <f>Data!T41/AP$4*100000*AP$3</f>
        <v>0</v>
      </c>
      <c r="AQ38" s="530">
        <f>Data!U41/AQ$4*100000*AQ$3</f>
        <v>0</v>
      </c>
      <c r="AR38" s="530">
        <f>Data!V41/AR$4*100000*AR$3</f>
        <v>0</v>
      </c>
      <c r="AS38" s="530">
        <f>Data!W41/AS$4*100000*AS$3</f>
        <v>0</v>
      </c>
      <c r="AT38" s="530">
        <f>Data!X41/AT$4*100000*AT$3</f>
        <v>0</v>
      </c>
      <c r="AU38" s="530">
        <f>Data!Y41/AU$4*100000*AU$3</f>
        <v>11869.788421021396</v>
      </c>
      <c r="AV38" s="530">
        <f>Data!Z41/AV$4*100000*AV$3</f>
        <v>29283.148524129312</v>
      </c>
      <c r="AW38" s="530">
        <f>Data!AA41/AW$4*100000*AW$3</f>
        <v>31699.165859092678</v>
      </c>
      <c r="AX38" s="530">
        <f>Data!AB41/AX$4*100000*AX$3</f>
        <v>31679.225216663272</v>
      </c>
      <c r="AY38" s="530">
        <f>Data!AC41/AY$4*100000*AY$3</f>
        <v>66193.201406605542</v>
      </c>
      <c r="AZ38" s="530">
        <f>Data!AD41/AZ$4*100000*AZ$3</f>
        <v>55899.232317209513</v>
      </c>
      <c r="BA38" s="530">
        <f>Data!AE41/BA$4*100000*BA$3</f>
        <v>62419.537315179645</v>
      </c>
      <c r="BB38" s="530">
        <f>Data!AF41/BB$4*100000*BB$3</f>
        <v>28172.621334357791</v>
      </c>
      <c r="BC38" s="530">
        <f>Data!AG41/BC$4*100000*BC$3</f>
        <v>15964.240102171138</v>
      </c>
      <c r="BD38" s="530">
        <f>Data!AH41/BD$4*100000*BD$3</f>
        <v>14915.355358341412</v>
      </c>
      <c r="BE38" s="525"/>
      <c r="BF38" s="525"/>
      <c r="BG38" s="525"/>
      <c r="BH38" s="525"/>
      <c r="BI38" s="525"/>
      <c r="BJ38" s="525"/>
      <c r="BK38" s="525"/>
      <c r="BL38" s="525"/>
      <c r="BM38" s="525"/>
      <c r="BN38" s="525"/>
      <c r="BO38" s="525"/>
      <c r="BP38" s="525"/>
      <c r="BQ38" s="525"/>
      <c r="BR38" s="525"/>
      <c r="BS38" s="525"/>
      <c r="BT38" s="525"/>
      <c r="BU38" s="525"/>
      <c r="BV38" s="525"/>
    </row>
    <row r="39" spans="1:74" ht="12" customHeight="1">
      <c r="A39" s="30"/>
      <c r="B39" s="128" t="str">
        <f>UPPER(LEFT(TRIM(Data!B42),1)) &amp; MID(TRIM(Data!B42),2,50)</f>
        <v>Leukemijos</v>
      </c>
      <c r="C39" s="128" t="str">
        <f>UPPER(LEFT(TRIM(Data!C42),1)) &amp; MID(TRIM(Data!C42),2,50)</f>
        <v>C91-C95</v>
      </c>
      <c r="D39" s="129">
        <f>Data!D42</f>
        <v>212</v>
      </c>
      <c r="E39" s="130">
        <f t="shared" si="0"/>
        <v>15.560283989862327</v>
      </c>
      <c r="F39" s="131">
        <f t="shared" si="4"/>
        <v>13.524220774690578</v>
      </c>
      <c r="G39" s="131">
        <f t="shared" si="1"/>
        <v>10.033666251653733</v>
      </c>
      <c r="H39" s="72"/>
      <c r="I39" s="72"/>
      <c r="J39" s="72"/>
      <c r="K39" s="72"/>
      <c r="L39" s="72"/>
      <c r="M39" s="72"/>
      <c r="N39" s="72"/>
      <c r="O39" s="56"/>
      <c r="P39" s="329"/>
      <c r="Q39" s="536" t="s">
        <v>352</v>
      </c>
      <c r="R39" s="530">
        <f t="shared" si="2"/>
        <v>1352422.0774690579</v>
      </c>
      <c r="S39" s="530">
        <f>Data!Q42/S$4*100000*S$3</f>
        <v>61975.468043899287</v>
      </c>
      <c r="T39" s="530">
        <f>Data!R42/T$4*100000*T$3</f>
        <v>30433.018375746335</v>
      </c>
      <c r="U39" s="530">
        <f>Data!S42/U$4*100000*U$3</f>
        <v>18470.631695603988</v>
      </c>
      <c r="V39" s="530">
        <f>Data!T42/V$4*100000*V$3</f>
        <v>22434.938677834278</v>
      </c>
      <c r="W39" s="530">
        <f>Data!U42/W$4*100000*W$3</f>
        <v>12722.299464754688</v>
      </c>
      <c r="X39" s="530">
        <f>Data!V42/X$4*100000*X$3</f>
        <v>28142.117694356504</v>
      </c>
      <c r="Y39" s="530">
        <f>Data!W42/Y$4*100000*Y$3</f>
        <v>23724.792408066431</v>
      </c>
      <c r="Z39" s="530">
        <f>Data!X42/Z$4*100000*Z$3</f>
        <v>23017.986912630295</v>
      </c>
      <c r="AA39" s="530">
        <f>Data!Y42/AA$4*100000*AA$3</f>
        <v>13848.086491191629</v>
      </c>
      <c r="AB39" s="530">
        <f>Data!Z42/AB$4*100000*AB$3</f>
        <v>47829.142589411218</v>
      </c>
      <c r="AC39" s="530">
        <f>Data!AA42/AC$4*100000*AC$3</f>
        <v>88757.664405459509</v>
      </c>
      <c r="AD39" s="530">
        <f>Data!AB42/AD$4*100000*AD$3</f>
        <v>81460.864842848416</v>
      </c>
      <c r="AE39" s="530">
        <f>Data!AC42/AE$4*100000*AE$3</f>
        <v>117217.12749086396</v>
      </c>
      <c r="AF39" s="530">
        <f>Data!AD42/AF$4*100000*AF$3</f>
        <v>178877.54341507045</v>
      </c>
      <c r="AG39" s="530">
        <f>Data!AE42/AG$4*100000*AG$3</f>
        <v>163851.28545234661</v>
      </c>
      <c r="AH39" s="530">
        <f>Data!AF42/AH$4*100000*AH$3</f>
        <v>179280.31758227685</v>
      </c>
      <c r="AI39" s="530">
        <f>Data!AG42/AI$4*100000*AI$3</f>
        <v>103767.56066411239</v>
      </c>
      <c r="AJ39" s="530">
        <f>Data!AH42/AJ$4*100000*AJ$3</f>
        <v>156611.23126258483</v>
      </c>
      <c r="AK39" s="536" t="s">
        <v>352</v>
      </c>
      <c r="AL39" s="530">
        <f t="shared" si="3"/>
        <v>1003366.6251653733</v>
      </c>
      <c r="AM39" s="530">
        <f>Data!Q42/AM$4*100000*AM$3</f>
        <v>92963.202065848935</v>
      </c>
      <c r="AN39" s="530">
        <f>Data!R42/AN$4*100000*AN$3</f>
        <v>43475.740536780475</v>
      </c>
      <c r="AO39" s="530">
        <f>Data!S42/AO$4*100000*AO$3</f>
        <v>23747.955037205127</v>
      </c>
      <c r="AP39" s="530">
        <f>Data!T42/AP$4*100000*AP$3</f>
        <v>28844.9211572155</v>
      </c>
      <c r="AQ39" s="530">
        <f>Data!U42/AQ$4*100000*AQ$3</f>
        <v>14539.770816862499</v>
      </c>
      <c r="AR39" s="530">
        <f>Data!V42/AR$4*100000*AR$3</f>
        <v>32162.420222121717</v>
      </c>
      <c r="AS39" s="530">
        <f>Data!W42/AS$4*100000*AS$3</f>
        <v>20335.536349771224</v>
      </c>
      <c r="AT39" s="530">
        <f>Data!X42/AT$4*100000*AT$3</f>
        <v>19729.703067968825</v>
      </c>
      <c r="AU39" s="530">
        <f>Data!Y42/AU$4*100000*AU$3</f>
        <v>11869.788421021396</v>
      </c>
      <c r="AV39" s="530">
        <f>Data!Z42/AV$4*100000*AV$3</f>
        <v>40996.40793378104</v>
      </c>
      <c r="AW39" s="530">
        <f>Data!AA42/AW$4*100000*AW$3</f>
        <v>63398.331718185356</v>
      </c>
      <c r="AX39" s="530">
        <f>Data!AB42/AX$4*100000*AX$3</f>
        <v>54307.24322856561</v>
      </c>
      <c r="AY39" s="530">
        <f>Data!AC42/AY$4*100000*AY$3</f>
        <v>93773.701992691174</v>
      </c>
      <c r="AZ39" s="530">
        <f>Data!AD42/AZ$4*100000*AZ$3</f>
        <v>134158.15756130283</v>
      </c>
      <c r="BA39" s="530">
        <f>Data!AE42/BA$4*100000*BA$3</f>
        <v>109234.19030156439</v>
      </c>
      <c r="BB39" s="530">
        <f>Data!AF42/BB$4*100000*BB$3</f>
        <v>89640.158791138427</v>
      </c>
      <c r="BC39" s="530">
        <f>Data!AG42/BC$4*100000*BC$3</f>
        <v>51883.780332056194</v>
      </c>
      <c r="BD39" s="530">
        <f>Data!AH42/BD$4*100000*BD$3</f>
        <v>78305.615631292414</v>
      </c>
      <c r="BE39" s="525"/>
      <c r="BF39" s="525"/>
      <c r="BG39" s="525"/>
      <c r="BH39" s="525"/>
      <c r="BI39" s="525"/>
      <c r="BJ39" s="525"/>
      <c r="BK39" s="525"/>
      <c r="BL39" s="525"/>
      <c r="BM39" s="525"/>
      <c r="BN39" s="525"/>
      <c r="BO39" s="525"/>
      <c r="BP39" s="525"/>
      <c r="BQ39" s="525"/>
      <c r="BR39" s="525"/>
      <c r="BS39" s="525"/>
      <c r="BT39" s="525"/>
      <c r="BU39" s="525"/>
      <c r="BV39" s="525"/>
    </row>
    <row r="40" spans="1:74" ht="12" customHeight="1">
      <c r="A40" s="30"/>
      <c r="B40" s="123" t="str">
        <f>UPPER(LEFT(TRIM(Data!B43),1)) &amp; MID(TRIM(Data!B43),2,50)</f>
        <v>Kiti limfinio, kraujodaros audinių</v>
      </c>
      <c r="C40" s="123" t="str">
        <f>UPPER(LEFT(TRIM(Data!C43),1)) &amp; MID(TRIM(Data!C43),2,50)</f>
        <v>C88, C96</v>
      </c>
      <c r="D40" s="124">
        <f>Data!D43</f>
        <v>6</v>
      </c>
      <c r="E40" s="125">
        <f t="shared" si="0"/>
        <v>0.44038539593949982</v>
      </c>
      <c r="F40" s="126">
        <f t="shared" si="4"/>
        <v>0.39532772452152504</v>
      </c>
      <c r="G40" s="127">
        <f t="shared" si="1"/>
        <v>0.25965874301603009</v>
      </c>
      <c r="H40" s="72"/>
      <c r="I40" s="72"/>
      <c r="J40" s="72"/>
      <c r="K40" s="72"/>
      <c r="L40" s="72"/>
      <c r="M40" s="72"/>
      <c r="N40" s="72"/>
      <c r="O40" s="56"/>
      <c r="P40" s="329"/>
      <c r="Q40" s="536" t="s">
        <v>352</v>
      </c>
      <c r="R40" s="530">
        <f t="shared" si="2"/>
        <v>39532.772452152502</v>
      </c>
      <c r="S40" s="530">
        <f>Data!Q43/S$4*100000*S$3</f>
        <v>0</v>
      </c>
      <c r="T40" s="530">
        <f>Data!R43/T$4*100000*T$3</f>
        <v>0</v>
      </c>
      <c r="U40" s="530">
        <f>Data!S43/U$4*100000*U$3</f>
        <v>0</v>
      </c>
      <c r="V40" s="530">
        <f>Data!T43/V$4*100000*V$3</f>
        <v>0</v>
      </c>
      <c r="W40" s="530">
        <f>Data!U43/W$4*100000*W$3</f>
        <v>0</v>
      </c>
      <c r="X40" s="530">
        <f>Data!V43/X$4*100000*X$3</f>
        <v>0</v>
      </c>
      <c r="Y40" s="530">
        <f>Data!W43/Y$4*100000*Y$3</f>
        <v>0</v>
      </c>
      <c r="Z40" s="530">
        <f>Data!X43/Z$4*100000*Z$3</f>
        <v>0</v>
      </c>
      <c r="AA40" s="530">
        <f>Data!Y43/AA$4*100000*AA$3</f>
        <v>6924.0432455958144</v>
      </c>
      <c r="AB40" s="530">
        <f>Data!Z43/AB$4*100000*AB$3</f>
        <v>0</v>
      </c>
      <c r="AC40" s="530">
        <f>Data!AA43/AC$4*100000*AC$3</f>
        <v>0</v>
      </c>
      <c r="AD40" s="530">
        <f>Data!AB43/AD$4*100000*AD$3</f>
        <v>0</v>
      </c>
      <c r="AE40" s="530">
        <f>Data!AC43/AE$4*100000*AE$3</f>
        <v>0</v>
      </c>
      <c r="AF40" s="530">
        <f>Data!AD43/AF$4*100000*AF$3</f>
        <v>14906.461951255871</v>
      </c>
      <c r="AG40" s="530">
        <f>Data!AE43/AG$4*100000*AG$3</f>
        <v>0</v>
      </c>
      <c r="AH40" s="530">
        <f>Data!AF43/AH$4*100000*AH$3</f>
        <v>10244.589576130105</v>
      </c>
      <c r="AI40" s="530">
        <f>Data!AG43/AI$4*100000*AI$3</f>
        <v>0</v>
      </c>
      <c r="AJ40" s="530">
        <f>Data!AH43/AJ$4*100000*AJ$3</f>
        <v>7457.6776791707061</v>
      </c>
      <c r="AK40" s="536" t="s">
        <v>352</v>
      </c>
      <c r="AL40" s="530">
        <f t="shared" si="3"/>
        <v>25965.874301603009</v>
      </c>
      <c r="AM40" s="530">
        <f>Data!Q43/AM$4*100000*AM$3</f>
        <v>0</v>
      </c>
      <c r="AN40" s="530">
        <f>Data!R43/AN$4*100000*AN$3</f>
        <v>0</v>
      </c>
      <c r="AO40" s="530">
        <f>Data!S43/AO$4*100000*AO$3</f>
        <v>0</v>
      </c>
      <c r="AP40" s="530">
        <f>Data!T43/AP$4*100000*AP$3</f>
        <v>0</v>
      </c>
      <c r="AQ40" s="530">
        <f>Data!U43/AQ$4*100000*AQ$3</f>
        <v>0</v>
      </c>
      <c r="AR40" s="530">
        <f>Data!V43/AR$4*100000*AR$3</f>
        <v>0</v>
      </c>
      <c r="AS40" s="530">
        <f>Data!W43/AS$4*100000*AS$3</f>
        <v>0</v>
      </c>
      <c r="AT40" s="530">
        <f>Data!X43/AT$4*100000*AT$3</f>
        <v>0</v>
      </c>
      <c r="AU40" s="530">
        <f>Data!Y43/AU$4*100000*AU$3</f>
        <v>5934.894210510698</v>
      </c>
      <c r="AV40" s="530">
        <f>Data!Z43/AV$4*100000*AV$3</f>
        <v>0</v>
      </c>
      <c r="AW40" s="530">
        <f>Data!AA43/AW$4*100000*AW$3</f>
        <v>0</v>
      </c>
      <c r="AX40" s="530">
        <f>Data!AB43/AX$4*100000*AX$3</f>
        <v>0</v>
      </c>
      <c r="AY40" s="530">
        <f>Data!AC43/AY$4*100000*AY$3</f>
        <v>0</v>
      </c>
      <c r="AZ40" s="530">
        <f>Data!AD43/AZ$4*100000*AZ$3</f>
        <v>11179.846463441903</v>
      </c>
      <c r="BA40" s="530">
        <f>Data!AE43/BA$4*100000*BA$3</f>
        <v>0</v>
      </c>
      <c r="BB40" s="530">
        <f>Data!AF43/BB$4*100000*BB$3</f>
        <v>5122.2947880650527</v>
      </c>
      <c r="BC40" s="530">
        <f>Data!AG43/BC$4*100000*BC$3</f>
        <v>0</v>
      </c>
      <c r="BD40" s="530">
        <f>Data!AH43/BD$4*100000*BD$3</f>
        <v>3728.8388395853531</v>
      </c>
      <c r="BE40" s="525"/>
      <c r="BF40" s="525"/>
      <c r="BG40" s="525"/>
      <c r="BH40" s="525"/>
      <c r="BI40" s="525"/>
      <c r="BJ40" s="525"/>
      <c r="BK40" s="525"/>
      <c r="BL40" s="525"/>
      <c r="BM40" s="525"/>
      <c r="BN40" s="525"/>
      <c r="BO40" s="525"/>
      <c r="BP40" s="525"/>
      <c r="BQ40" s="525"/>
      <c r="BR40" s="525"/>
      <c r="BS40" s="525"/>
      <c r="BT40" s="525"/>
      <c r="BU40" s="525"/>
      <c r="BV40" s="525"/>
    </row>
    <row r="41" spans="1:74" ht="24" customHeight="1">
      <c r="A41" s="30"/>
      <c r="B41" s="132"/>
      <c r="C41" s="132"/>
      <c r="D41" s="133"/>
      <c r="E41" s="134"/>
      <c r="F41" s="135"/>
      <c r="G41" s="135"/>
      <c r="H41" s="72"/>
      <c r="I41" s="72"/>
      <c r="J41" s="72"/>
      <c r="K41" s="72"/>
      <c r="L41" s="72"/>
      <c r="M41" s="72"/>
      <c r="N41" s="72"/>
      <c r="O41" s="56"/>
      <c r="P41" s="329"/>
      <c r="Q41" s="536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  <c r="AJ41" s="530"/>
      <c r="AK41" s="536"/>
      <c r="AL41" s="530"/>
      <c r="AM41" s="530"/>
      <c r="AN41" s="530"/>
      <c r="AO41" s="530"/>
      <c r="AP41" s="530"/>
      <c r="AQ41" s="530"/>
      <c r="AR41" s="530"/>
      <c r="AS41" s="530"/>
      <c r="AT41" s="530"/>
      <c r="AU41" s="530"/>
      <c r="AV41" s="530"/>
      <c r="AW41" s="530"/>
      <c r="AX41" s="530"/>
      <c r="AY41" s="530"/>
      <c r="AZ41" s="530"/>
      <c r="BA41" s="530"/>
      <c r="BB41" s="530"/>
      <c r="BC41" s="530"/>
      <c r="BD41" s="530"/>
      <c r="BE41" s="525"/>
      <c r="BF41" s="525"/>
      <c r="BG41" s="525"/>
      <c r="BH41" s="525"/>
      <c r="BI41" s="525"/>
      <c r="BJ41" s="525"/>
      <c r="BK41" s="525"/>
      <c r="BL41" s="525"/>
      <c r="BM41" s="525"/>
      <c r="BN41" s="525"/>
      <c r="BO41" s="525"/>
      <c r="BP41" s="525"/>
      <c r="BQ41" s="525"/>
      <c r="BR41" s="525"/>
      <c r="BS41" s="525"/>
      <c r="BT41" s="525"/>
      <c r="BU41" s="525"/>
      <c r="BV41" s="525"/>
    </row>
    <row r="42" spans="1:74" ht="12" customHeight="1">
      <c r="A42" s="30"/>
      <c r="B42" s="123" t="str">
        <f>UPPER(LEFT(TRIM(Data!B44),1)) &amp; MID(TRIM(Data!B44),2,50)</f>
        <v>Melanoma in situ</v>
      </c>
      <c r="C42" s="123" t="str">
        <f>UPPER(LEFT(TRIM(Data!C44),1)) &amp; MID(TRIM(Data!C44),2,50)</f>
        <v>D03</v>
      </c>
      <c r="D42" s="124">
        <f>Data!D44</f>
        <v>17</v>
      </c>
      <c r="E42" s="125">
        <f t="shared" si="0"/>
        <v>1.247758621828583</v>
      </c>
      <c r="F42" s="126">
        <f t="shared" si="4"/>
        <v>1.1724482302890349</v>
      </c>
      <c r="G42" s="127">
        <f t="shared" si="1"/>
        <v>0.87846207459282299</v>
      </c>
      <c r="H42" s="72"/>
      <c r="I42" s="72"/>
      <c r="J42" s="72"/>
      <c r="K42" s="72"/>
      <c r="L42" s="72"/>
      <c r="M42" s="72"/>
      <c r="N42" s="72"/>
      <c r="O42" s="56"/>
      <c r="P42" s="329"/>
      <c r="Q42" s="536" t="s">
        <v>352</v>
      </c>
      <c r="R42" s="530">
        <f t="shared" si="2"/>
        <v>117244.82302890348</v>
      </c>
      <c r="S42" s="530">
        <f>Data!Q44/S$4*100000*S$3</f>
        <v>0</v>
      </c>
      <c r="T42" s="530">
        <f>Data!R44/T$4*100000*T$3</f>
        <v>0</v>
      </c>
      <c r="U42" s="530">
        <f>Data!S44/U$4*100000*U$3</f>
        <v>0</v>
      </c>
      <c r="V42" s="530">
        <f>Data!T44/V$4*100000*V$3</f>
        <v>0</v>
      </c>
      <c r="W42" s="530">
        <f>Data!U44/W$4*100000*W$3</f>
        <v>0</v>
      </c>
      <c r="X42" s="530">
        <f>Data!V44/X$4*100000*X$3</f>
        <v>7035.5294235891261</v>
      </c>
      <c r="Y42" s="530">
        <f>Data!W44/Y$4*100000*Y$3</f>
        <v>7908.2641360221432</v>
      </c>
      <c r="Z42" s="530">
        <f>Data!X44/Z$4*100000*Z$3</f>
        <v>7672.6623042101</v>
      </c>
      <c r="AA42" s="530">
        <f>Data!Y44/AA$4*100000*AA$3</f>
        <v>13848.086491191629</v>
      </c>
      <c r="AB42" s="530">
        <f>Data!Z44/AB$4*100000*AB$3</f>
        <v>6832.7346556301736</v>
      </c>
      <c r="AC42" s="530">
        <f>Data!AA44/AC$4*100000*AC$3</f>
        <v>12679.666343637073</v>
      </c>
      <c r="AD42" s="530">
        <f>Data!AB44/AD$4*100000*AD$3</f>
        <v>13576.810807141403</v>
      </c>
      <c r="AE42" s="530">
        <f>Data!AC44/AE$4*100000*AE$3</f>
        <v>6895.1251465214091</v>
      </c>
      <c r="AF42" s="530">
        <f>Data!AD44/AF$4*100000*AF$3</f>
        <v>14906.461951255871</v>
      </c>
      <c r="AG42" s="530">
        <f>Data!AE44/AG$4*100000*AG$3</f>
        <v>5851.8316232980915</v>
      </c>
      <c r="AH42" s="530">
        <f>Data!AF44/AH$4*100000*AH$3</f>
        <v>5122.2947880650527</v>
      </c>
      <c r="AI42" s="530">
        <f>Data!AG44/AI$4*100000*AI$3</f>
        <v>0</v>
      </c>
      <c r="AJ42" s="530">
        <f>Data!AH44/AJ$4*100000*AJ$3</f>
        <v>14915.355358341412</v>
      </c>
      <c r="AK42" s="536" t="s">
        <v>352</v>
      </c>
      <c r="AL42" s="530">
        <f t="shared" si="3"/>
        <v>87846.207459282305</v>
      </c>
      <c r="AM42" s="530">
        <f>Data!Q44/AM$4*100000*AM$3</f>
        <v>0</v>
      </c>
      <c r="AN42" s="530">
        <f>Data!R44/AN$4*100000*AN$3</f>
        <v>0</v>
      </c>
      <c r="AO42" s="530">
        <f>Data!S44/AO$4*100000*AO$3</f>
        <v>0</v>
      </c>
      <c r="AP42" s="530">
        <f>Data!T44/AP$4*100000*AP$3</f>
        <v>0</v>
      </c>
      <c r="AQ42" s="530">
        <f>Data!U44/AQ$4*100000*AQ$3</f>
        <v>0</v>
      </c>
      <c r="AR42" s="530">
        <f>Data!V44/AR$4*100000*AR$3</f>
        <v>8040.6050555304291</v>
      </c>
      <c r="AS42" s="530">
        <f>Data!W44/AS$4*100000*AS$3</f>
        <v>6778.5121165904084</v>
      </c>
      <c r="AT42" s="530">
        <f>Data!X44/AT$4*100000*AT$3</f>
        <v>6576.5676893229429</v>
      </c>
      <c r="AU42" s="530">
        <f>Data!Y44/AU$4*100000*AU$3</f>
        <v>11869.788421021396</v>
      </c>
      <c r="AV42" s="530">
        <f>Data!Z44/AV$4*100000*AV$3</f>
        <v>5856.629704825863</v>
      </c>
      <c r="AW42" s="530">
        <f>Data!AA44/AW$4*100000*AW$3</f>
        <v>9056.9045311693371</v>
      </c>
      <c r="AX42" s="530">
        <f>Data!AB44/AX$4*100000*AX$3</f>
        <v>9051.2072047609345</v>
      </c>
      <c r="AY42" s="530">
        <f>Data!AC44/AY$4*100000*AY$3</f>
        <v>5516.1001172171273</v>
      </c>
      <c r="AZ42" s="530">
        <f>Data!AD44/AZ$4*100000*AZ$3</f>
        <v>11179.846463441903</v>
      </c>
      <c r="BA42" s="530">
        <f>Data!AE44/BA$4*100000*BA$3</f>
        <v>3901.2210821987278</v>
      </c>
      <c r="BB42" s="530">
        <f>Data!AF44/BB$4*100000*BB$3</f>
        <v>2561.1473940325263</v>
      </c>
      <c r="BC42" s="530">
        <f>Data!AG44/BC$4*100000*BC$3</f>
        <v>0</v>
      </c>
      <c r="BD42" s="530">
        <f>Data!AH44/BD$4*100000*BD$3</f>
        <v>7457.6776791707061</v>
      </c>
      <c r="BE42" s="525"/>
      <c r="BF42" s="525"/>
      <c r="BG42" s="525"/>
      <c r="BH42" s="525"/>
      <c r="BI42" s="525"/>
      <c r="BJ42" s="525"/>
      <c r="BK42" s="525"/>
      <c r="BL42" s="525"/>
      <c r="BM42" s="525"/>
      <c r="BN42" s="525"/>
      <c r="BO42" s="525"/>
      <c r="BP42" s="525"/>
      <c r="BQ42" s="525"/>
      <c r="BR42" s="525"/>
      <c r="BS42" s="525"/>
      <c r="BT42" s="525"/>
      <c r="BU42" s="525"/>
      <c r="BV42" s="525"/>
    </row>
    <row r="43" spans="1:74" ht="12" customHeight="1">
      <c r="A43" s="30"/>
      <c r="B43" s="128" t="str">
        <f>UPPER(LEFT(TRIM(Data!B45),1)) &amp; MID(TRIM(Data!B45),2,50)</f>
        <v>Krūties navikai in situ</v>
      </c>
      <c r="C43" s="128" t="str">
        <f>UPPER(LEFT(TRIM(Data!C45),1)) &amp; MID(TRIM(Data!C45),2,50)</f>
        <v>D05</v>
      </c>
      <c r="D43" s="129">
        <f>Data!D45</f>
        <v>0</v>
      </c>
      <c r="E43" s="130">
        <f t="shared" si="0"/>
        <v>0</v>
      </c>
      <c r="F43" s="131">
        <f t="shared" si="4"/>
        <v>0</v>
      </c>
      <c r="G43" s="131">
        <f t="shared" si="1"/>
        <v>0</v>
      </c>
      <c r="H43" s="72"/>
      <c r="I43" s="72"/>
      <c r="J43" s="72"/>
      <c r="K43" s="72"/>
      <c r="L43" s="72"/>
      <c r="M43" s="72"/>
      <c r="N43" s="72"/>
      <c r="O43" s="56"/>
      <c r="P43" s="329"/>
      <c r="Q43" s="536" t="s">
        <v>352</v>
      </c>
      <c r="R43" s="530">
        <f t="shared" si="2"/>
        <v>0</v>
      </c>
      <c r="S43" s="530">
        <f>Data!Q45/S$4*100000*S$3</f>
        <v>0</v>
      </c>
      <c r="T43" s="530">
        <f>Data!R45/T$4*100000*T$3</f>
        <v>0</v>
      </c>
      <c r="U43" s="530">
        <f>Data!S45/U$4*100000*U$3</f>
        <v>0</v>
      </c>
      <c r="V43" s="530">
        <f>Data!T45/V$4*100000*V$3</f>
        <v>0</v>
      </c>
      <c r="W43" s="530">
        <f>Data!U45/W$4*100000*W$3</f>
        <v>0</v>
      </c>
      <c r="X43" s="530">
        <f>Data!V45/X$4*100000*X$3</f>
        <v>0</v>
      </c>
      <c r="Y43" s="530">
        <f>Data!W45/Y$4*100000*Y$3</f>
        <v>0</v>
      </c>
      <c r="Z43" s="530">
        <f>Data!X45/Z$4*100000*Z$3</f>
        <v>0</v>
      </c>
      <c r="AA43" s="530">
        <f>Data!Y45/AA$4*100000*AA$3</f>
        <v>0</v>
      </c>
      <c r="AB43" s="530">
        <f>Data!Z45/AB$4*100000*AB$3</f>
        <v>0</v>
      </c>
      <c r="AC43" s="530">
        <f>Data!AA45/AC$4*100000*AC$3</f>
        <v>0</v>
      </c>
      <c r="AD43" s="530">
        <f>Data!AB45/AD$4*100000*AD$3</f>
        <v>0</v>
      </c>
      <c r="AE43" s="530">
        <f>Data!AC45/AE$4*100000*AE$3</f>
        <v>0</v>
      </c>
      <c r="AF43" s="530">
        <f>Data!AD45/AF$4*100000*AF$3</f>
        <v>0</v>
      </c>
      <c r="AG43" s="530">
        <f>Data!AE45/AG$4*100000*AG$3</f>
        <v>0</v>
      </c>
      <c r="AH43" s="530">
        <f>Data!AF45/AH$4*100000*AH$3</f>
        <v>0</v>
      </c>
      <c r="AI43" s="530">
        <f>Data!AG45/AI$4*100000*AI$3</f>
        <v>0</v>
      </c>
      <c r="AJ43" s="530">
        <f>Data!AH45/AJ$4*100000*AJ$3</f>
        <v>0</v>
      </c>
      <c r="AK43" s="536" t="s">
        <v>352</v>
      </c>
      <c r="AL43" s="530">
        <f t="shared" si="3"/>
        <v>0</v>
      </c>
      <c r="AM43" s="530">
        <f>Data!Q45/AM$4*100000*AM$3</f>
        <v>0</v>
      </c>
      <c r="AN43" s="530">
        <f>Data!R45/AN$4*100000*AN$3</f>
        <v>0</v>
      </c>
      <c r="AO43" s="530">
        <f>Data!S45/AO$4*100000*AO$3</f>
        <v>0</v>
      </c>
      <c r="AP43" s="530">
        <f>Data!T45/AP$4*100000*AP$3</f>
        <v>0</v>
      </c>
      <c r="AQ43" s="530">
        <f>Data!U45/AQ$4*100000*AQ$3</f>
        <v>0</v>
      </c>
      <c r="AR43" s="530">
        <f>Data!V45/AR$4*100000*AR$3</f>
        <v>0</v>
      </c>
      <c r="AS43" s="530">
        <f>Data!W45/AS$4*100000*AS$3</f>
        <v>0</v>
      </c>
      <c r="AT43" s="530">
        <f>Data!X45/AT$4*100000*AT$3</f>
        <v>0</v>
      </c>
      <c r="AU43" s="530">
        <f>Data!Y45/AU$4*100000*AU$3</f>
        <v>0</v>
      </c>
      <c r="AV43" s="530">
        <f>Data!Z45/AV$4*100000*AV$3</f>
        <v>0</v>
      </c>
      <c r="AW43" s="530">
        <f>Data!AA45/AW$4*100000*AW$3</f>
        <v>0</v>
      </c>
      <c r="AX43" s="530">
        <f>Data!AB45/AX$4*100000*AX$3</f>
        <v>0</v>
      </c>
      <c r="AY43" s="530">
        <f>Data!AC45/AY$4*100000*AY$3</f>
        <v>0</v>
      </c>
      <c r="AZ43" s="530">
        <f>Data!AD45/AZ$4*100000*AZ$3</f>
        <v>0</v>
      </c>
      <c r="BA43" s="530">
        <f>Data!AE45/BA$4*100000*BA$3</f>
        <v>0</v>
      </c>
      <c r="BB43" s="530">
        <f>Data!AF45/BB$4*100000*BB$3</f>
        <v>0</v>
      </c>
      <c r="BC43" s="530">
        <f>Data!AG45/BC$4*100000*BC$3</f>
        <v>0</v>
      </c>
      <c r="BD43" s="530">
        <f>Data!AH45/BD$4*100000*BD$3</f>
        <v>0</v>
      </c>
      <c r="BE43" s="525"/>
      <c r="BF43" s="525"/>
      <c r="BG43" s="525"/>
      <c r="BH43" s="525"/>
      <c r="BI43" s="525"/>
      <c r="BJ43" s="525"/>
      <c r="BK43" s="525"/>
      <c r="BL43" s="525"/>
      <c r="BM43" s="525"/>
      <c r="BN43" s="525"/>
      <c r="BO43" s="525"/>
      <c r="BP43" s="525"/>
      <c r="BQ43" s="525"/>
      <c r="BR43" s="525"/>
      <c r="BS43" s="525"/>
      <c r="BT43" s="525"/>
      <c r="BU43" s="525"/>
      <c r="BV43" s="525"/>
    </row>
    <row r="44" spans="1:74" ht="12" customHeight="1">
      <c r="A44" s="30"/>
      <c r="B44" s="123" t="str">
        <f>UPPER(LEFT(TRIM(Data!B47),1)) &amp; MID(TRIM(Data!B47),2,50)</f>
        <v>Šlapimo pūslės in situ</v>
      </c>
      <c r="C44" s="123" t="str">
        <f>UPPER(LEFT(TRIM(Data!C47),1)) &amp; MID(TRIM(Data!C47),2,50)</f>
        <v>D09.0</v>
      </c>
      <c r="D44" s="124">
        <f>Data!D47</f>
        <v>98</v>
      </c>
      <c r="E44" s="125">
        <f t="shared" si="0"/>
        <v>7.1929614670118305</v>
      </c>
      <c r="F44" s="126">
        <f t="shared" si="4"/>
        <v>6.0079524892991865</v>
      </c>
      <c r="G44" s="127">
        <f t="shared" si="1"/>
        <v>4.0522451318297188</v>
      </c>
      <c r="H44" s="72"/>
      <c r="I44" s="72"/>
      <c r="J44" s="72"/>
      <c r="K44" s="72"/>
      <c r="L44" s="72"/>
      <c r="M44" s="72"/>
      <c r="N44" s="72"/>
      <c r="O44" s="56"/>
      <c r="P44" s="329"/>
      <c r="Q44" s="536" t="s">
        <v>352</v>
      </c>
      <c r="R44" s="530">
        <f t="shared" si="2"/>
        <v>600795.24892991863</v>
      </c>
      <c r="S44" s="530">
        <f>Data!Q47/S$4*100000*S$3</f>
        <v>0</v>
      </c>
      <c r="T44" s="530">
        <f>Data!R47/T$4*100000*T$3</f>
        <v>0</v>
      </c>
      <c r="U44" s="530">
        <f>Data!S47/U$4*100000*U$3</f>
        <v>0</v>
      </c>
      <c r="V44" s="530">
        <f>Data!T47/V$4*100000*V$3</f>
        <v>0</v>
      </c>
      <c r="W44" s="530">
        <f>Data!U47/W$4*100000*W$3</f>
        <v>6361.1497323773438</v>
      </c>
      <c r="X44" s="530">
        <f>Data!V47/X$4*100000*X$3</f>
        <v>0</v>
      </c>
      <c r="Y44" s="530">
        <f>Data!W47/Y$4*100000*Y$3</f>
        <v>0</v>
      </c>
      <c r="Z44" s="530">
        <f>Data!X47/Z$4*100000*Z$3</f>
        <v>7672.6623042101</v>
      </c>
      <c r="AA44" s="530">
        <f>Data!Y47/AA$4*100000*AA$3</f>
        <v>6924.0432455958144</v>
      </c>
      <c r="AB44" s="530">
        <f>Data!Z47/AB$4*100000*AB$3</f>
        <v>0</v>
      </c>
      <c r="AC44" s="530">
        <f>Data!AA47/AC$4*100000*AC$3</f>
        <v>25359.332687274145</v>
      </c>
      <c r="AD44" s="530">
        <f>Data!AB47/AD$4*100000*AD$3</f>
        <v>67884.054035707013</v>
      </c>
      <c r="AE44" s="530">
        <f>Data!AC47/AE$4*100000*AE$3</f>
        <v>110322.00234434255</v>
      </c>
      <c r="AF44" s="530">
        <f>Data!AD47/AF$4*100000*AF$3</f>
        <v>96892.002683163155</v>
      </c>
      <c r="AG44" s="530">
        <f>Data!AE47/AG$4*100000*AG$3</f>
        <v>128740.29571255804</v>
      </c>
      <c r="AH44" s="530">
        <f>Data!AF47/AH$4*100000*AH$3</f>
        <v>61467.537456780643</v>
      </c>
      <c r="AI44" s="530">
        <f>Data!AG47/AI$4*100000*AI$3</f>
        <v>51883.780332056194</v>
      </c>
      <c r="AJ44" s="530">
        <f>Data!AH47/AJ$4*100000*AJ$3</f>
        <v>37288.38839585353</v>
      </c>
      <c r="AK44" s="536" t="s">
        <v>352</v>
      </c>
      <c r="AL44" s="530">
        <f t="shared" si="3"/>
        <v>405224.51318297192</v>
      </c>
      <c r="AM44" s="530">
        <f>Data!Q47/AM$4*100000*AM$3</f>
        <v>0</v>
      </c>
      <c r="AN44" s="530">
        <f>Data!R47/AN$4*100000*AN$3</f>
        <v>0</v>
      </c>
      <c r="AO44" s="530">
        <f>Data!S47/AO$4*100000*AO$3</f>
        <v>0</v>
      </c>
      <c r="AP44" s="530">
        <f>Data!T47/AP$4*100000*AP$3</f>
        <v>0</v>
      </c>
      <c r="AQ44" s="530">
        <f>Data!U47/AQ$4*100000*AQ$3</f>
        <v>7269.8854084312497</v>
      </c>
      <c r="AR44" s="530">
        <f>Data!V47/AR$4*100000*AR$3</f>
        <v>0</v>
      </c>
      <c r="AS44" s="530">
        <f>Data!W47/AS$4*100000*AS$3</f>
        <v>0</v>
      </c>
      <c r="AT44" s="530">
        <f>Data!X47/AT$4*100000*AT$3</f>
        <v>6576.5676893229429</v>
      </c>
      <c r="AU44" s="530">
        <f>Data!Y47/AU$4*100000*AU$3</f>
        <v>5934.894210510698</v>
      </c>
      <c r="AV44" s="530">
        <f>Data!Z47/AV$4*100000*AV$3</f>
        <v>0</v>
      </c>
      <c r="AW44" s="530">
        <f>Data!AA47/AW$4*100000*AW$3</f>
        <v>18113.809062338674</v>
      </c>
      <c r="AX44" s="530">
        <f>Data!AB47/AX$4*100000*AX$3</f>
        <v>45256.036023804678</v>
      </c>
      <c r="AY44" s="530">
        <f>Data!AC47/AY$4*100000*AY$3</f>
        <v>88257.601875474036</v>
      </c>
      <c r="AZ44" s="530">
        <f>Data!AD47/AZ$4*100000*AZ$3</f>
        <v>72669.002012372366</v>
      </c>
      <c r="BA44" s="530">
        <f>Data!AE47/BA$4*100000*BA$3</f>
        <v>85826.863808372029</v>
      </c>
      <c r="BB44" s="530">
        <f>Data!AF47/BB$4*100000*BB$3</f>
        <v>30733.768728390321</v>
      </c>
      <c r="BC44" s="530">
        <f>Data!AG47/BC$4*100000*BC$3</f>
        <v>25941.890166028097</v>
      </c>
      <c r="BD44" s="530">
        <f>Data!AH47/BD$4*100000*BD$3</f>
        <v>18644.194197926765</v>
      </c>
      <c r="BE44" s="525"/>
      <c r="BF44" s="525"/>
      <c r="BG44" s="525"/>
      <c r="BH44" s="525"/>
      <c r="BI44" s="525"/>
      <c r="BJ44" s="525"/>
      <c r="BK44" s="525"/>
      <c r="BL44" s="525"/>
      <c r="BM44" s="525"/>
      <c r="BN44" s="525"/>
      <c r="BO44" s="525"/>
      <c r="BP44" s="525"/>
      <c r="BQ44" s="525"/>
      <c r="BR44" s="525"/>
      <c r="BS44" s="525"/>
      <c r="BT44" s="525"/>
      <c r="BU44" s="525"/>
      <c r="BV44" s="525"/>
    </row>
    <row r="45" spans="1:74" ht="12" customHeight="1">
      <c r="A45" s="30"/>
      <c r="B45" s="128" t="str">
        <f>UPPER(LEFT(TRIM(Data!B48),1)) &amp; MID(TRIM(Data!B48),2,50)</f>
        <v>Nervų sistemos gerybiniai navikai</v>
      </c>
      <c r="C45" s="128" t="str">
        <f>UPPER(LEFT(TRIM(Data!C48),1)) &amp; MID(TRIM(Data!C48),2,50)</f>
        <v>D32, D33</v>
      </c>
      <c r="D45" s="129">
        <f>Data!D48</f>
        <v>42</v>
      </c>
      <c r="E45" s="130">
        <f t="shared" si="0"/>
        <v>3.0826977715764992</v>
      </c>
      <c r="F45" s="131">
        <f t="shared" si="4"/>
        <v>2.7837210087848061</v>
      </c>
      <c r="G45" s="131">
        <f t="shared" si="1"/>
        <v>2.087535682211378</v>
      </c>
      <c r="H45" s="72"/>
      <c r="I45" s="72"/>
      <c r="J45" s="72"/>
      <c r="K45" s="72"/>
      <c r="L45" s="72"/>
      <c r="M45" s="72"/>
      <c r="N45" s="72"/>
      <c r="O45" s="56"/>
      <c r="P45" s="329"/>
      <c r="Q45" s="536" t="s">
        <v>352</v>
      </c>
      <c r="R45" s="530">
        <f t="shared" si="2"/>
        <v>278372.10087848059</v>
      </c>
      <c r="S45" s="530">
        <f>Data!Q48/S$4*100000*S$3</f>
        <v>0</v>
      </c>
      <c r="T45" s="530">
        <f>Data!R48/T$4*100000*T$3</f>
        <v>0</v>
      </c>
      <c r="U45" s="530">
        <f>Data!S48/U$4*100000*U$3</f>
        <v>0</v>
      </c>
      <c r="V45" s="530">
        <f>Data!T48/V$4*100000*V$3</f>
        <v>7478.3128926114268</v>
      </c>
      <c r="W45" s="530">
        <f>Data!U48/W$4*100000*W$3</f>
        <v>6361.1497323773438</v>
      </c>
      <c r="X45" s="530">
        <f>Data!V48/X$4*100000*X$3</f>
        <v>7035.5294235891261</v>
      </c>
      <c r="Y45" s="530">
        <f>Data!W48/Y$4*100000*Y$3</f>
        <v>7908.2641360221432</v>
      </c>
      <c r="Z45" s="530">
        <f>Data!X48/Z$4*100000*Z$3</f>
        <v>7672.6623042101</v>
      </c>
      <c r="AA45" s="530">
        <f>Data!Y48/AA$4*100000*AA$3</f>
        <v>6924.0432455958144</v>
      </c>
      <c r="AB45" s="530">
        <f>Data!Z48/AB$4*100000*AB$3</f>
        <v>6832.7346556301736</v>
      </c>
      <c r="AC45" s="530">
        <f>Data!AA48/AC$4*100000*AC$3</f>
        <v>19019.499515455605</v>
      </c>
      <c r="AD45" s="530">
        <f>Data!AB48/AD$4*100000*AD$3</f>
        <v>20365.216210712104</v>
      </c>
      <c r="AE45" s="530">
        <f>Data!AC48/AE$4*100000*AE$3</f>
        <v>55161.001172171273</v>
      </c>
      <c r="AF45" s="530">
        <f>Data!AD48/AF$4*100000*AF$3</f>
        <v>74532.309756279341</v>
      </c>
      <c r="AG45" s="530">
        <f>Data!AE48/AG$4*100000*AG$3</f>
        <v>11703.663246596183</v>
      </c>
      <c r="AH45" s="530">
        <f>Data!AF48/AH$4*100000*AH$3</f>
        <v>20489.179152260211</v>
      </c>
      <c r="AI45" s="530">
        <f>Data!AG48/AI$4*100000*AI$3</f>
        <v>11973.180076628352</v>
      </c>
      <c r="AJ45" s="530">
        <f>Data!AH48/AJ$4*100000*AJ$3</f>
        <v>14915.355358341412</v>
      </c>
      <c r="AK45" s="536" t="s">
        <v>352</v>
      </c>
      <c r="AL45" s="530">
        <f t="shared" si="3"/>
        <v>208753.5682211378</v>
      </c>
      <c r="AM45" s="530">
        <f>Data!Q48/AM$4*100000*AM$3</f>
        <v>0</v>
      </c>
      <c r="AN45" s="530">
        <f>Data!R48/AN$4*100000*AN$3</f>
        <v>0</v>
      </c>
      <c r="AO45" s="530">
        <f>Data!S48/AO$4*100000*AO$3</f>
        <v>0</v>
      </c>
      <c r="AP45" s="530">
        <f>Data!T48/AP$4*100000*AP$3</f>
        <v>9614.9737190718351</v>
      </c>
      <c r="AQ45" s="530">
        <f>Data!U48/AQ$4*100000*AQ$3</f>
        <v>7269.8854084312497</v>
      </c>
      <c r="AR45" s="530">
        <f>Data!V48/AR$4*100000*AR$3</f>
        <v>8040.6050555304291</v>
      </c>
      <c r="AS45" s="530">
        <f>Data!W48/AS$4*100000*AS$3</f>
        <v>6778.5121165904084</v>
      </c>
      <c r="AT45" s="530">
        <f>Data!X48/AT$4*100000*AT$3</f>
        <v>6576.5676893229429</v>
      </c>
      <c r="AU45" s="530">
        <f>Data!Y48/AU$4*100000*AU$3</f>
        <v>5934.894210510698</v>
      </c>
      <c r="AV45" s="530">
        <f>Data!Z48/AV$4*100000*AV$3</f>
        <v>5856.629704825863</v>
      </c>
      <c r="AW45" s="530">
        <f>Data!AA48/AW$4*100000*AW$3</f>
        <v>13585.356796754004</v>
      </c>
      <c r="AX45" s="530">
        <f>Data!AB48/AX$4*100000*AX$3</f>
        <v>13576.810807141403</v>
      </c>
      <c r="AY45" s="530">
        <f>Data!AC48/AY$4*100000*AY$3</f>
        <v>44128.800937737018</v>
      </c>
      <c r="AZ45" s="530">
        <f>Data!AD48/AZ$4*100000*AZ$3</f>
        <v>55899.232317209513</v>
      </c>
      <c r="BA45" s="530">
        <f>Data!AE48/BA$4*100000*BA$3</f>
        <v>7802.4421643974556</v>
      </c>
      <c r="BB45" s="530">
        <f>Data!AF48/BB$4*100000*BB$3</f>
        <v>10244.589576130105</v>
      </c>
      <c r="BC45" s="530">
        <f>Data!AG48/BC$4*100000*BC$3</f>
        <v>5986.5900383141761</v>
      </c>
      <c r="BD45" s="530">
        <f>Data!AH48/BD$4*100000*BD$3</f>
        <v>7457.6776791707061</v>
      </c>
      <c r="BE45" s="525"/>
      <c r="BF45" s="525"/>
      <c r="BG45" s="525"/>
      <c r="BH45" s="525"/>
      <c r="BI45" s="525"/>
      <c r="BJ45" s="525"/>
      <c r="BK45" s="525"/>
      <c r="BL45" s="525"/>
      <c r="BM45" s="525"/>
      <c r="BN45" s="525"/>
      <c r="BO45" s="525"/>
      <c r="BP45" s="525"/>
      <c r="BQ45" s="525"/>
      <c r="BR45" s="525"/>
      <c r="BS45" s="525"/>
      <c r="BT45" s="525"/>
      <c r="BU45" s="525"/>
      <c r="BV45" s="525"/>
    </row>
    <row r="46" spans="1:74" ht="12" customHeight="1">
      <c r="A46" s="30"/>
      <c r="B46" s="123" t="str">
        <f>UPPER(LEFT(TRIM(Data!B50),1)) &amp; MID(TRIM(Data!B50),2,50)</f>
        <v>Kiti nervų sistemos</v>
      </c>
      <c r="C46" s="123" t="str">
        <f>UPPER(LEFT(TRIM(Data!C50),1)) &amp; MID(TRIM(Data!C50),2,50)</f>
        <v>D42, D43</v>
      </c>
      <c r="D46" s="124">
        <f>Data!D50</f>
        <v>18</v>
      </c>
      <c r="E46" s="125">
        <f t="shared" si="0"/>
        <v>1.3211561878184994</v>
      </c>
      <c r="F46" s="126">
        <f t="shared" si="4"/>
        <v>1.2352101840332466</v>
      </c>
      <c r="G46" s="127">
        <f t="shared" si="1"/>
        <v>1.1452396510634677</v>
      </c>
      <c r="H46" s="72"/>
      <c r="I46" s="72"/>
      <c r="J46" s="72"/>
      <c r="K46" s="72"/>
      <c r="L46" s="72"/>
      <c r="M46" s="72"/>
      <c r="N46" s="72"/>
      <c r="O46" s="56"/>
      <c r="P46" s="329"/>
      <c r="Q46" s="536" t="s">
        <v>352</v>
      </c>
      <c r="R46" s="530">
        <f t="shared" si="2"/>
        <v>123521.01840332465</v>
      </c>
      <c r="S46" s="530">
        <f>Data!Q50/S$4*100000*S$3</f>
        <v>20658.489347966432</v>
      </c>
      <c r="T46" s="530">
        <f>Data!R50/T$4*100000*T$3</f>
        <v>10144.339458582112</v>
      </c>
      <c r="U46" s="530">
        <f>Data!S50/U$4*100000*U$3</f>
        <v>0</v>
      </c>
      <c r="V46" s="530">
        <f>Data!T50/V$4*100000*V$3</f>
        <v>7478.3128926114268</v>
      </c>
      <c r="W46" s="530">
        <f>Data!U50/W$4*100000*W$3</f>
        <v>0</v>
      </c>
      <c r="X46" s="530">
        <f>Data!V50/X$4*100000*X$3</f>
        <v>0</v>
      </c>
      <c r="Y46" s="530">
        <f>Data!W50/Y$4*100000*Y$3</f>
        <v>0</v>
      </c>
      <c r="Z46" s="530">
        <f>Data!X50/Z$4*100000*Z$3</f>
        <v>15345.3246084202</v>
      </c>
      <c r="AA46" s="530">
        <f>Data!Y50/AA$4*100000*AA$3</f>
        <v>0</v>
      </c>
      <c r="AB46" s="530">
        <f>Data!Z50/AB$4*100000*AB$3</f>
        <v>0</v>
      </c>
      <c r="AC46" s="530">
        <f>Data!AA50/AC$4*100000*AC$3</f>
        <v>6339.8331718185364</v>
      </c>
      <c r="AD46" s="530">
        <f>Data!AB50/AD$4*100000*AD$3</f>
        <v>6788.4054035707013</v>
      </c>
      <c r="AE46" s="530">
        <f>Data!AC50/AE$4*100000*AE$3</f>
        <v>13790.250293042818</v>
      </c>
      <c r="AF46" s="530">
        <f>Data!AD50/AF$4*100000*AF$3</f>
        <v>14906.461951255871</v>
      </c>
      <c r="AG46" s="530">
        <f>Data!AE50/AG$4*100000*AG$3</f>
        <v>5851.8316232980915</v>
      </c>
      <c r="AH46" s="530">
        <f>Data!AF50/AH$4*100000*AH$3</f>
        <v>10244.589576130105</v>
      </c>
      <c r="AI46" s="530">
        <f>Data!AG50/AI$4*100000*AI$3</f>
        <v>11973.180076628352</v>
      </c>
      <c r="AJ46" s="530">
        <f>Data!AH50/AJ$4*100000*AJ$3</f>
        <v>0</v>
      </c>
      <c r="AK46" s="536" t="s">
        <v>352</v>
      </c>
      <c r="AL46" s="530">
        <f t="shared" si="3"/>
        <v>114523.96510634676</v>
      </c>
      <c r="AM46" s="530">
        <f>Data!Q50/AM$4*100000*AM$3</f>
        <v>30987.734021949644</v>
      </c>
      <c r="AN46" s="530">
        <f>Data!R50/AN$4*100000*AN$3</f>
        <v>14491.91351226016</v>
      </c>
      <c r="AO46" s="530">
        <f>Data!S50/AO$4*100000*AO$3</f>
        <v>0</v>
      </c>
      <c r="AP46" s="530">
        <f>Data!T50/AP$4*100000*AP$3</f>
        <v>9614.9737190718351</v>
      </c>
      <c r="AQ46" s="530">
        <f>Data!U50/AQ$4*100000*AQ$3</f>
        <v>0</v>
      </c>
      <c r="AR46" s="530">
        <f>Data!V50/AR$4*100000*AR$3</f>
        <v>0</v>
      </c>
      <c r="AS46" s="530">
        <f>Data!W50/AS$4*100000*AS$3</f>
        <v>0</v>
      </c>
      <c r="AT46" s="530">
        <f>Data!X50/AT$4*100000*AT$3</f>
        <v>13153.135378645886</v>
      </c>
      <c r="AU46" s="530">
        <f>Data!Y50/AU$4*100000*AU$3</f>
        <v>0</v>
      </c>
      <c r="AV46" s="530">
        <f>Data!Z50/AV$4*100000*AV$3</f>
        <v>0</v>
      </c>
      <c r="AW46" s="530">
        <f>Data!AA50/AW$4*100000*AW$3</f>
        <v>4528.4522655846686</v>
      </c>
      <c r="AX46" s="530">
        <f>Data!AB50/AX$4*100000*AX$3</f>
        <v>4525.6036023804672</v>
      </c>
      <c r="AY46" s="530">
        <f>Data!AC50/AY$4*100000*AY$3</f>
        <v>11032.200234434255</v>
      </c>
      <c r="AZ46" s="530">
        <f>Data!AD50/AZ$4*100000*AZ$3</f>
        <v>11179.846463441903</v>
      </c>
      <c r="BA46" s="530">
        <f>Data!AE50/BA$4*100000*BA$3</f>
        <v>3901.2210821987278</v>
      </c>
      <c r="BB46" s="530">
        <f>Data!AF50/BB$4*100000*BB$3</f>
        <v>5122.2947880650527</v>
      </c>
      <c r="BC46" s="530">
        <f>Data!AG50/BC$4*100000*BC$3</f>
        <v>5986.5900383141761</v>
      </c>
      <c r="BD46" s="530">
        <f>Data!AH50/BD$4*100000*BD$3</f>
        <v>0</v>
      </c>
      <c r="BE46" s="525"/>
      <c r="BF46" s="525"/>
      <c r="BG46" s="525"/>
      <c r="BH46" s="525"/>
      <c r="BI46" s="525"/>
      <c r="BJ46" s="525"/>
      <c r="BK46" s="525"/>
      <c r="BL46" s="525"/>
      <c r="BM46" s="525"/>
      <c r="BN46" s="525"/>
      <c r="BO46" s="525"/>
      <c r="BP46" s="525"/>
      <c r="BQ46" s="525"/>
      <c r="BR46" s="525"/>
      <c r="BS46" s="525"/>
      <c r="BT46" s="525"/>
      <c r="BU46" s="525"/>
      <c r="BV46" s="525"/>
    </row>
    <row r="47" spans="1:74" ht="12" customHeight="1">
      <c r="A47" s="30"/>
      <c r="B47" s="128" t="str">
        <f>UPPER(LEFT(TRIM(Data!B51),1)) &amp; MID(TRIM(Data!B51),2,50)</f>
        <v>Limfinio ir kraujodaros audinių</v>
      </c>
      <c r="C47" s="128" t="str">
        <f>UPPER(LEFT(TRIM(Data!C51),1)) &amp; MID(TRIM(Data!C51),2,50)</f>
        <v>D45-D47</v>
      </c>
      <c r="D47" s="129">
        <f>Data!D51</f>
        <v>187</v>
      </c>
      <c r="E47" s="130">
        <f t="shared" si="0"/>
        <v>13.725344840114412</v>
      </c>
      <c r="F47" s="131">
        <f t="shared" si="4"/>
        <v>11.366749277880457</v>
      </c>
      <c r="G47" s="131">
        <f t="shared" si="1"/>
        <v>7.6690775219272904</v>
      </c>
      <c r="H47" s="72"/>
      <c r="I47" s="72"/>
      <c r="J47" s="72"/>
      <c r="K47" s="72"/>
      <c r="L47" s="72"/>
      <c r="M47" s="72"/>
      <c r="N47" s="72"/>
      <c r="O47" s="56"/>
      <c r="P47" s="329"/>
      <c r="Q47" s="536" t="s">
        <v>352</v>
      </c>
      <c r="R47" s="530">
        <f t="shared" si="2"/>
        <v>1136674.9277880457</v>
      </c>
      <c r="S47" s="530">
        <f>Data!Q51/S$4*100000*S$3</f>
        <v>0</v>
      </c>
      <c r="T47" s="530">
        <f>Data!R51/T$4*100000*T$3</f>
        <v>0</v>
      </c>
      <c r="U47" s="530">
        <f>Data!S51/U$4*100000*U$3</f>
        <v>9235.3158478019941</v>
      </c>
      <c r="V47" s="530">
        <f>Data!T51/V$4*100000*V$3</f>
        <v>0</v>
      </c>
      <c r="W47" s="530">
        <f>Data!U51/W$4*100000*W$3</f>
        <v>6361.1497323773438</v>
      </c>
      <c r="X47" s="530">
        <f>Data!V51/X$4*100000*X$3</f>
        <v>28142.117694356504</v>
      </c>
      <c r="Y47" s="530">
        <f>Data!W51/Y$4*100000*Y$3</f>
        <v>7908.2641360221432</v>
      </c>
      <c r="Z47" s="530">
        <f>Data!X51/Z$4*100000*Z$3</f>
        <v>7672.6623042101</v>
      </c>
      <c r="AA47" s="530">
        <f>Data!Y51/AA$4*100000*AA$3</f>
        <v>13848.086491191629</v>
      </c>
      <c r="AB47" s="530">
        <f>Data!Z51/AB$4*100000*AB$3</f>
        <v>20498.20396689052</v>
      </c>
      <c r="AC47" s="530">
        <f>Data!AA51/AC$4*100000*AC$3</f>
        <v>101437.33074909658</v>
      </c>
      <c r="AD47" s="530">
        <f>Data!AB51/AD$4*100000*AD$3</f>
        <v>122191.29726427264</v>
      </c>
      <c r="AE47" s="530">
        <f>Data!AC51/AE$4*100000*AE$3</f>
        <v>110322.00234434255</v>
      </c>
      <c r="AF47" s="530">
        <f>Data!AD51/AF$4*100000*AF$3</f>
        <v>163971.0814638146</v>
      </c>
      <c r="AG47" s="530">
        <f>Data!AE51/AG$4*100000*AG$3</f>
        <v>210665.93843873133</v>
      </c>
      <c r="AH47" s="530">
        <f>Data!AF51/AH$4*100000*AH$3</f>
        <v>133179.66448969135</v>
      </c>
      <c r="AI47" s="530">
        <f>Data!AG51/AI$4*100000*AI$3</f>
        <v>111749.68071519796</v>
      </c>
      <c r="AJ47" s="530">
        <f>Data!AH51/AJ$4*100000*AJ$3</f>
        <v>89492.132150048477</v>
      </c>
      <c r="AK47" s="536" t="s">
        <v>352</v>
      </c>
      <c r="AL47" s="530">
        <f t="shared" si="3"/>
        <v>766907.75219272904</v>
      </c>
      <c r="AM47" s="530">
        <f>Data!Q51/AM$4*100000*AM$3</f>
        <v>0</v>
      </c>
      <c r="AN47" s="530">
        <f>Data!R51/AN$4*100000*AN$3</f>
        <v>0</v>
      </c>
      <c r="AO47" s="530">
        <f>Data!S51/AO$4*100000*AO$3</f>
        <v>11873.977518602564</v>
      </c>
      <c r="AP47" s="530">
        <f>Data!T51/AP$4*100000*AP$3</f>
        <v>0</v>
      </c>
      <c r="AQ47" s="530">
        <f>Data!U51/AQ$4*100000*AQ$3</f>
        <v>7269.8854084312497</v>
      </c>
      <c r="AR47" s="530">
        <f>Data!V51/AR$4*100000*AR$3</f>
        <v>32162.420222121717</v>
      </c>
      <c r="AS47" s="530">
        <f>Data!W51/AS$4*100000*AS$3</f>
        <v>6778.5121165904084</v>
      </c>
      <c r="AT47" s="530">
        <f>Data!X51/AT$4*100000*AT$3</f>
        <v>6576.5676893229429</v>
      </c>
      <c r="AU47" s="530">
        <f>Data!Y51/AU$4*100000*AU$3</f>
        <v>11869.788421021396</v>
      </c>
      <c r="AV47" s="530">
        <f>Data!Z51/AV$4*100000*AV$3</f>
        <v>17569.889114477592</v>
      </c>
      <c r="AW47" s="530">
        <f>Data!AA51/AW$4*100000*AW$3</f>
        <v>72455.236249354697</v>
      </c>
      <c r="AX47" s="530">
        <f>Data!AB51/AX$4*100000*AX$3</f>
        <v>81460.864842848416</v>
      </c>
      <c r="AY47" s="530">
        <f>Data!AC51/AY$4*100000*AY$3</f>
        <v>88257.601875474036</v>
      </c>
      <c r="AZ47" s="530">
        <f>Data!AD51/AZ$4*100000*AZ$3</f>
        <v>122978.31109786093</v>
      </c>
      <c r="BA47" s="530">
        <f>Data!AE51/BA$4*100000*BA$3</f>
        <v>140443.95895915423</v>
      </c>
      <c r="BB47" s="530">
        <f>Data!AF51/BB$4*100000*BB$3</f>
        <v>66589.832244845675</v>
      </c>
      <c r="BC47" s="530">
        <f>Data!AG51/BC$4*100000*BC$3</f>
        <v>55874.84035759898</v>
      </c>
      <c r="BD47" s="530">
        <f>Data!AH51/BD$4*100000*BD$3</f>
        <v>44746.066075024239</v>
      </c>
      <c r="BE47" s="525"/>
      <c r="BF47" s="525"/>
      <c r="BG47" s="525"/>
      <c r="BH47" s="525"/>
      <c r="BI47" s="525"/>
      <c r="BJ47" s="525"/>
      <c r="BK47" s="525"/>
      <c r="BL47" s="525"/>
      <c r="BM47" s="525"/>
      <c r="BN47" s="525"/>
      <c r="BO47" s="525"/>
      <c r="BP47" s="525"/>
      <c r="BQ47" s="525"/>
      <c r="BR47" s="525"/>
      <c r="BS47" s="525"/>
      <c r="BT47" s="525"/>
      <c r="BU47" s="525"/>
      <c r="BV47" s="525"/>
    </row>
    <row r="48" spans="1:74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56"/>
      <c r="P48" s="329"/>
      <c r="Q48" s="524"/>
      <c r="R48" s="524"/>
      <c r="S48" s="524"/>
      <c r="T48" s="524"/>
      <c r="U48" s="524"/>
      <c r="V48" s="524"/>
      <c r="W48" s="524"/>
      <c r="X48" s="524"/>
      <c r="Y48" s="524"/>
      <c r="Z48" s="524"/>
      <c r="AA48" s="524"/>
      <c r="AB48" s="524"/>
      <c r="AC48" s="524"/>
      <c r="AD48" s="524"/>
      <c r="AE48" s="524"/>
      <c r="AF48" s="524"/>
      <c r="AG48" s="524"/>
      <c r="AH48" s="524"/>
      <c r="AI48" s="524"/>
      <c r="AJ48" s="524"/>
      <c r="AK48" s="524"/>
      <c r="AL48" s="524"/>
      <c r="AM48" s="524"/>
      <c r="AN48" s="524"/>
      <c r="AO48" s="524"/>
      <c r="AP48" s="524"/>
      <c r="AQ48" s="524"/>
      <c r="AR48" s="524"/>
      <c r="AS48" s="524"/>
      <c r="AT48" s="524"/>
      <c r="AU48" s="524"/>
      <c r="AV48" s="524"/>
      <c r="AW48" s="524"/>
      <c r="AX48" s="524"/>
      <c r="AY48" s="524"/>
      <c r="AZ48" s="524"/>
      <c r="BA48" s="524"/>
      <c r="BB48" s="524"/>
      <c r="BC48" s="524"/>
      <c r="BD48" s="524"/>
      <c r="BE48" s="525"/>
      <c r="BF48" s="525"/>
      <c r="BG48" s="525"/>
      <c r="BH48" s="525"/>
      <c r="BI48" s="525"/>
      <c r="BJ48" s="525"/>
      <c r="BK48" s="525"/>
      <c r="BL48" s="525"/>
      <c r="BM48" s="525"/>
      <c r="BN48" s="525"/>
      <c r="BO48" s="525"/>
      <c r="BP48" s="525"/>
      <c r="BQ48" s="525"/>
      <c r="BR48" s="525"/>
      <c r="BS48" s="525"/>
      <c r="BT48" s="525"/>
      <c r="BU48" s="525"/>
      <c r="BV48" s="525"/>
    </row>
    <row r="49" spans="1:74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56"/>
      <c r="P49" s="329"/>
      <c r="Q49" s="524"/>
      <c r="R49" s="524"/>
      <c r="S49" s="524"/>
      <c r="T49" s="524"/>
      <c r="U49" s="524"/>
      <c r="V49" s="524"/>
      <c r="W49" s="524"/>
      <c r="X49" s="524"/>
      <c r="Y49" s="524"/>
      <c r="Z49" s="524"/>
      <c r="AA49" s="524"/>
      <c r="AB49" s="524"/>
      <c r="AC49" s="524"/>
      <c r="AD49" s="524"/>
      <c r="AE49" s="524"/>
      <c r="AF49" s="524"/>
      <c r="AG49" s="524"/>
      <c r="AH49" s="524"/>
      <c r="AI49" s="524"/>
      <c r="AJ49" s="524"/>
      <c r="AK49" s="524"/>
      <c r="AL49" s="524"/>
      <c r="AM49" s="524"/>
      <c r="AN49" s="524"/>
      <c r="AO49" s="524"/>
      <c r="AP49" s="524"/>
      <c r="AQ49" s="524"/>
      <c r="AR49" s="524"/>
      <c r="AS49" s="524"/>
      <c r="AT49" s="524"/>
      <c r="AU49" s="524"/>
      <c r="AV49" s="524"/>
      <c r="AW49" s="524"/>
      <c r="AX49" s="524"/>
      <c r="AY49" s="524"/>
      <c r="AZ49" s="524"/>
      <c r="BA49" s="524"/>
      <c r="BB49" s="524"/>
      <c r="BC49" s="524"/>
      <c r="BD49" s="524"/>
      <c r="BE49" s="525"/>
      <c r="BF49" s="525"/>
      <c r="BG49" s="525"/>
      <c r="BH49" s="525"/>
      <c r="BI49" s="525"/>
      <c r="BJ49" s="525"/>
      <c r="BK49" s="525"/>
      <c r="BL49" s="525"/>
      <c r="BM49" s="525"/>
      <c r="BN49" s="525"/>
      <c r="BO49" s="525"/>
      <c r="BP49" s="525"/>
      <c r="BQ49" s="525"/>
      <c r="BR49" s="525"/>
      <c r="BS49" s="525"/>
      <c r="BT49" s="525"/>
      <c r="BU49" s="525"/>
      <c r="BV49" s="525"/>
    </row>
    <row r="50" spans="1:74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259"/>
      <c r="P50" s="329"/>
      <c r="Q50" s="524" t="s">
        <v>407</v>
      </c>
      <c r="R50" s="530">
        <f>SUM(S50:AJ50)</f>
        <v>100000</v>
      </c>
      <c r="S50" s="531">
        <v>8000</v>
      </c>
      <c r="T50" s="531">
        <v>7000</v>
      </c>
      <c r="U50" s="531">
        <v>7000</v>
      </c>
      <c r="V50" s="531">
        <v>7000</v>
      </c>
      <c r="W50" s="531">
        <v>7000</v>
      </c>
      <c r="X50" s="531">
        <v>7000</v>
      </c>
      <c r="Y50" s="531">
        <v>7000</v>
      </c>
      <c r="Z50" s="531">
        <v>7000</v>
      </c>
      <c r="AA50" s="531">
        <v>7000</v>
      </c>
      <c r="AB50" s="531">
        <v>7000</v>
      </c>
      <c r="AC50" s="531">
        <v>7000</v>
      </c>
      <c r="AD50" s="531">
        <v>6000</v>
      </c>
      <c r="AE50" s="531">
        <v>5000</v>
      </c>
      <c r="AF50" s="531">
        <v>4000</v>
      </c>
      <c r="AG50" s="531">
        <v>3000</v>
      </c>
      <c r="AH50" s="531">
        <v>2000</v>
      </c>
      <c r="AI50" s="531">
        <v>1000</v>
      </c>
      <c r="AJ50" s="531">
        <v>1000</v>
      </c>
      <c r="AK50" s="524" t="s">
        <v>407</v>
      </c>
      <c r="AL50" s="530">
        <v>100000</v>
      </c>
      <c r="AM50" s="531">
        <v>8000</v>
      </c>
      <c r="AN50" s="531">
        <v>7000</v>
      </c>
      <c r="AO50" s="531">
        <v>7000</v>
      </c>
      <c r="AP50" s="531">
        <v>7000</v>
      </c>
      <c r="AQ50" s="531">
        <v>7000</v>
      </c>
      <c r="AR50" s="531">
        <v>7000</v>
      </c>
      <c r="AS50" s="531">
        <v>7000</v>
      </c>
      <c r="AT50" s="531">
        <v>7000</v>
      </c>
      <c r="AU50" s="531">
        <v>7000</v>
      </c>
      <c r="AV50" s="531">
        <v>7000</v>
      </c>
      <c r="AW50" s="531">
        <v>7000</v>
      </c>
      <c r="AX50" s="531">
        <v>6000</v>
      </c>
      <c r="AY50" s="531">
        <v>5000</v>
      </c>
      <c r="AZ50" s="531">
        <v>4000</v>
      </c>
      <c r="BA50" s="531">
        <v>3000</v>
      </c>
      <c r="BB50" s="531">
        <v>2000</v>
      </c>
      <c r="BC50" s="531">
        <v>1000</v>
      </c>
      <c r="BD50" s="531">
        <v>1000</v>
      </c>
      <c r="BE50" s="525"/>
      <c r="BF50" s="525"/>
      <c r="BG50" s="525"/>
      <c r="BH50" s="525"/>
      <c r="BI50" s="525"/>
      <c r="BJ50" s="525"/>
      <c r="BK50" s="525"/>
      <c r="BL50" s="525"/>
      <c r="BM50" s="525"/>
      <c r="BN50" s="525"/>
      <c r="BO50" s="525"/>
      <c r="BP50" s="525"/>
      <c r="BQ50" s="525"/>
      <c r="BR50" s="525"/>
      <c r="BS50" s="525"/>
      <c r="BT50" s="525"/>
      <c r="BU50" s="525"/>
      <c r="BV50" s="525"/>
    </row>
    <row r="51" spans="1:74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259"/>
      <c r="P51" s="329"/>
      <c r="Q51" s="524" t="s">
        <v>408</v>
      </c>
      <c r="R51" s="524">
        <v>100000</v>
      </c>
      <c r="S51" s="524">
        <v>12000</v>
      </c>
      <c r="T51" s="524">
        <v>10000</v>
      </c>
      <c r="U51" s="524">
        <v>9000</v>
      </c>
      <c r="V51" s="524">
        <v>9000</v>
      </c>
      <c r="W51" s="524">
        <v>8000</v>
      </c>
      <c r="X51" s="524">
        <v>8000</v>
      </c>
      <c r="Y51" s="524">
        <v>6000</v>
      </c>
      <c r="Z51" s="524">
        <v>6000</v>
      </c>
      <c r="AA51" s="524">
        <v>6000</v>
      </c>
      <c r="AB51" s="524">
        <v>6000</v>
      </c>
      <c r="AC51" s="524">
        <v>5000</v>
      </c>
      <c r="AD51" s="524">
        <v>4000</v>
      </c>
      <c r="AE51" s="524">
        <v>4000</v>
      </c>
      <c r="AF51" s="524">
        <v>3000</v>
      </c>
      <c r="AG51" s="524">
        <v>2000</v>
      </c>
      <c r="AH51" s="524">
        <v>1000</v>
      </c>
      <c r="AI51" s="524">
        <v>500</v>
      </c>
      <c r="AJ51" s="524">
        <v>500</v>
      </c>
      <c r="AK51" s="524" t="s">
        <v>408</v>
      </c>
      <c r="AL51" s="524">
        <v>100000</v>
      </c>
      <c r="AM51" s="524">
        <v>12000</v>
      </c>
      <c r="AN51" s="524">
        <v>10000</v>
      </c>
      <c r="AO51" s="524">
        <v>9000</v>
      </c>
      <c r="AP51" s="524">
        <v>9000</v>
      </c>
      <c r="AQ51" s="524">
        <v>8000</v>
      </c>
      <c r="AR51" s="524">
        <v>8000</v>
      </c>
      <c r="AS51" s="524">
        <v>6000</v>
      </c>
      <c r="AT51" s="524">
        <v>6000</v>
      </c>
      <c r="AU51" s="524">
        <v>6000</v>
      </c>
      <c r="AV51" s="524">
        <v>6000</v>
      </c>
      <c r="AW51" s="524">
        <v>5000</v>
      </c>
      <c r="AX51" s="524">
        <v>4000</v>
      </c>
      <c r="AY51" s="524">
        <v>4000</v>
      </c>
      <c r="AZ51" s="524">
        <v>3000</v>
      </c>
      <c r="BA51" s="524">
        <v>2000</v>
      </c>
      <c r="BB51" s="524">
        <v>1000</v>
      </c>
      <c r="BC51" s="524">
        <v>500</v>
      </c>
      <c r="BD51" s="524">
        <v>500</v>
      </c>
      <c r="BE51" s="525"/>
      <c r="BF51" s="525"/>
      <c r="BG51" s="525"/>
      <c r="BH51" s="525"/>
      <c r="BI51" s="525"/>
      <c r="BJ51" s="525"/>
      <c r="BK51" s="525"/>
      <c r="BL51" s="525"/>
      <c r="BM51" s="525"/>
      <c r="BN51" s="525"/>
      <c r="BO51" s="525"/>
      <c r="BP51" s="525"/>
      <c r="BQ51" s="525"/>
      <c r="BR51" s="525"/>
      <c r="BS51" s="525"/>
      <c r="BT51" s="525"/>
      <c r="BU51" s="525"/>
      <c r="BV51" s="525"/>
    </row>
    <row r="52" spans="1:74">
      <c r="P52" s="388"/>
      <c r="Q52" s="525"/>
      <c r="R52" s="525"/>
      <c r="S52" s="525"/>
      <c r="T52" s="525"/>
      <c r="U52" s="525"/>
      <c r="V52" s="525"/>
      <c r="W52" s="525"/>
      <c r="X52" s="525"/>
      <c r="Y52" s="525"/>
      <c r="Z52" s="525"/>
      <c r="AA52" s="525"/>
      <c r="AB52" s="525"/>
      <c r="AC52" s="525"/>
      <c r="AD52" s="525"/>
      <c r="AE52" s="525"/>
      <c r="AF52" s="525"/>
      <c r="AG52" s="525"/>
      <c r="AH52" s="525"/>
      <c r="AI52" s="525"/>
      <c r="AJ52" s="525"/>
      <c r="AK52" s="525"/>
      <c r="AL52" s="525"/>
      <c r="AM52" s="525"/>
      <c r="AN52" s="525"/>
      <c r="AO52" s="525"/>
      <c r="AP52" s="525"/>
      <c r="AQ52" s="525"/>
      <c r="AR52" s="525"/>
      <c r="AS52" s="525"/>
      <c r="AT52" s="525"/>
      <c r="AU52" s="525"/>
      <c r="AV52" s="525"/>
      <c r="AW52" s="525"/>
      <c r="AX52" s="525"/>
      <c r="AY52" s="525"/>
      <c r="AZ52" s="525"/>
      <c r="BA52" s="525"/>
      <c r="BB52" s="525"/>
      <c r="BC52" s="525"/>
      <c r="BD52" s="525"/>
      <c r="BE52" s="525"/>
      <c r="BF52" s="525"/>
      <c r="BG52" s="525"/>
      <c r="BH52" s="525"/>
      <c r="BI52" s="525"/>
      <c r="BJ52" s="525"/>
      <c r="BK52" s="525"/>
      <c r="BL52" s="525"/>
      <c r="BM52" s="525"/>
      <c r="BN52" s="525"/>
      <c r="BO52" s="525"/>
      <c r="BP52" s="525"/>
      <c r="BQ52" s="525"/>
      <c r="BR52" s="525"/>
      <c r="BS52" s="525"/>
      <c r="BT52" s="525"/>
      <c r="BU52" s="525"/>
      <c r="BV52" s="525"/>
    </row>
    <row r="53" spans="1:74">
      <c r="P53" s="388"/>
      <c r="Q53" s="525"/>
      <c r="R53" s="525"/>
      <c r="S53" s="525"/>
      <c r="T53" s="525"/>
      <c r="U53" s="525"/>
      <c r="V53" s="525"/>
      <c r="W53" s="525"/>
      <c r="X53" s="525"/>
      <c r="Y53" s="525"/>
      <c r="Z53" s="525"/>
      <c r="AA53" s="525"/>
      <c r="AB53" s="525"/>
      <c r="AC53" s="525"/>
      <c r="AD53" s="525"/>
      <c r="AE53" s="525"/>
      <c r="AF53" s="525"/>
      <c r="AG53" s="525"/>
      <c r="AH53" s="525"/>
      <c r="AI53" s="525"/>
      <c r="AJ53" s="525"/>
      <c r="AK53" s="525"/>
      <c r="AL53" s="525"/>
      <c r="AM53" s="525"/>
      <c r="AN53" s="525"/>
      <c r="AO53" s="525"/>
      <c r="AP53" s="525"/>
      <c r="AQ53" s="525"/>
      <c r="AR53" s="525"/>
      <c r="AS53" s="525"/>
      <c r="AT53" s="525"/>
      <c r="AU53" s="525"/>
      <c r="AV53" s="525"/>
      <c r="AW53" s="525"/>
      <c r="AX53" s="525"/>
      <c r="AY53" s="525"/>
      <c r="AZ53" s="525"/>
      <c r="BA53" s="525"/>
      <c r="BB53" s="525"/>
      <c r="BC53" s="525"/>
      <c r="BD53" s="525"/>
      <c r="BE53" s="525"/>
      <c r="BF53" s="525"/>
      <c r="BG53" s="525"/>
      <c r="BH53" s="525"/>
      <c r="BI53" s="525"/>
      <c r="BJ53" s="525"/>
      <c r="BK53" s="525"/>
      <c r="BL53" s="525"/>
      <c r="BM53" s="525"/>
      <c r="BN53" s="525"/>
      <c r="BO53" s="525"/>
      <c r="BP53" s="525"/>
      <c r="BQ53" s="525"/>
      <c r="BR53" s="525"/>
      <c r="BS53" s="525"/>
      <c r="BT53" s="525"/>
      <c r="BU53" s="525"/>
      <c r="BV53" s="525"/>
    </row>
    <row r="54" spans="1:74">
      <c r="P54" s="388"/>
      <c r="Q54" s="525"/>
      <c r="R54" s="525"/>
      <c r="S54" s="525"/>
      <c r="T54" s="525"/>
      <c r="U54" s="525"/>
      <c r="V54" s="525"/>
      <c r="W54" s="525"/>
      <c r="X54" s="525"/>
      <c r="Y54" s="525"/>
      <c r="Z54" s="525"/>
      <c r="AA54" s="525"/>
      <c r="AB54" s="525"/>
      <c r="AC54" s="525"/>
      <c r="AD54" s="525"/>
      <c r="AE54" s="525"/>
      <c r="AF54" s="525"/>
      <c r="AG54" s="525"/>
      <c r="AH54" s="525"/>
      <c r="AI54" s="525"/>
      <c r="AJ54" s="525"/>
      <c r="AK54" s="525"/>
      <c r="AL54" s="525"/>
      <c r="AM54" s="525"/>
      <c r="AN54" s="525"/>
      <c r="AO54" s="525"/>
      <c r="AP54" s="525"/>
      <c r="AQ54" s="525"/>
      <c r="AR54" s="525"/>
      <c r="AS54" s="525"/>
      <c r="AT54" s="525"/>
      <c r="AU54" s="525"/>
      <c r="AV54" s="525"/>
      <c r="AW54" s="525"/>
      <c r="AX54" s="525"/>
      <c r="AY54" s="525"/>
      <c r="AZ54" s="525"/>
      <c r="BA54" s="525"/>
      <c r="BB54" s="525"/>
      <c r="BC54" s="525"/>
      <c r="BD54" s="525"/>
      <c r="BE54" s="525"/>
      <c r="BF54" s="525"/>
      <c r="BG54" s="525"/>
      <c r="BH54" s="525"/>
      <c r="BI54" s="525"/>
      <c r="BJ54" s="525"/>
      <c r="BK54" s="525"/>
      <c r="BL54" s="525"/>
      <c r="BM54" s="525"/>
      <c r="BN54" s="525"/>
      <c r="BO54" s="525"/>
      <c r="BP54" s="525"/>
      <c r="BQ54" s="525"/>
      <c r="BR54" s="525"/>
      <c r="BS54" s="525"/>
      <c r="BT54" s="525"/>
      <c r="BU54" s="525"/>
      <c r="BV54" s="525"/>
    </row>
    <row r="55" spans="1:74">
      <c r="P55" s="388"/>
      <c r="Q55" s="525"/>
      <c r="R55" s="525"/>
      <c r="S55" s="525"/>
      <c r="T55" s="525"/>
      <c r="U55" s="525"/>
      <c r="V55" s="525"/>
      <c r="W55" s="525"/>
      <c r="X55" s="525"/>
      <c r="Y55" s="525"/>
      <c r="Z55" s="525"/>
      <c r="AA55" s="525"/>
      <c r="AB55" s="525"/>
      <c r="AC55" s="525"/>
      <c r="AD55" s="525"/>
      <c r="AE55" s="525"/>
      <c r="AF55" s="525"/>
      <c r="AG55" s="525"/>
      <c r="AH55" s="525"/>
      <c r="AI55" s="525"/>
      <c r="AJ55" s="525"/>
      <c r="AK55" s="525"/>
      <c r="AL55" s="525"/>
      <c r="AM55" s="525"/>
      <c r="AN55" s="525"/>
      <c r="AO55" s="525"/>
      <c r="AP55" s="525"/>
      <c r="AQ55" s="525"/>
      <c r="AR55" s="525"/>
      <c r="AS55" s="525"/>
      <c r="AT55" s="525"/>
      <c r="AU55" s="525"/>
      <c r="AV55" s="525"/>
      <c r="AW55" s="525"/>
      <c r="AX55" s="525"/>
      <c r="AY55" s="525"/>
      <c r="AZ55" s="525"/>
      <c r="BA55" s="525"/>
      <c r="BB55" s="525"/>
      <c r="BC55" s="525"/>
      <c r="BD55" s="525"/>
      <c r="BE55" s="525"/>
      <c r="BF55" s="525"/>
      <c r="BG55" s="525"/>
      <c r="BH55" s="525"/>
      <c r="BI55" s="525"/>
      <c r="BJ55" s="525"/>
      <c r="BK55" s="525"/>
      <c r="BL55" s="525"/>
      <c r="BM55" s="525"/>
      <c r="BN55" s="525"/>
      <c r="BO55" s="525"/>
      <c r="BP55" s="525"/>
      <c r="BQ55" s="525"/>
      <c r="BR55" s="525"/>
      <c r="BS55" s="525"/>
      <c r="BT55" s="525"/>
      <c r="BU55" s="525"/>
      <c r="BV55" s="525"/>
    </row>
    <row r="56" spans="1:74">
      <c r="P56" s="388"/>
      <c r="Q56" s="525"/>
      <c r="R56" s="525"/>
      <c r="S56" s="525"/>
      <c r="T56" s="525"/>
      <c r="U56" s="525"/>
      <c r="V56" s="525"/>
      <c r="W56" s="525"/>
      <c r="X56" s="525"/>
      <c r="Y56" s="525"/>
      <c r="Z56" s="525"/>
      <c r="AA56" s="525"/>
      <c r="AB56" s="525"/>
      <c r="AC56" s="525"/>
      <c r="AD56" s="525"/>
      <c r="AE56" s="525"/>
      <c r="AF56" s="525"/>
      <c r="AG56" s="525"/>
      <c r="AH56" s="525"/>
      <c r="AI56" s="525"/>
      <c r="AJ56" s="525"/>
      <c r="AK56" s="525"/>
      <c r="AL56" s="525"/>
      <c r="AM56" s="525"/>
      <c r="AN56" s="525"/>
      <c r="AO56" s="525"/>
      <c r="AP56" s="525"/>
      <c r="AQ56" s="525"/>
      <c r="AR56" s="525"/>
      <c r="AS56" s="525"/>
      <c r="AT56" s="525"/>
      <c r="AU56" s="525"/>
      <c r="AV56" s="525"/>
      <c r="AW56" s="525"/>
      <c r="AX56" s="525"/>
      <c r="AY56" s="525"/>
      <c r="AZ56" s="525"/>
      <c r="BA56" s="525"/>
      <c r="BB56" s="525"/>
      <c r="BC56" s="525"/>
      <c r="BD56" s="525"/>
      <c r="BE56" s="525"/>
      <c r="BF56" s="525"/>
      <c r="BG56" s="525"/>
      <c r="BH56" s="525"/>
      <c r="BI56" s="525"/>
      <c r="BJ56" s="525"/>
      <c r="BK56" s="525"/>
      <c r="BL56" s="525"/>
      <c r="BM56" s="525"/>
      <c r="BN56" s="525"/>
      <c r="BO56" s="525"/>
      <c r="BP56" s="525"/>
      <c r="BQ56" s="525"/>
      <c r="BR56" s="525"/>
      <c r="BS56" s="525"/>
      <c r="BT56" s="525"/>
      <c r="BU56" s="525"/>
      <c r="BV56" s="525"/>
    </row>
    <row r="57" spans="1:74">
      <c r="P57" s="388"/>
      <c r="Q57" s="525"/>
      <c r="R57" s="525"/>
      <c r="S57" s="525"/>
      <c r="T57" s="525"/>
      <c r="U57" s="525"/>
      <c r="V57" s="525"/>
      <c r="W57" s="525"/>
      <c r="X57" s="525"/>
      <c r="Y57" s="525"/>
      <c r="Z57" s="525"/>
      <c r="AA57" s="525"/>
      <c r="AB57" s="525"/>
      <c r="AC57" s="525"/>
      <c r="AD57" s="525"/>
      <c r="AE57" s="525"/>
      <c r="AF57" s="525"/>
      <c r="AG57" s="525"/>
      <c r="AH57" s="525"/>
      <c r="AI57" s="525"/>
      <c r="AJ57" s="525"/>
      <c r="AK57" s="525"/>
      <c r="AL57" s="525"/>
      <c r="AM57" s="525"/>
      <c r="AN57" s="525"/>
      <c r="AO57" s="525"/>
      <c r="AP57" s="525"/>
      <c r="AQ57" s="525"/>
      <c r="AR57" s="525"/>
      <c r="AS57" s="525"/>
      <c r="AT57" s="525"/>
      <c r="AU57" s="525"/>
      <c r="AV57" s="525"/>
      <c r="AW57" s="525"/>
      <c r="AX57" s="525"/>
      <c r="AY57" s="525"/>
      <c r="AZ57" s="525"/>
      <c r="BA57" s="525"/>
      <c r="BB57" s="525"/>
      <c r="BC57" s="525"/>
      <c r="BD57" s="525"/>
      <c r="BE57" s="525"/>
      <c r="BF57" s="525"/>
      <c r="BG57" s="525"/>
      <c r="BH57" s="525"/>
      <c r="BI57" s="525"/>
      <c r="BJ57" s="525"/>
      <c r="BK57" s="525"/>
      <c r="BL57" s="525"/>
      <c r="BM57" s="525"/>
      <c r="BN57" s="525"/>
      <c r="BO57" s="525"/>
      <c r="BP57" s="525"/>
      <c r="BQ57" s="525"/>
      <c r="BR57" s="525"/>
      <c r="BS57" s="525"/>
      <c r="BT57" s="525"/>
      <c r="BU57" s="525"/>
      <c r="BV57" s="525"/>
    </row>
    <row r="58" spans="1:74">
      <c r="P58" s="388"/>
      <c r="Q58" s="525"/>
      <c r="R58" s="525"/>
      <c r="S58" s="525"/>
      <c r="T58" s="525"/>
      <c r="U58" s="525"/>
      <c r="V58" s="525"/>
      <c r="W58" s="525"/>
      <c r="X58" s="525"/>
      <c r="Y58" s="525"/>
      <c r="Z58" s="525"/>
      <c r="AA58" s="525"/>
      <c r="AB58" s="525"/>
      <c r="AC58" s="525"/>
      <c r="AD58" s="525"/>
      <c r="AE58" s="525"/>
      <c r="AF58" s="525"/>
      <c r="AG58" s="525"/>
      <c r="AH58" s="525"/>
      <c r="AI58" s="525"/>
      <c r="AJ58" s="525"/>
      <c r="AK58" s="525"/>
      <c r="AL58" s="525"/>
      <c r="AM58" s="525"/>
      <c r="AN58" s="525"/>
      <c r="AO58" s="525"/>
      <c r="AP58" s="525"/>
      <c r="AQ58" s="525"/>
      <c r="AR58" s="525"/>
      <c r="AS58" s="525"/>
      <c r="AT58" s="525"/>
      <c r="AU58" s="525"/>
      <c r="AV58" s="525"/>
      <c r="AW58" s="525"/>
      <c r="AX58" s="525"/>
      <c r="AY58" s="525"/>
      <c r="AZ58" s="525"/>
      <c r="BA58" s="525"/>
      <c r="BB58" s="525"/>
      <c r="BC58" s="525"/>
      <c r="BD58" s="525"/>
      <c r="BE58" s="525"/>
      <c r="BF58" s="525"/>
      <c r="BG58" s="525"/>
      <c r="BH58" s="525"/>
      <c r="BI58" s="525"/>
      <c r="BJ58" s="525"/>
      <c r="BK58" s="525"/>
      <c r="BL58" s="525"/>
      <c r="BM58" s="525"/>
      <c r="BN58" s="525"/>
      <c r="BO58" s="525"/>
      <c r="BP58" s="525"/>
      <c r="BQ58" s="525"/>
      <c r="BR58" s="525"/>
      <c r="BS58" s="525"/>
      <c r="BT58" s="525"/>
      <c r="BU58" s="525"/>
      <c r="BV58" s="525"/>
    </row>
    <row r="59" spans="1:74">
      <c r="P59" s="388"/>
      <c r="Q59" s="525"/>
      <c r="R59" s="525"/>
      <c r="S59" s="525"/>
      <c r="T59" s="525"/>
      <c r="U59" s="525"/>
      <c r="V59" s="525"/>
      <c r="W59" s="525"/>
      <c r="X59" s="525"/>
      <c r="Y59" s="525"/>
      <c r="Z59" s="525"/>
      <c r="AA59" s="525"/>
      <c r="AB59" s="525"/>
      <c r="AC59" s="525"/>
      <c r="AD59" s="525"/>
      <c r="AE59" s="525"/>
      <c r="AF59" s="525"/>
      <c r="AG59" s="525"/>
      <c r="AH59" s="525"/>
      <c r="AI59" s="525"/>
      <c r="AJ59" s="525"/>
      <c r="AK59" s="525"/>
      <c r="AL59" s="525"/>
      <c r="AM59" s="525"/>
      <c r="AN59" s="525"/>
      <c r="AO59" s="525"/>
      <c r="AP59" s="525"/>
      <c r="AQ59" s="525"/>
      <c r="AR59" s="525"/>
      <c r="AS59" s="525"/>
      <c r="AT59" s="525"/>
      <c r="AU59" s="525"/>
      <c r="AV59" s="525"/>
      <c r="AW59" s="525"/>
      <c r="AX59" s="525"/>
      <c r="AY59" s="525"/>
      <c r="AZ59" s="525"/>
      <c r="BA59" s="525"/>
      <c r="BB59" s="525"/>
      <c r="BC59" s="525"/>
      <c r="BD59" s="525"/>
      <c r="BE59" s="525"/>
      <c r="BF59" s="525"/>
      <c r="BG59" s="525"/>
      <c r="BH59" s="525"/>
      <c r="BI59" s="525"/>
      <c r="BJ59" s="525"/>
      <c r="BK59" s="525"/>
      <c r="BL59" s="525"/>
      <c r="BM59" s="525"/>
      <c r="BN59" s="525"/>
      <c r="BO59" s="525"/>
      <c r="BP59" s="525"/>
      <c r="BQ59" s="525"/>
      <c r="BR59" s="525"/>
      <c r="BS59" s="525"/>
      <c r="BT59" s="525"/>
      <c r="BU59" s="525"/>
      <c r="BV59" s="525"/>
    </row>
    <row r="60" spans="1:74">
      <c r="P60" s="388"/>
      <c r="Q60" s="525"/>
      <c r="R60" s="525"/>
      <c r="S60" s="525"/>
      <c r="T60" s="525"/>
      <c r="U60" s="525"/>
      <c r="V60" s="525"/>
      <c r="W60" s="525"/>
      <c r="X60" s="525"/>
      <c r="Y60" s="525"/>
      <c r="Z60" s="525"/>
      <c r="AA60" s="525"/>
      <c r="AB60" s="525"/>
      <c r="AC60" s="525"/>
      <c r="AD60" s="525"/>
      <c r="AE60" s="525"/>
      <c r="AF60" s="525"/>
      <c r="AG60" s="525"/>
      <c r="AH60" s="525"/>
      <c r="AI60" s="525"/>
      <c r="AJ60" s="525"/>
      <c r="AK60" s="525"/>
      <c r="AL60" s="525"/>
      <c r="AM60" s="525"/>
      <c r="AN60" s="525"/>
      <c r="AO60" s="525"/>
      <c r="AP60" s="525"/>
      <c r="AQ60" s="525"/>
      <c r="AR60" s="525"/>
      <c r="AS60" s="525"/>
      <c r="AT60" s="525"/>
      <c r="AU60" s="525"/>
      <c r="AV60" s="525"/>
      <c r="AW60" s="525"/>
      <c r="AX60" s="525"/>
      <c r="AY60" s="525"/>
      <c r="AZ60" s="525"/>
      <c r="BA60" s="525"/>
      <c r="BB60" s="525"/>
      <c r="BC60" s="525"/>
      <c r="BD60" s="525"/>
      <c r="BE60" s="525"/>
      <c r="BF60" s="525"/>
      <c r="BG60" s="525"/>
      <c r="BH60" s="525"/>
      <c r="BI60" s="525"/>
      <c r="BJ60" s="525"/>
      <c r="BK60" s="525"/>
      <c r="BL60" s="525"/>
      <c r="BM60" s="525"/>
      <c r="BN60" s="525"/>
      <c r="BO60" s="525"/>
      <c r="BP60" s="525"/>
      <c r="BQ60" s="525"/>
      <c r="BR60" s="525"/>
      <c r="BS60" s="525"/>
      <c r="BT60" s="525"/>
      <c r="BU60" s="525"/>
      <c r="BV60" s="525"/>
    </row>
    <row r="61" spans="1:74">
      <c r="P61" s="388"/>
      <c r="Q61" s="525"/>
      <c r="R61" s="525"/>
      <c r="S61" s="525"/>
      <c r="T61" s="525"/>
      <c r="U61" s="525"/>
      <c r="V61" s="525"/>
      <c r="W61" s="525"/>
      <c r="X61" s="525"/>
      <c r="Y61" s="525"/>
      <c r="Z61" s="525"/>
      <c r="AA61" s="525"/>
      <c r="AB61" s="525"/>
      <c r="AC61" s="525"/>
      <c r="AD61" s="525"/>
      <c r="AE61" s="525"/>
      <c r="AF61" s="525"/>
      <c r="AG61" s="525"/>
      <c r="AH61" s="525"/>
      <c r="AI61" s="525"/>
      <c r="AJ61" s="525"/>
      <c r="AK61" s="525"/>
      <c r="AL61" s="525"/>
      <c r="AM61" s="525"/>
      <c r="AN61" s="525"/>
      <c r="AO61" s="525"/>
      <c r="AP61" s="525"/>
      <c r="AQ61" s="525"/>
      <c r="AR61" s="525"/>
      <c r="AS61" s="525"/>
      <c r="AT61" s="525"/>
      <c r="AU61" s="525"/>
      <c r="AV61" s="525"/>
      <c r="AW61" s="525"/>
      <c r="AX61" s="525"/>
      <c r="AY61" s="525"/>
      <c r="AZ61" s="525"/>
      <c r="BA61" s="525"/>
      <c r="BB61" s="525"/>
      <c r="BC61" s="525"/>
      <c r="BD61" s="525"/>
      <c r="BE61" s="525"/>
      <c r="BF61" s="525"/>
      <c r="BG61" s="525"/>
      <c r="BH61" s="525"/>
      <c r="BI61" s="525"/>
      <c r="BJ61" s="525"/>
      <c r="BK61" s="525"/>
      <c r="BL61" s="525"/>
      <c r="BM61" s="525"/>
      <c r="BN61" s="525"/>
      <c r="BO61" s="525"/>
      <c r="BP61" s="525"/>
      <c r="BQ61" s="525"/>
      <c r="BR61" s="525"/>
      <c r="BS61" s="525"/>
      <c r="BT61" s="525"/>
      <c r="BU61" s="525"/>
      <c r="BV61" s="525"/>
    </row>
    <row r="62" spans="1:74">
      <c r="P62" s="388"/>
      <c r="Q62" s="525"/>
      <c r="R62" s="525"/>
      <c r="S62" s="525"/>
      <c r="T62" s="525"/>
      <c r="U62" s="525"/>
      <c r="V62" s="525"/>
      <c r="W62" s="525"/>
      <c r="X62" s="525"/>
      <c r="Y62" s="525"/>
      <c r="Z62" s="525"/>
      <c r="AA62" s="525"/>
      <c r="AB62" s="525"/>
      <c r="AC62" s="525"/>
      <c r="AD62" s="525"/>
      <c r="AE62" s="525"/>
      <c r="AF62" s="525"/>
      <c r="AG62" s="525"/>
      <c r="AH62" s="525"/>
      <c r="AI62" s="525"/>
      <c r="AJ62" s="525"/>
      <c r="AK62" s="525"/>
      <c r="AL62" s="525"/>
      <c r="AM62" s="525"/>
      <c r="AN62" s="525"/>
      <c r="AO62" s="525"/>
      <c r="AP62" s="525"/>
      <c r="AQ62" s="525"/>
      <c r="AR62" s="525"/>
      <c r="AS62" s="525"/>
      <c r="AT62" s="525"/>
      <c r="AU62" s="525"/>
      <c r="AV62" s="525"/>
      <c r="AW62" s="525"/>
      <c r="AX62" s="525"/>
      <c r="AY62" s="525"/>
      <c r="AZ62" s="525"/>
      <c r="BA62" s="525"/>
      <c r="BB62" s="525"/>
      <c r="BC62" s="525"/>
      <c r="BD62" s="525"/>
      <c r="BE62" s="525"/>
      <c r="BF62" s="525"/>
      <c r="BG62" s="525"/>
      <c r="BH62" s="525"/>
      <c r="BI62" s="525"/>
      <c r="BJ62" s="525"/>
      <c r="BK62" s="525"/>
      <c r="BL62" s="525"/>
      <c r="BM62" s="525"/>
      <c r="BN62" s="525"/>
      <c r="BO62" s="525"/>
      <c r="BP62" s="525"/>
      <c r="BQ62" s="525"/>
      <c r="BR62" s="525"/>
      <c r="BS62" s="525"/>
      <c r="BT62" s="525"/>
      <c r="BU62" s="525"/>
      <c r="BV62" s="525"/>
    </row>
    <row r="63" spans="1:74">
      <c r="P63" s="388"/>
      <c r="Q63" s="525"/>
      <c r="R63" s="525"/>
      <c r="S63" s="525"/>
      <c r="T63" s="525"/>
      <c r="U63" s="525"/>
      <c r="V63" s="525"/>
      <c r="W63" s="525"/>
      <c r="X63" s="525"/>
      <c r="Y63" s="525"/>
      <c r="Z63" s="525"/>
      <c r="AA63" s="525"/>
      <c r="AB63" s="525"/>
      <c r="AC63" s="525"/>
      <c r="AD63" s="525"/>
      <c r="AE63" s="525"/>
      <c r="AF63" s="525"/>
      <c r="AG63" s="525"/>
      <c r="AH63" s="525"/>
      <c r="AI63" s="525"/>
      <c r="AJ63" s="525"/>
      <c r="AK63" s="525"/>
      <c r="AL63" s="525"/>
      <c r="AM63" s="525"/>
      <c r="AN63" s="525"/>
      <c r="AO63" s="525"/>
      <c r="AP63" s="525"/>
      <c r="AQ63" s="525"/>
      <c r="AR63" s="525"/>
      <c r="AS63" s="525"/>
      <c r="AT63" s="525"/>
      <c r="AU63" s="525"/>
      <c r="AV63" s="525"/>
      <c r="AW63" s="525"/>
      <c r="AX63" s="525"/>
      <c r="AY63" s="525"/>
      <c r="AZ63" s="525"/>
      <c r="BA63" s="525"/>
      <c r="BB63" s="525"/>
      <c r="BC63" s="525"/>
      <c r="BD63" s="525"/>
      <c r="BE63" s="525"/>
      <c r="BF63" s="525"/>
      <c r="BG63" s="525"/>
      <c r="BH63" s="525"/>
      <c r="BI63" s="525"/>
      <c r="BJ63" s="525"/>
      <c r="BK63" s="525"/>
      <c r="BL63" s="525"/>
      <c r="BM63" s="525"/>
      <c r="BN63" s="525"/>
      <c r="BO63" s="525"/>
      <c r="BP63" s="525"/>
      <c r="BQ63" s="525"/>
      <c r="BR63" s="525"/>
      <c r="BS63" s="525"/>
      <c r="BT63" s="525"/>
      <c r="BU63" s="525"/>
      <c r="BV63" s="525"/>
    </row>
    <row r="64" spans="1:74">
      <c r="P64" s="388"/>
      <c r="Q64" s="525"/>
      <c r="R64" s="525"/>
      <c r="S64" s="525"/>
      <c r="T64" s="525"/>
      <c r="U64" s="525"/>
      <c r="V64" s="525"/>
      <c r="W64" s="525"/>
      <c r="X64" s="525"/>
      <c r="Y64" s="525"/>
      <c r="Z64" s="525"/>
      <c r="AA64" s="525"/>
      <c r="AB64" s="525"/>
      <c r="AC64" s="525"/>
      <c r="AD64" s="525"/>
      <c r="AE64" s="525"/>
      <c r="AF64" s="525"/>
      <c r="AG64" s="525"/>
      <c r="AH64" s="525"/>
      <c r="AI64" s="525"/>
      <c r="AJ64" s="525"/>
      <c r="AK64" s="525"/>
      <c r="AL64" s="525"/>
      <c r="AM64" s="525"/>
      <c r="AN64" s="525"/>
      <c r="AO64" s="525"/>
      <c r="AP64" s="525"/>
      <c r="AQ64" s="525"/>
      <c r="AR64" s="525"/>
      <c r="AS64" s="525"/>
      <c r="AT64" s="525"/>
      <c r="AU64" s="525"/>
      <c r="AV64" s="525"/>
      <c r="AW64" s="525"/>
      <c r="AX64" s="525"/>
      <c r="AY64" s="525"/>
      <c r="AZ64" s="525"/>
      <c r="BA64" s="525"/>
      <c r="BB64" s="525"/>
      <c r="BC64" s="525"/>
      <c r="BD64" s="525"/>
      <c r="BE64" s="525"/>
      <c r="BF64" s="525"/>
      <c r="BG64" s="525"/>
      <c r="BH64" s="525"/>
      <c r="BI64" s="525"/>
      <c r="BJ64" s="525"/>
      <c r="BK64" s="525"/>
      <c r="BL64" s="525"/>
      <c r="BM64" s="525"/>
      <c r="BN64" s="525"/>
      <c r="BO64" s="525"/>
      <c r="BP64" s="525"/>
      <c r="BQ64" s="525"/>
      <c r="BR64" s="525"/>
      <c r="BS64" s="525"/>
      <c r="BT64" s="525"/>
      <c r="BU64" s="525"/>
      <c r="BV64" s="525"/>
    </row>
    <row r="65" spans="16:74">
      <c r="P65" s="388"/>
      <c r="Q65" s="525"/>
      <c r="R65" s="525"/>
      <c r="S65" s="525"/>
      <c r="T65" s="525"/>
      <c r="U65" s="525"/>
      <c r="V65" s="525"/>
      <c r="W65" s="525"/>
      <c r="X65" s="525"/>
      <c r="Y65" s="525"/>
      <c r="Z65" s="525"/>
      <c r="AA65" s="525"/>
      <c r="AB65" s="525"/>
      <c r="AC65" s="525"/>
      <c r="AD65" s="525"/>
      <c r="AE65" s="525"/>
      <c r="AF65" s="525"/>
      <c r="AG65" s="525"/>
      <c r="AH65" s="525"/>
      <c r="AI65" s="525"/>
      <c r="AJ65" s="525"/>
      <c r="AK65" s="525"/>
      <c r="AL65" s="525"/>
      <c r="AM65" s="525"/>
      <c r="AN65" s="525"/>
      <c r="AO65" s="525"/>
      <c r="AP65" s="525"/>
      <c r="AQ65" s="525"/>
      <c r="AR65" s="525"/>
      <c r="AS65" s="525"/>
      <c r="AT65" s="525"/>
      <c r="AU65" s="525"/>
      <c r="AV65" s="525"/>
      <c r="AW65" s="525"/>
      <c r="AX65" s="525"/>
      <c r="AY65" s="525"/>
      <c r="AZ65" s="525"/>
      <c r="BA65" s="525"/>
      <c r="BB65" s="525"/>
      <c r="BC65" s="525"/>
      <c r="BD65" s="525"/>
      <c r="BE65" s="525"/>
      <c r="BF65" s="525"/>
      <c r="BG65" s="525"/>
      <c r="BH65" s="525"/>
      <c r="BI65" s="525"/>
      <c r="BJ65" s="525"/>
      <c r="BK65" s="525"/>
      <c r="BL65" s="525"/>
      <c r="BM65" s="525"/>
      <c r="BN65" s="525"/>
      <c r="BO65" s="525"/>
      <c r="BP65" s="525"/>
      <c r="BQ65" s="525"/>
      <c r="BR65" s="525"/>
      <c r="BS65" s="525"/>
      <c r="BT65" s="525"/>
      <c r="BU65" s="525"/>
      <c r="BV65" s="525"/>
    </row>
    <row r="66" spans="16:74">
      <c r="P66" s="388"/>
      <c r="Q66" s="525"/>
      <c r="R66" s="525"/>
      <c r="S66" s="525"/>
      <c r="T66" s="525"/>
      <c r="U66" s="525"/>
      <c r="V66" s="525"/>
      <c r="W66" s="525"/>
      <c r="X66" s="525"/>
      <c r="Y66" s="525"/>
      <c r="Z66" s="525"/>
      <c r="AA66" s="525"/>
      <c r="AB66" s="525"/>
      <c r="AC66" s="525"/>
      <c r="AD66" s="525"/>
      <c r="AE66" s="525"/>
      <c r="AF66" s="525"/>
      <c r="AG66" s="525"/>
      <c r="AH66" s="525"/>
      <c r="AI66" s="525"/>
      <c r="AJ66" s="525"/>
      <c r="AK66" s="525"/>
      <c r="AL66" s="525"/>
      <c r="AM66" s="525"/>
      <c r="AN66" s="525"/>
      <c r="AO66" s="525"/>
      <c r="AP66" s="525"/>
      <c r="AQ66" s="525"/>
      <c r="AR66" s="525"/>
      <c r="AS66" s="525"/>
      <c r="AT66" s="525"/>
      <c r="AU66" s="525"/>
      <c r="AV66" s="525"/>
      <c r="AW66" s="525"/>
      <c r="AX66" s="525"/>
      <c r="AY66" s="525"/>
      <c r="AZ66" s="525"/>
      <c r="BA66" s="525"/>
      <c r="BB66" s="525"/>
      <c r="BC66" s="525"/>
      <c r="BD66" s="525"/>
      <c r="BE66" s="525"/>
      <c r="BF66" s="525"/>
      <c r="BG66" s="525"/>
      <c r="BH66" s="525"/>
      <c r="BI66" s="525"/>
      <c r="BJ66" s="525"/>
      <c r="BK66" s="525"/>
      <c r="BL66" s="525"/>
      <c r="BM66" s="525"/>
      <c r="BN66" s="525"/>
      <c r="BO66" s="525"/>
      <c r="BP66" s="525"/>
      <c r="BQ66" s="525"/>
      <c r="BR66" s="525"/>
      <c r="BS66" s="525"/>
      <c r="BT66" s="525"/>
      <c r="BU66" s="525"/>
      <c r="BV66" s="525"/>
    </row>
    <row r="67" spans="16:74">
      <c r="P67" s="388"/>
      <c r="Q67" s="525"/>
      <c r="R67" s="525"/>
      <c r="S67" s="525"/>
      <c r="T67" s="525"/>
      <c r="U67" s="525"/>
      <c r="V67" s="525"/>
      <c r="W67" s="525"/>
      <c r="X67" s="525"/>
      <c r="Y67" s="525"/>
      <c r="Z67" s="525"/>
      <c r="AA67" s="525"/>
      <c r="AB67" s="525"/>
      <c r="AC67" s="525"/>
      <c r="AD67" s="525"/>
      <c r="AE67" s="525"/>
      <c r="AF67" s="525"/>
      <c r="AG67" s="525"/>
      <c r="AH67" s="525"/>
      <c r="AI67" s="525"/>
      <c r="AJ67" s="525"/>
      <c r="AK67" s="525"/>
      <c r="AL67" s="525"/>
      <c r="AM67" s="525"/>
      <c r="AN67" s="525"/>
      <c r="AO67" s="525"/>
      <c r="AP67" s="525"/>
      <c r="AQ67" s="525"/>
      <c r="AR67" s="525"/>
      <c r="AS67" s="525"/>
      <c r="AT67" s="525"/>
      <c r="AU67" s="525"/>
      <c r="AV67" s="525"/>
      <c r="AW67" s="525"/>
      <c r="AX67" s="525"/>
      <c r="AY67" s="525"/>
      <c r="AZ67" s="525"/>
      <c r="BA67" s="525"/>
      <c r="BB67" s="525"/>
      <c r="BC67" s="525"/>
      <c r="BD67" s="525"/>
      <c r="BE67" s="525"/>
      <c r="BF67" s="525"/>
      <c r="BG67" s="525"/>
      <c r="BH67" s="525"/>
      <c r="BI67" s="525"/>
      <c r="BJ67" s="525"/>
      <c r="BK67" s="525"/>
      <c r="BL67" s="525"/>
      <c r="BM67" s="525"/>
      <c r="BN67" s="525"/>
      <c r="BO67" s="525"/>
      <c r="BP67" s="525"/>
      <c r="BQ67" s="525"/>
      <c r="BR67" s="525"/>
      <c r="BS67" s="525"/>
      <c r="BT67" s="525"/>
      <c r="BU67" s="525"/>
      <c r="BV67" s="525"/>
    </row>
    <row r="68" spans="16:74">
      <c r="P68" s="388"/>
      <c r="Q68" s="525"/>
      <c r="R68" s="525"/>
      <c r="S68" s="525"/>
      <c r="T68" s="525"/>
      <c r="U68" s="525"/>
      <c r="V68" s="525"/>
      <c r="W68" s="525"/>
      <c r="X68" s="525"/>
      <c r="Y68" s="525"/>
      <c r="Z68" s="525"/>
      <c r="AA68" s="525"/>
      <c r="AB68" s="525"/>
      <c r="AC68" s="525"/>
      <c r="AD68" s="525"/>
      <c r="AE68" s="525"/>
      <c r="AF68" s="525"/>
      <c r="AG68" s="525"/>
      <c r="AH68" s="525"/>
      <c r="AI68" s="525"/>
      <c r="AJ68" s="525"/>
      <c r="AK68" s="525"/>
      <c r="AL68" s="525"/>
      <c r="AM68" s="525"/>
      <c r="AN68" s="525"/>
      <c r="AO68" s="525"/>
      <c r="AP68" s="525"/>
      <c r="AQ68" s="525"/>
      <c r="AR68" s="525"/>
      <c r="AS68" s="525"/>
      <c r="AT68" s="525"/>
      <c r="AU68" s="525"/>
      <c r="AV68" s="525"/>
      <c r="AW68" s="525"/>
      <c r="AX68" s="525"/>
      <c r="AY68" s="525"/>
      <c r="AZ68" s="525"/>
      <c r="BA68" s="525"/>
      <c r="BB68" s="525"/>
      <c r="BC68" s="525"/>
      <c r="BD68" s="525"/>
      <c r="BE68" s="525"/>
      <c r="BF68" s="525"/>
      <c r="BG68" s="525"/>
      <c r="BH68" s="525"/>
      <c r="BI68" s="525"/>
      <c r="BJ68" s="525"/>
      <c r="BK68" s="525"/>
      <c r="BL68" s="525"/>
      <c r="BM68" s="525"/>
      <c r="BN68" s="525"/>
      <c r="BO68" s="525"/>
      <c r="BP68" s="525"/>
      <c r="BQ68" s="525"/>
      <c r="BR68" s="525"/>
      <c r="BS68" s="525"/>
      <c r="BT68" s="525"/>
      <c r="BU68" s="525"/>
      <c r="BV68" s="525"/>
    </row>
    <row r="69" spans="16:74">
      <c r="P69" s="388"/>
      <c r="Q69" s="525"/>
      <c r="R69" s="525"/>
      <c r="S69" s="525"/>
      <c r="T69" s="525"/>
      <c r="U69" s="525"/>
      <c r="V69" s="525"/>
      <c r="W69" s="525"/>
      <c r="X69" s="525"/>
      <c r="Y69" s="525"/>
      <c r="Z69" s="525"/>
      <c r="AA69" s="525"/>
      <c r="AB69" s="525"/>
      <c r="AC69" s="525"/>
      <c r="AD69" s="525"/>
      <c r="AE69" s="525"/>
      <c r="AF69" s="525"/>
      <c r="AG69" s="525"/>
      <c r="AH69" s="525"/>
      <c r="AI69" s="525"/>
      <c r="AJ69" s="525"/>
      <c r="AK69" s="525"/>
      <c r="AL69" s="525"/>
      <c r="AM69" s="525"/>
      <c r="AN69" s="525"/>
      <c r="AO69" s="525"/>
      <c r="AP69" s="525"/>
      <c r="AQ69" s="525"/>
      <c r="AR69" s="525"/>
      <c r="AS69" s="525"/>
      <c r="AT69" s="525"/>
      <c r="AU69" s="525"/>
      <c r="AV69" s="525"/>
      <c r="AW69" s="525"/>
      <c r="AX69" s="525"/>
      <c r="AY69" s="525"/>
      <c r="AZ69" s="525"/>
      <c r="BA69" s="525"/>
      <c r="BB69" s="525"/>
      <c r="BC69" s="525"/>
      <c r="BD69" s="525"/>
      <c r="BE69" s="525"/>
      <c r="BF69" s="525"/>
      <c r="BG69" s="525"/>
      <c r="BH69" s="525"/>
      <c r="BI69" s="525"/>
      <c r="BJ69" s="525"/>
      <c r="BK69" s="525"/>
      <c r="BL69" s="525"/>
      <c r="BM69" s="525"/>
      <c r="BN69" s="525"/>
      <c r="BO69" s="525"/>
      <c r="BP69" s="525"/>
      <c r="BQ69" s="525"/>
      <c r="BR69" s="525"/>
      <c r="BS69" s="525"/>
      <c r="BT69" s="525"/>
      <c r="BU69" s="525"/>
      <c r="BV69" s="525"/>
    </row>
    <row r="70" spans="16:74">
      <c r="P70" s="388"/>
      <c r="Q70" s="525"/>
      <c r="R70" s="525"/>
      <c r="S70" s="525"/>
      <c r="T70" s="525"/>
      <c r="U70" s="525"/>
      <c r="V70" s="525"/>
      <c r="W70" s="525"/>
      <c r="X70" s="525"/>
      <c r="Y70" s="525"/>
      <c r="Z70" s="525"/>
      <c r="AA70" s="525"/>
      <c r="AB70" s="525"/>
      <c r="AC70" s="525"/>
      <c r="AD70" s="525"/>
      <c r="AE70" s="525"/>
      <c r="AF70" s="525"/>
      <c r="AG70" s="525"/>
      <c r="AH70" s="525"/>
      <c r="AI70" s="525"/>
      <c r="AJ70" s="525"/>
      <c r="AK70" s="525"/>
      <c r="AL70" s="525"/>
      <c r="AM70" s="525"/>
      <c r="AN70" s="525"/>
      <c r="AO70" s="525"/>
      <c r="AP70" s="525"/>
      <c r="AQ70" s="525"/>
      <c r="AR70" s="525"/>
      <c r="AS70" s="525"/>
      <c r="AT70" s="525"/>
      <c r="AU70" s="525"/>
      <c r="AV70" s="525"/>
      <c r="AW70" s="525"/>
      <c r="AX70" s="525"/>
      <c r="AY70" s="525"/>
      <c r="AZ70" s="525"/>
      <c r="BA70" s="525"/>
      <c r="BB70" s="525"/>
      <c r="BC70" s="525"/>
      <c r="BD70" s="525"/>
      <c r="BE70" s="525"/>
      <c r="BF70" s="525"/>
      <c r="BG70" s="525"/>
      <c r="BH70" s="525"/>
      <c r="BI70" s="525"/>
      <c r="BJ70" s="525"/>
      <c r="BK70" s="525"/>
      <c r="BL70" s="525"/>
      <c r="BM70" s="525"/>
      <c r="BN70" s="525"/>
      <c r="BO70" s="525"/>
      <c r="BP70" s="525"/>
      <c r="BQ70" s="525"/>
      <c r="BR70" s="525"/>
      <c r="BS70" s="525"/>
      <c r="BT70" s="525"/>
      <c r="BU70" s="525"/>
      <c r="BV70" s="525"/>
    </row>
    <row r="71" spans="16:74">
      <c r="P71" s="388"/>
      <c r="Q71" s="525"/>
      <c r="R71" s="525"/>
      <c r="S71" s="525"/>
      <c r="T71" s="525"/>
      <c r="U71" s="525"/>
      <c r="V71" s="525"/>
      <c r="W71" s="525"/>
      <c r="X71" s="525"/>
      <c r="Y71" s="525"/>
      <c r="Z71" s="525"/>
      <c r="AA71" s="525"/>
      <c r="AB71" s="525"/>
      <c r="AC71" s="525"/>
      <c r="AD71" s="525"/>
      <c r="AE71" s="525"/>
      <c r="AF71" s="525"/>
      <c r="AG71" s="525"/>
      <c r="AH71" s="525"/>
      <c r="AI71" s="525"/>
      <c r="AJ71" s="525"/>
      <c r="AK71" s="525"/>
      <c r="AL71" s="525"/>
      <c r="AM71" s="525"/>
      <c r="AN71" s="525"/>
      <c r="AO71" s="525"/>
      <c r="AP71" s="525"/>
      <c r="AQ71" s="525"/>
      <c r="AR71" s="525"/>
      <c r="AS71" s="525"/>
      <c r="AT71" s="525"/>
      <c r="AU71" s="525"/>
      <c r="AV71" s="525"/>
      <c r="AW71" s="525"/>
      <c r="AX71" s="525"/>
      <c r="AY71" s="525"/>
      <c r="AZ71" s="525"/>
      <c r="BA71" s="525"/>
      <c r="BB71" s="525"/>
      <c r="BC71" s="525"/>
      <c r="BD71" s="525"/>
      <c r="BE71" s="525"/>
      <c r="BF71" s="525"/>
      <c r="BG71" s="525"/>
      <c r="BH71" s="525"/>
      <c r="BI71" s="525"/>
      <c r="BJ71" s="525"/>
      <c r="BK71" s="525"/>
      <c r="BL71" s="525"/>
      <c r="BM71" s="525"/>
      <c r="BN71" s="525"/>
      <c r="BO71" s="525"/>
      <c r="BP71" s="525"/>
      <c r="BQ71" s="525"/>
      <c r="BR71" s="525"/>
      <c r="BS71" s="525"/>
      <c r="BT71" s="525"/>
      <c r="BU71" s="525"/>
      <c r="BV71" s="525"/>
    </row>
    <row r="72" spans="16:74">
      <c r="P72" s="388"/>
      <c r="Q72" s="525"/>
      <c r="R72" s="525"/>
      <c r="S72" s="525"/>
      <c r="T72" s="525"/>
      <c r="U72" s="525"/>
      <c r="V72" s="525"/>
      <c r="W72" s="525"/>
      <c r="X72" s="525"/>
      <c r="Y72" s="525"/>
      <c r="Z72" s="525"/>
      <c r="AA72" s="525"/>
      <c r="AB72" s="525"/>
      <c r="AC72" s="525"/>
      <c r="AD72" s="525"/>
      <c r="AE72" s="525"/>
      <c r="AF72" s="525"/>
      <c r="AG72" s="525"/>
      <c r="AH72" s="525"/>
      <c r="AI72" s="525"/>
      <c r="AJ72" s="525"/>
      <c r="AK72" s="525"/>
      <c r="AL72" s="525"/>
      <c r="AM72" s="525"/>
      <c r="AN72" s="525"/>
      <c r="AO72" s="525"/>
      <c r="AP72" s="525"/>
      <c r="AQ72" s="525"/>
      <c r="AR72" s="525"/>
      <c r="AS72" s="525"/>
      <c r="AT72" s="525"/>
      <c r="AU72" s="525"/>
      <c r="AV72" s="525"/>
      <c r="AW72" s="525"/>
      <c r="AX72" s="525"/>
      <c r="AY72" s="525"/>
      <c r="AZ72" s="525"/>
      <c r="BA72" s="525"/>
      <c r="BB72" s="525"/>
      <c r="BC72" s="525"/>
      <c r="BD72" s="525"/>
      <c r="BE72" s="525"/>
      <c r="BF72" s="525"/>
      <c r="BG72" s="525"/>
      <c r="BH72" s="525"/>
      <c r="BI72" s="525"/>
      <c r="BJ72" s="525"/>
      <c r="BK72" s="525"/>
      <c r="BL72" s="525"/>
      <c r="BM72" s="525"/>
      <c r="BN72" s="525"/>
      <c r="BO72" s="525"/>
      <c r="BP72" s="525"/>
      <c r="BQ72" s="525"/>
      <c r="BR72" s="525"/>
      <c r="BS72" s="525"/>
      <c r="BT72" s="525"/>
      <c r="BU72" s="525"/>
      <c r="BV72" s="525"/>
    </row>
    <row r="73" spans="16:74">
      <c r="P73" s="388"/>
      <c r="Q73" s="525"/>
      <c r="R73" s="525"/>
      <c r="S73" s="525"/>
      <c r="T73" s="525"/>
      <c r="U73" s="525"/>
      <c r="V73" s="525"/>
      <c r="W73" s="525"/>
      <c r="X73" s="525"/>
      <c r="Y73" s="525"/>
      <c r="Z73" s="525"/>
      <c r="AA73" s="525"/>
      <c r="AB73" s="525"/>
      <c r="AC73" s="525"/>
      <c r="AD73" s="525"/>
      <c r="AE73" s="525"/>
      <c r="AF73" s="525"/>
      <c r="AG73" s="525"/>
      <c r="AH73" s="525"/>
      <c r="AI73" s="525"/>
      <c r="AJ73" s="525"/>
      <c r="AK73" s="525"/>
      <c r="AL73" s="525"/>
      <c r="AM73" s="525"/>
      <c r="AN73" s="525"/>
      <c r="AO73" s="525"/>
      <c r="AP73" s="525"/>
      <c r="AQ73" s="525"/>
      <c r="AR73" s="525"/>
      <c r="AS73" s="525"/>
      <c r="AT73" s="525"/>
      <c r="AU73" s="525"/>
      <c r="AV73" s="525"/>
      <c r="AW73" s="525"/>
      <c r="AX73" s="525"/>
      <c r="AY73" s="525"/>
      <c r="AZ73" s="525"/>
      <c r="BA73" s="525"/>
      <c r="BB73" s="525"/>
      <c r="BC73" s="525"/>
      <c r="BD73" s="525"/>
      <c r="BE73" s="525"/>
      <c r="BF73" s="525"/>
      <c r="BG73" s="525"/>
      <c r="BH73" s="525"/>
      <c r="BI73" s="525"/>
      <c r="BJ73" s="525"/>
      <c r="BK73" s="525"/>
      <c r="BL73" s="525"/>
      <c r="BM73" s="525"/>
      <c r="BN73" s="525"/>
      <c r="BO73" s="525"/>
      <c r="BP73" s="525"/>
      <c r="BQ73" s="525"/>
      <c r="BR73" s="525"/>
      <c r="BS73" s="525"/>
      <c r="BT73" s="525"/>
      <c r="BU73" s="525"/>
      <c r="BV73" s="525"/>
    </row>
    <row r="74" spans="16:74">
      <c r="P74" s="388"/>
      <c r="Q74" s="525"/>
      <c r="R74" s="525"/>
      <c r="S74" s="525"/>
      <c r="T74" s="525"/>
      <c r="U74" s="525"/>
      <c r="V74" s="525"/>
      <c r="W74" s="525"/>
      <c r="X74" s="525"/>
      <c r="Y74" s="525"/>
      <c r="Z74" s="525"/>
      <c r="AA74" s="525"/>
      <c r="AB74" s="525"/>
      <c r="AC74" s="525"/>
      <c r="AD74" s="525"/>
      <c r="AE74" s="525"/>
      <c r="AF74" s="525"/>
      <c r="AG74" s="525"/>
      <c r="AH74" s="525"/>
      <c r="AI74" s="525"/>
      <c r="AJ74" s="525"/>
      <c r="AK74" s="525"/>
      <c r="AL74" s="525"/>
      <c r="AM74" s="525"/>
      <c r="AN74" s="525"/>
      <c r="AO74" s="525"/>
      <c r="AP74" s="525"/>
      <c r="AQ74" s="525"/>
      <c r="AR74" s="525"/>
      <c r="AS74" s="525"/>
      <c r="AT74" s="525"/>
      <c r="AU74" s="525"/>
      <c r="AV74" s="525"/>
      <c r="AW74" s="525"/>
      <c r="AX74" s="525"/>
      <c r="AY74" s="525"/>
      <c r="AZ74" s="525"/>
      <c r="BA74" s="525"/>
      <c r="BB74" s="525"/>
      <c r="BC74" s="525"/>
      <c r="BD74" s="525"/>
      <c r="BE74" s="525"/>
      <c r="BF74" s="525"/>
      <c r="BG74" s="525"/>
      <c r="BH74" s="525"/>
      <c r="BI74" s="525"/>
      <c r="BJ74" s="525"/>
      <c r="BK74" s="525"/>
      <c r="BL74" s="525"/>
      <c r="BM74" s="525"/>
      <c r="BN74" s="525"/>
      <c r="BO74" s="525"/>
      <c r="BP74" s="525"/>
      <c r="BQ74" s="525"/>
      <c r="BR74" s="525"/>
      <c r="BS74" s="525"/>
      <c r="BT74" s="525"/>
      <c r="BU74" s="525"/>
      <c r="BV74" s="525"/>
    </row>
    <row r="75" spans="16:74">
      <c r="P75" s="388"/>
      <c r="Q75" s="525"/>
      <c r="R75" s="525"/>
      <c r="S75" s="525"/>
      <c r="T75" s="525"/>
      <c r="U75" s="525"/>
      <c r="V75" s="525"/>
      <c r="W75" s="525"/>
      <c r="X75" s="525"/>
      <c r="Y75" s="525"/>
      <c r="Z75" s="525"/>
      <c r="AA75" s="525"/>
      <c r="AB75" s="525"/>
      <c r="AC75" s="525"/>
      <c r="AD75" s="525"/>
      <c r="AE75" s="525"/>
      <c r="AF75" s="525"/>
      <c r="AG75" s="525"/>
      <c r="AH75" s="525"/>
      <c r="AI75" s="525"/>
      <c r="AJ75" s="525"/>
      <c r="AK75" s="525"/>
      <c r="AL75" s="525"/>
      <c r="AM75" s="525"/>
      <c r="AN75" s="525"/>
      <c r="AO75" s="525"/>
      <c r="AP75" s="525"/>
      <c r="AQ75" s="525"/>
      <c r="AR75" s="525"/>
      <c r="AS75" s="525"/>
      <c r="AT75" s="525"/>
      <c r="AU75" s="525"/>
      <c r="AV75" s="525"/>
      <c r="AW75" s="525"/>
      <c r="AX75" s="525"/>
      <c r="AY75" s="525"/>
      <c r="AZ75" s="525"/>
      <c r="BA75" s="525"/>
      <c r="BB75" s="525"/>
      <c r="BC75" s="525"/>
      <c r="BD75" s="525"/>
      <c r="BE75" s="525"/>
      <c r="BF75" s="525"/>
      <c r="BG75" s="525"/>
      <c r="BH75" s="525"/>
      <c r="BI75" s="525"/>
      <c r="BJ75" s="525"/>
      <c r="BK75" s="525"/>
      <c r="BL75" s="525"/>
      <c r="BM75" s="525"/>
      <c r="BN75" s="525"/>
      <c r="BO75" s="525"/>
      <c r="BP75" s="525"/>
      <c r="BQ75" s="525"/>
      <c r="BR75" s="525"/>
      <c r="BS75" s="525"/>
      <c r="BT75" s="525"/>
      <c r="BU75" s="525"/>
      <c r="BV75" s="525"/>
    </row>
    <row r="76" spans="16:74">
      <c r="P76" s="388"/>
      <c r="Q76" s="525"/>
      <c r="R76" s="525"/>
      <c r="S76" s="525"/>
      <c r="T76" s="525"/>
      <c r="U76" s="525"/>
      <c r="V76" s="525"/>
      <c r="W76" s="525"/>
      <c r="X76" s="525"/>
      <c r="Y76" s="525"/>
      <c r="Z76" s="525"/>
      <c r="AA76" s="525"/>
      <c r="AB76" s="525"/>
      <c r="AC76" s="525"/>
      <c r="AD76" s="525"/>
      <c r="AE76" s="525"/>
      <c r="AF76" s="525"/>
      <c r="AG76" s="525"/>
      <c r="AH76" s="525"/>
      <c r="AI76" s="525"/>
      <c r="AJ76" s="525"/>
      <c r="AK76" s="525"/>
      <c r="AL76" s="525"/>
      <c r="AM76" s="525"/>
      <c r="AN76" s="525"/>
      <c r="AO76" s="525"/>
      <c r="AP76" s="525"/>
      <c r="AQ76" s="525"/>
      <c r="AR76" s="525"/>
      <c r="AS76" s="525"/>
      <c r="AT76" s="525"/>
      <c r="AU76" s="525"/>
      <c r="AV76" s="525"/>
      <c r="AW76" s="525"/>
      <c r="AX76" s="525"/>
      <c r="AY76" s="525"/>
      <c r="AZ76" s="525"/>
      <c r="BA76" s="525"/>
      <c r="BB76" s="525"/>
      <c r="BC76" s="525"/>
      <c r="BD76" s="525"/>
      <c r="BE76" s="525"/>
      <c r="BF76" s="525"/>
      <c r="BG76" s="525"/>
      <c r="BH76" s="525"/>
      <c r="BI76" s="525"/>
      <c r="BJ76" s="525"/>
      <c r="BK76" s="525"/>
      <c r="BL76" s="525"/>
      <c r="BM76" s="525"/>
      <c r="BN76" s="525"/>
      <c r="BO76" s="525"/>
      <c r="BP76" s="525"/>
      <c r="BQ76" s="525"/>
      <c r="BR76" s="525"/>
      <c r="BS76" s="525"/>
      <c r="BT76" s="525"/>
      <c r="BU76" s="525"/>
      <c r="BV76" s="525"/>
    </row>
    <row r="77" spans="16:74">
      <c r="P77" s="388"/>
      <c r="Q77" s="525"/>
      <c r="R77" s="525"/>
      <c r="S77" s="525"/>
      <c r="T77" s="525"/>
      <c r="U77" s="525"/>
      <c r="V77" s="525"/>
      <c r="W77" s="525"/>
      <c r="X77" s="525"/>
      <c r="Y77" s="525"/>
      <c r="Z77" s="525"/>
      <c r="AA77" s="525"/>
      <c r="AB77" s="525"/>
      <c r="AC77" s="525"/>
      <c r="AD77" s="525"/>
      <c r="AE77" s="525"/>
      <c r="AF77" s="525"/>
      <c r="AG77" s="525"/>
      <c r="AH77" s="525"/>
      <c r="AI77" s="525"/>
      <c r="AJ77" s="525"/>
      <c r="AK77" s="525"/>
      <c r="AL77" s="525"/>
      <c r="AM77" s="525"/>
      <c r="AN77" s="525"/>
      <c r="AO77" s="525"/>
      <c r="AP77" s="525"/>
      <c r="AQ77" s="525"/>
      <c r="AR77" s="525"/>
      <c r="AS77" s="525"/>
      <c r="AT77" s="525"/>
      <c r="AU77" s="525"/>
      <c r="AV77" s="525"/>
      <c r="AW77" s="525"/>
      <c r="AX77" s="525"/>
      <c r="AY77" s="525"/>
      <c r="AZ77" s="525"/>
      <c r="BA77" s="525"/>
      <c r="BB77" s="525"/>
      <c r="BC77" s="525"/>
      <c r="BD77" s="525"/>
      <c r="BE77" s="525"/>
      <c r="BF77" s="525"/>
      <c r="BG77" s="525"/>
      <c r="BH77" s="525"/>
      <c r="BI77" s="525"/>
      <c r="BJ77" s="525"/>
      <c r="BK77" s="525"/>
      <c r="BL77" s="525"/>
      <c r="BM77" s="525"/>
      <c r="BN77" s="525"/>
      <c r="BO77" s="525"/>
      <c r="BP77" s="525"/>
      <c r="BQ77" s="525"/>
      <c r="BR77" s="525"/>
      <c r="BS77" s="525"/>
      <c r="BT77" s="525"/>
      <c r="BU77" s="525"/>
      <c r="BV77" s="525"/>
    </row>
    <row r="78" spans="16:74">
      <c r="P78" s="388"/>
      <c r="Q78" s="525"/>
      <c r="R78" s="525"/>
      <c r="S78" s="525"/>
      <c r="T78" s="525"/>
      <c r="U78" s="525"/>
      <c r="V78" s="525"/>
      <c r="W78" s="525"/>
      <c r="X78" s="525"/>
      <c r="Y78" s="525"/>
      <c r="Z78" s="525"/>
      <c r="AA78" s="525"/>
      <c r="AB78" s="525"/>
      <c r="AC78" s="525"/>
      <c r="AD78" s="525"/>
      <c r="AE78" s="525"/>
      <c r="AF78" s="525"/>
      <c r="AG78" s="525"/>
      <c r="AH78" s="525"/>
      <c r="AI78" s="525"/>
      <c r="AJ78" s="525"/>
      <c r="AK78" s="525"/>
      <c r="AL78" s="525"/>
      <c r="AM78" s="525"/>
      <c r="AN78" s="525"/>
      <c r="AO78" s="525"/>
      <c r="AP78" s="525"/>
      <c r="AQ78" s="525"/>
      <c r="AR78" s="525"/>
      <c r="AS78" s="525"/>
      <c r="AT78" s="525"/>
      <c r="AU78" s="525"/>
      <c r="AV78" s="525"/>
      <c r="AW78" s="525"/>
      <c r="AX78" s="525"/>
      <c r="AY78" s="525"/>
      <c r="AZ78" s="525"/>
      <c r="BA78" s="525"/>
      <c r="BB78" s="525"/>
      <c r="BC78" s="525"/>
      <c r="BD78" s="525"/>
      <c r="BE78" s="525"/>
      <c r="BF78" s="525"/>
      <c r="BG78" s="525"/>
      <c r="BH78" s="525"/>
      <c r="BI78" s="525"/>
      <c r="BJ78" s="525"/>
      <c r="BK78" s="525"/>
      <c r="BL78" s="525"/>
      <c r="BM78" s="525"/>
      <c r="BN78" s="525"/>
      <c r="BO78" s="525"/>
      <c r="BP78" s="525"/>
      <c r="BQ78" s="525"/>
      <c r="BR78" s="525"/>
      <c r="BS78" s="525"/>
      <c r="BT78" s="525"/>
      <c r="BU78" s="525"/>
      <c r="BV78" s="525"/>
    </row>
    <row r="79" spans="16:74">
      <c r="P79" s="388"/>
      <c r="Q79" s="525"/>
      <c r="R79" s="525"/>
      <c r="S79" s="525"/>
      <c r="T79" s="525"/>
      <c r="U79" s="525"/>
      <c r="V79" s="525"/>
      <c r="W79" s="525"/>
      <c r="X79" s="525"/>
      <c r="Y79" s="525"/>
      <c r="Z79" s="525"/>
      <c r="AA79" s="525"/>
      <c r="AB79" s="525"/>
      <c r="AC79" s="525"/>
      <c r="AD79" s="525"/>
      <c r="AE79" s="525"/>
      <c r="AF79" s="525"/>
      <c r="AG79" s="525"/>
      <c r="AH79" s="525"/>
      <c r="AI79" s="525"/>
      <c r="AJ79" s="525"/>
      <c r="AK79" s="525"/>
      <c r="AL79" s="525"/>
      <c r="AM79" s="525"/>
      <c r="AN79" s="525"/>
      <c r="AO79" s="525"/>
      <c r="AP79" s="525"/>
      <c r="AQ79" s="525"/>
      <c r="AR79" s="525"/>
      <c r="AS79" s="525"/>
      <c r="AT79" s="525"/>
      <c r="AU79" s="525"/>
      <c r="AV79" s="525"/>
      <c r="AW79" s="525"/>
      <c r="AX79" s="525"/>
      <c r="AY79" s="525"/>
      <c r="AZ79" s="525"/>
      <c r="BA79" s="525"/>
      <c r="BB79" s="525"/>
      <c r="BC79" s="525"/>
      <c r="BD79" s="525"/>
      <c r="BE79" s="525"/>
      <c r="BF79" s="525"/>
      <c r="BG79" s="525"/>
      <c r="BH79" s="525"/>
      <c r="BI79" s="525"/>
      <c r="BJ79" s="525"/>
      <c r="BK79" s="525"/>
      <c r="BL79" s="525"/>
      <c r="BM79" s="525"/>
      <c r="BN79" s="525"/>
      <c r="BO79" s="525"/>
      <c r="BP79" s="525"/>
      <c r="BQ79" s="525"/>
      <c r="BR79" s="525"/>
      <c r="BS79" s="525"/>
      <c r="BT79" s="525"/>
      <c r="BU79" s="525"/>
      <c r="BV79" s="525"/>
    </row>
    <row r="80" spans="16:74">
      <c r="P80" s="388"/>
      <c r="Q80" s="525"/>
      <c r="R80" s="525"/>
      <c r="S80" s="525"/>
      <c r="T80" s="525"/>
      <c r="U80" s="525"/>
      <c r="V80" s="525"/>
      <c r="W80" s="525"/>
      <c r="X80" s="525"/>
      <c r="Y80" s="525"/>
      <c r="Z80" s="525"/>
      <c r="AA80" s="525"/>
      <c r="AB80" s="525"/>
      <c r="AC80" s="525"/>
      <c r="AD80" s="525"/>
      <c r="AE80" s="525"/>
      <c r="AF80" s="525"/>
      <c r="AG80" s="525"/>
      <c r="AH80" s="525"/>
      <c r="AI80" s="525"/>
      <c r="AJ80" s="525"/>
      <c r="AK80" s="525"/>
      <c r="AL80" s="525"/>
      <c r="AM80" s="525"/>
      <c r="AN80" s="525"/>
      <c r="AO80" s="525"/>
      <c r="AP80" s="525"/>
      <c r="AQ80" s="525"/>
      <c r="AR80" s="525"/>
      <c r="AS80" s="525"/>
      <c r="AT80" s="525"/>
      <c r="AU80" s="525"/>
      <c r="AV80" s="525"/>
      <c r="AW80" s="525"/>
      <c r="AX80" s="525"/>
      <c r="AY80" s="525"/>
      <c r="AZ80" s="525"/>
      <c r="BA80" s="525"/>
      <c r="BB80" s="525"/>
      <c r="BC80" s="525"/>
      <c r="BD80" s="525"/>
      <c r="BE80" s="525"/>
      <c r="BF80" s="525"/>
      <c r="BG80" s="525"/>
      <c r="BH80" s="525"/>
      <c r="BI80" s="525"/>
      <c r="BJ80" s="525"/>
      <c r="BK80" s="525"/>
      <c r="BL80" s="525"/>
      <c r="BM80" s="525"/>
      <c r="BN80" s="525"/>
      <c r="BO80" s="525"/>
      <c r="BP80" s="525"/>
      <c r="BQ80" s="525"/>
      <c r="BR80" s="525"/>
      <c r="BS80" s="525"/>
      <c r="BT80" s="525"/>
      <c r="BU80" s="525"/>
      <c r="BV80" s="525"/>
    </row>
    <row r="81" spans="16:74">
      <c r="P81" s="388"/>
      <c r="Q81" s="525"/>
      <c r="R81" s="525"/>
      <c r="S81" s="525"/>
      <c r="T81" s="525"/>
      <c r="U81" s="525"/>
      <c r="V81" s="525"/>
      <c r="W81" s="525"/>
      <c r="X81" s="525"/>
      <c r="Y81" s="525"/>
      <c r="Z81" s="525"/>
      <c r="AA81" s="525"/>
      <c r="AB81" s="525"/>
      <c r="AC81" s="525"/>
      <c r="AD81" s="525"/>
      <c r="AE81" s="525"/>
      <c r="AF81" s="525"/>
      <c r="AG81" s="525"/>
      <c r="AH81" s="525"/>
      <c r="AI81" s="525"/>
      <c r="AJ81" s="525"/>
      <c r="AK81" s="525"/>
      <c r="AL81" s="525"/>
      <c r="AM81" s="525"/>
      <c r="AN81" s="525"/>
      <c r="AO81" s="525"/>
      <c r="AP81" s="525"/>
      <c r="AQ81" s="525"/>
      <c r="AR81" s="525"/>
      <c r="AS81" s="525"/>
      <c r="AT81" s="525"/>
      <c r="AU81" s="525"/>
      <c r="AV81" s="525"/>
      <c r="AW81" s="525"/>
      <c r="AX81" s="525"/>
      <c r="AY81" s="525"/>
      <c r="AZ81" s="525"/>
      <c r="BA81" s="525"/>
      <c r="BB81" s="525"/>
      <c r="BC81" s="525"/>
      <c r="BD81" s="525"/>
      <c r="BE81" s="525"/>
      <c r="BF81" s="525"/>
      <c r="BG81" s="525"/>
      <c r="BH81" s="525"/>
      <c r="BI81" s="525"/>
      <c r="BJ81" s="525"/>
      <c r="BK81" s="525"/>
      <c r="BL81" s="525"/>
      <c r="BM81" s="525"/>
      <c r="BN81" s="525"/>
      <c r="BO81" s="525"/>
      <c r="BP81" s="525"/>
      <c r="BQ81" s="525"/>
      <c r="BR81" s="525"/>
      <c r="BS81" s="525"/>
      <c r="BT81" s="525"/>
      <c r="BU81" s="525"/>
      <c r="BV81" s="525"/>
    </row>
    <row r="82" spans="16:74">
      <c r="P82" s="388"/>
      <c r="Q82" s="525"/>
      <c r="R82" s="525"/>
      <c r="S82" s="525"/>
      <c r="T82" s="525"/>
      <c r="U82" s="525"/>
      <c r="V82" s="525"/>
      <c r="W82" s="525"/>
      <c r="X82" s="525"/>
      <c r="Y82" s="525"/>
      <c r="Z82" s="525"/>
      <c r="AA82" s="525"/>
      <c r="AB82" s="525"/>
      <c r="AC82" s="525"/>
      <c r="AD82" s="525"/>
      <c r="AE82" s="525"/>
      <c r="AF82" s="525"/>
      <c r="AG82" s="525"/>
      <c r="AH82" s="525"/>
      <c r="AI82" s="525"/>
      <c r="AJ82" s="525"/>
      <c r="AK82" s="525"/>
      <c r="AL82" s="525"/>
      <c r="AM82" s="525"/>
      <c r="AN82" s="525"/>
      <c r="AO82" s="525"/>
      <c r="AP82" s="525"/>
      <c r="AQ82" s="525"/>
      <c r="AR82" s="525"/>
      <c r="AS82" s="525"/>
      <c r="AT82" s="525"/>
      <c r="AU82" s="525"/>
      <c r="AV82" s="525"/>
      <c r="AW82" s="525"/>
      <c r="AX82" s="525"/>
      <c r="AY82" s="525"/>
      <c r="AZ82" s="525"/>
      <c r="BA82" s="525"/>
      <c r="BB82" s="525"/>
      <c r="BC82" s="525"/>
      <c r="BD82" s="525"/>
      <c r="BE82" s="525"/>
      <c r="BF82" s="525"/>
      <c r="BG82" s="525"/>
      <c r="BH82" s="525"/>
      <c r="BI82" s="525"/>
      <c r="BJ82" s="525"/>
      <c r="BK82" s="525"/>
      <c r="BL82" s="525"/>
      <c r="BM82" s="525"/>
      <c r="BN82" s="525"/>
      <c r="BO82" s="525"/>
      <c r="BP82" s="525"/>
      <c r="BQ82" s="525"/>
      <c r="BR82" s="525"/>
      <c r="BS82" s="525"/>
      <c r="BT82" s="525"/>
      <c r="BU82" s="525"/>
      <c r="BV82" s="525"/>
    </row>
    <row r="83" spans="16:74">
      <c r="P83" s="388"/>
      <c r="Q83" s="525"/>
      <c r="R83" s="525"/>
      <c r="S83" s="525"/>
      <c r="T83" s="525"/>
      <c r="U83" s="525"/>
      <c r="V83" s="525"/>
      <c r="W83" s="525"/>
      <c r="X83" s="525"/>
      <c r="Y83" s="525"/>
      <c r="Z83" s="525"/>
      <c r="AA83" s="525"/>
      <c r="AB83" s="525"/>
      <c r="AC83" s="525"/>
      <c r="AD83" s="525"/>
      <c r="AE83" s="525"/>
      <c r="AF83" s="525"/>
      <c r="AG83" s="525"/>
      <c r="AH83" s="525"/>
      <c r="AI83" s="525"/>
      <c r="AJ83" s="525"/>
      <c r="AK83" s="525"/>
      <c r="AL83" s="525"/>
      <c r="AM83" s="525"/>
      <c r="AN83" s="525"/>
      <c r="AO83" s="525"/>
      <c r="AP83" s="525"/>
      <c r="AQ83" s="525"/>
      <c r="AR83" s="525"/>
      <c r="AS83" s="525"/>
      <c r="AT83" s="525"/>
      <c r="AU83" s="525"/>
      <c r="AV83" s="525"/>
      <c r="AW83" s="525"/>
      <c r="AX83" s="525"/>
      <c r="AY83" s="525"/>
      <c r="AZ83" s="525"/>
      <c r="BA83" s="525"/>
      <c r="BB83" s="525"/>
      <c r="BC83" s="525"/>
      <c r="BD83" s="525"/>
      <c r="BE83" s="525"/>
      <c r="BF83" s="525"/>
      <c r="BG83" s="525"/>
      <c r="BH83" s="525"/>
      <c r="BI83" s="525"/>
      <c r="BJ83" s="525"/>
      <c r="BK83" s="525"/>
      <c r="BL83" s="525"/>
      <c r="BM83" s="525"/>
      <c r="BN83" s="525"/>
      <c r="BO83" s="525"/>
      <c r="BP83" s="525"/>
      <c r="BQ83" s="525"/>
      <c r="BR83" s="525"/>
      <c r="BS83" s="525"/>
      <c r="BT83" s="525"/>
      <c r="BU83" s="525"/>
      <c r="BV83" s="525"/>
    </row>
    <row r="84" spans="16:74">
      <c r="P84" s="388"/>
      <c r="Q84" s="525"/>
      <c r="R84" s="525"/>
      <c r="S84" s="525"/>
      <c r="T84" s="525"/>
      <c r="U84" s="525"/>
      <c r="V84" s="525"/>
      <c r="W84" s="525"/>
      <c r="X84" s="525"/>
      <c r="Y84" s="525"/>
      <c r="Z84" s="525"/>
      <c r="AA84" s="525"/>
      <c r="AB84" s="525"/>
      <c r="AC84" s="525"/>
      <c r="AD84" s="525"/>
      <c r="AE84" s="525"/>
      <c r="AF84" s="525"/>
      <c r="AG84" s="525"/>
      <c r="AH84" s="525"/>
      <c r="AI84" s="525"/>
      <c r="AJ84" s="525"/>
      <c r="AK84" s="525"/>
      <c r="AL84" s="525"/>
      <c r="AM84" s="525"/>
      <c r="AN84" s="525"/>
      <c r="AO84" s="525"/>
      <c r="AP84" s="525"/>
      <c r="AQ84" s="525"/>
      <c r="AR84" s="525"/>
      <c r="AS84" s="525"/>
      <c r="AT84" s="525"/>
      <c r="AU84" s="525"/>
      <c r="AV84" s="525"/>
      <c r="AW84" s="525"/>
      <c r="AX84" s="525"/>
      <c r="AY84" s="525"/>
      <c r="AZ84" s="525"/>
      <c r="BA84" s="525"/>
      <c r="BB84" s="525"/>
      <c r="BC84" s="525"/>
      <c r="BD84" s="525"/>
      <c r="BE84" s="525"/>
      <c r="BF84" s="525"/>
      <c r="BG84" s="525"/>
      <c r="BH84" s="525"/>
      <c r="BI84" s="525"/>
      <c r="BJ84" s="525"/>
      <c r="BK84" s="525"/>
      <c r="BL84" s="525"/>
      <c r="BM84" s="525"/>
      <c r="BN84" s="525"/>
      <c r="BO84" s="525"/>
      <c r="BP84" s="525"/>
      <c r="BQ84" s="525"/>
      <c r="BR84" s="525"/>
      <c r="BS84" s="525"/>
      <c r="BT84" s="525"/>
      <c r="BU84" s="525"/>
      <c r="BV84" s="525"/>
    </row>
    <row r="85" spans="16:74">
      <c r="P85" s="388"/>
      <c r="Q85" s="525"/>
      <c r="R85" s="525"/>
      <c r="S85" s="525"/>
      <c r="T85" s="525"/>
      <c r="U85" s="525"/>
      <c r="V85" s="525"/>
      <c r="W85" s="525"/>
      <c r="X85" s="525"/>
      <c r="Y85" s="525"/>
      <c r="Z85" s="525"/>
      <c r="AA85" s="525"/>
      <c r="AB85" s="525"/>
      <c r="AC85" s="525"/>
      <c r="AD85" s="525"/>
      <c r="AE85" s="525"/>
      <c r="AF85" s="525"/>
      <c r="AG85" s="525"/>
      <c r="AH85" s="525"/>
      <c r="AI85" s="525"/>
      <c r="AJ85" s="525"/>
      <c r="AK85" s="525"/>
      <c r="AL85" s="525"/>
      <c r="AM85" s="525"/>
      <c r="AN85" s="525"/>
      <c r="AO85" s="525"/>
      <c r="AP85" s="525"/>
      <c r="AQ85" s="525"/>
      <c r="AR85" s="525"/>
      <c r="AS85" s="525"/>
      <c r="AT85" s="525"/>
      <c r="AU85" s="525"/>
      <c r="AV85" s="525"/>
      <c r="AW85" s="525"/>
      <c r="AX85" s="525"/>
      <c r="AY85" s="525"/>
      <c r="AZ85" s="525"/>
      <c r="BA85" s="525"/>
      <c r="BB85" s="525"/>
      <c r="BC85" s="525"/>
      <c r="BD85" s="525"/>
      <c r="BE85" s="525"/>
      <c r="BF85" s="525"/>
      <c r="BG85" s="525"/>
      <c r="BH85" s="525"/>
      <c r="BI85" s="525"/>
      <c r="BJ85" s="525"/>
      <c r="BK85" s="525"/>
      <c r="BL85" s="525"/>
      <c r="BM85" s="525"/>
      <c r="BN85" s="525"/>
      <c r="BO85" s="525"/>
      <c r="BP85" s="525"/>
      <c r="BQ85" s="525"/>
      <c r="BR85" s="525"/>
      <c r="BS85" s="525"/>
      <c r="BT85" s="525"/>
      <c r="BU85" s="525"/>
      <c r="BV85" s="525"/>
    </row>
    <row r="86" spans="16:74">
      <c r="P86" s="388"/>
      <c r="Q86" s="525"/>
      <c r="R86" s="525"/>
      <c r="S86" s="525"/>
      <c r="T86" s="525"/>
      <c r="U86" s="525"/>
      <c r="V86" s="525"/>
      <c r="W86" s="525"/>
      <c r="X86" s="525"/>
      <c r="Y86" s="525"/>
      <c r="Z86" s="525"/>
      <c r="AA86" s="525"/>
      <c r="AB86" s="525"/>
      <c r="AC86" s="525"/>
      <c r="AD86" s="525"/>
      <c r="AE86" s="525"/>
      <c r="AF86" s="525"/>
      <c r="AG86" s="525"/>
      <c r="AH86" s="525"/>
      <c r="AI86" s="525"/>
      <c r="AJ86" s="525"/>
      <c r="AK86" s="525"/>
      <c r="AL86" s="525"/>
      <c r="AM86" s="525"/>
      <c r="AN86" s="525"/>
      <c r="AO86" s="525"/>
      <c r="AP86" s="525"/>
      <c r="AQ86" s="525"/>
      <c r="AR86" s="525"/>
      <c r="AS86" s="525"/>
      <c r="AT86" s="525"/>
      <c r="AU86" s="525"/>
      <c r="AV86" s="525"/>
      <c r="AW86" s="525"/>
      <c r="AX86" s="525"/>
      <c r="AY86" s="525"/>
      <c r="AZ86" s="525"/>
      <c r="BA86" s="525"/>
      <c r="BB86" s="525"/>
      <c r="BC86" s="525"/>
      <c r="BD86" s="525"/>
      <c r="BE86" s="525"/>
      <c r="BF86" s="525"/>
      <c r="BG86" s="525"/>
      <c r="BH86" s="525"/>
      <c r="BI86" s="525"/>
      <c r="BJ86" s="525"/>
      <c r="BK86" s="525"/>
      <c r="BL86" s="525"/>
      <c r="BM86" s="525"/>
      <c r="BN86" s="525"/>
      <c r="BO86" s="525"/>
      <c r="BP86" s="525"/>
      <c r="BQ86" s="525"/>
      <c r="BR86" s="525"/>
      <c r="BS86" s="525"/>
      <c r="BT86" s="525"/>
      <c r="BU86" s="525"/>
      <c r="BV86" s="525"/>
    </row>
    <row r="87" spans="16:74">
      <c r="P87" s="388"/>
      <c r="Q87" s="525"/>
      <c r="R87" s="525"/>
      <c r="S87" s="525"/>
      <c r="T87" s="525"/>
      <c r="U87" s="525"/>
      <c r="V87" s="525"/>
      <c r="W87" s="525"/>
      <c r="X87" s="525"/>
      <c r="Y87" s="525"/>
      <c r="Z87" s="525"/>
      <c r="AA87" s="525"/>
      <c r="AB87" s="525"/>
      <c r="AC87" s="525"/>
      <c r="AD87" s="525"/>
      <c r="AE87" s="525"/>
      <c r="AF87" s="525"/>
      <c r="AG87" s="525"/>
      <c r="AH87" s="525"/>
      <c r="AI87" s="525"/>
      <c r="AJ87" s="525"/>
      <c r="AK87" s="525"/>
      <c r="AL87" s="525"/>
      <c r="AM87" s="525"/>
      <c r="AN87" s="525"/>
      <c r="AO87" s="525"/>
      <c r="AP87" s="525"/>
      <c r="AQ87" s="525"/>
      <c r="AR87" s="525"/>
      <c r="AS87" s="525"/>
      <c r="AT87" s="525"/>
      <c r="AU87" s="525"/>
      <c r="AV87" s="525"/>
      <c r="AW87" s="525"/>
      <c r="AX87" s="525"/>
      <c r="AY87" s="525"/>
      <c r="AZ87" s="525"/>
      <c r="BA87" s="525"/>
      <c r="BB87" s="525"/>
      <c r="BC87" s="525"/>
      <c r="BD87" s="525"/>
      <c r="BE87" s="525"/>
      <c r="BF87" s="525"/>
      <c r="BG87" s="525"/>
      <c r="BH87" s="525"/>
      <c r="BI87" s="525"/>
      <c r="BJ87" s="525"/>
      <c r="BK87" s="525"/>
      <c r="BL87" s="525"/>
      <c r="BM87" s="525"/>
      <c r="BN87" s="525"/>
      <c r="BO87" s="525"/>
      <c r="BP87" s="525"/>
      <c r="BQ87" s="525"/>
      <c r="BR87" s="525"/>
      <c r="BS87" s="525"/>
      <c r="BT87" s="525"/>
      <c r="BU87" s="525"/>
      <c r="BV87" s="525"/>
    </row>
    <row r="88" spans="16:74">
      <c r="P88" s="388"/>
      <c r="Q88" s="525"/>
      <c r="R88" s="525"/>
      <c r="S88" s="525"/>
      <c r="T88" s="525"/>
      <c r="U88" s="525"/>
      <c r="V88" s="525"/>
      <c r="W88" s="525"/>
      <c r="X88" s="525"/>
      <c r="Y88" s="525"/>
      <c r="Z88" s="525"/>
      <c r="AA88" s="525"/>
      <c r="AB88" s="525"/>
      <c r="AC88" s="525"/>
      <c r="AD88" s="525"/>
      <c r="AE88" s="525"/>
      <c r="AF88" s="525"/>
      <c r="AG88" s="525"/>
      <c r="AH88" s="525"/>
      <c r="AI88" s="525"/>
      <c r="AJ88" s="525"/>
      <c r="AK88" s="525"/>
      <c r="AL88" s="525"/>
      <c r="AM88" s="525"/>
      <c r="AN88" s="525"/>
      <c r="AO88" s="525"/>
      <c r="AP88" s="525"/>
      <c r="AQ88" s="525"/>
      <c r="AR88" s="525"/>
      <c r="AS88" s="525"/>
      <c r="AT88" s="525"/>
      <c r="AU88" s="525"/>
      <c r="AV88" s="525"/>
      <c r="AW88" s="525"/>
      <c r="AX88" s="525"/>
      <c r="AY88" s="525"/>
      <c r="AZ88" s="525"/>
      <c r="BA88" s="525"/>
      <c r="BB88" s="525"/>
      <c r="BC88" s="525"/>
      <c r="BD88" s="525"/>
      <c r="BE88" s="525"/>
      <c r="BF88" s="525"/>
      <c r="BG88" s="525"/>
      <c r="BH88" s="525"/>
      <c r="BI88" s="525"/>
      <c r="BJ88" s="525"/>
      <c r="BK88" s="525"/>
      <c r="BL88" s="525"/>
      <c r="BM88" s="525"/>
      <c r="BN88" s="525"/>
      <c r="BO88" s="525"/>
      <c r="BP88" s="525"/>
      <c r="BQ88" s="525"/>
      <c r="BR88" s="525"/>
      <c r="BS88" s="525"/>
      <c r="BT88" s="525"/>
      <c r="BU88" s="525"/>
      <c r="BV88" s="525"/>
    </row>
    <row r="89" spans="16:74">
      <c r="P89" s="388"/>
      <c r="Q89" s="525"/>
      <c r="R89" s="525"/>
      <c r="S89" s="525"/>
      <c r="T89" s="525"/>
      <c r="U89" s="525"/>
      <c r="V89" s="525"/>
      <c r="W89" s="525"/>
      <c r="X89" s="525"/>
      <c r="Y89" s="525"/>
      <c r="Z89" s="525"/>
      <c r="AA89" s="525"/>
      <c r="AB89" s="525"/>
      <c r="AC89" s="525"/>
      <c r="AD89" s="525"/>
      <c r="AE89" s="525"/>
      <c r="AF89" s="525"/>
      <c r="AG89" s="525"/>
      <c r="AH89" s="525"/>
      <c r="AI89" s="525"/>
      <c r="AJ89" s="525"/>
      <c r="AK89" s="525"/>
      <c r="AL89" s="525"/>
      <c r="AM89" s="525"/>
      <c r="AN89" s="525"/>
      <c r="AO89" s="525"/>
      <c r="AP89" s="525"/>
      <c r="AQ89" s="525"/>
      <c r="AR89" s="525"/>
      <c r="AS89" s="525"/>
      <c r="AT89" s="525"/>
      <c r="AU89" s="525"/>
      <c r="AV89" s="525"/>
      <c r="AW89" s="525"/>
      <c r="AX89" s="525"/>
      <c r="AY89" s="525"/>
      <c r="AZ89" s="525"/>
      <c r="BA89" s="525"/>
      <c r="BB89" s="525"/>
      <c r="BC89" s="525"/>
      <c r="BD89" s="525"/>
      <c r="BE89" s="525"/>
      <c r="BF89" s="525"/>
      <c r="BG89" s="525"/>
      <c r="BH89" s="525"/>
      <c r="BI89" s="525"/>
      <c r="BJ89" s="525"/>
      <c r="BK89" s="525"/>
      <c r="BL89" s="525"/>
      <c r="BM89" s="525"/>
      <c r="BN89" s="525"/>
      <c r="BO89" s="525"/>
      <c r="BP89" s="525"/>
      <c r="BQ89" s="525"/>
      <c r="BR89" s="525"/>
      <c r="BS89" s="525"/>
      <c r="BT89" s="525"/>
      <c r="BU89" s="525"/>
      <c r="BV89" s="525"/>
    </row>
    <row r="90" spans="16:74">
      <c r="P90" s="388"/>
      <c r="Q90" s="525"/>
      <c r="R90" s="525"/>
      <c r="S90" s="525"/>
      <c r="T90" s="525"/>
      <c r="U90" s="525"/>
      <c r="V90" s="525"/>
      <c r="W90" s="525"/>
      <c r="X90" s="525"/>
      <c r="Y90" s="525"/>
      <c r="Z90" s="525"/>
      <c r="AA90" s="525"/>
      <c r="AB90" s="525"/>
      <c r="AC90" s="525"/>
      <c r="AD90" s="525"/>
      <c r="AE90" s="525"/>
      <c r="AF90" s="525"/>
      <c r="AG90" s="525"/>
      <c r="AH90" s="525"/>
      <c r="AI90" s="525"/>
      <c r="AJ90" s="525"/>
      <c r="AK90" s="525"/>
      <c r="AL90" s="525"/>
      <c r="AM90" s="525"/>
      <c r="AN90" s="525"/>
      <c r="AO90" s="525"/>
      <c r="AP90" s="525"/>
      <c r="AQ90" s="525"/>
      <c r="AR90" s="525"/>
      <c r="AS90" s="525"/>
      <c r="AT90" s="525"/>
      <c r="AU90" s="525"/>
      <c r="AV90" s="525"/>
      <c r="AW90" s="525"/>
      <c r="AX90" s="525"/>
      <c r="AY90" s="525"/>
      <c r="AZ90" s="525"/>
      <c r="BA90" s="525"/>
      <c r="BB90" s="525"/>
      <c r="BC90" s="525"/>
      <c r="BD90" s="525"/>
      <c r="BE90" s="525"/>
      <c r="BF90" s="525"/>
      <c r="BG90" s="525"/>
      <c r="BH90" s="525"/>
      <c r="BI90" s="525"/>
      <c r="BJ90" s="525"/>
      <c r="BK90" s="525"/>
      <c r="BL90" s="525"/>
      <c r="BM90" s="525"/>
      <c r="BN90" s="525"/>
      <c r="BO90" s="525"/>
      <c r="BP90" s="525"/>
      <c r="BQ90" s="525"/>
      <c r="BR90" s="525"/>
      <c r="BS90" s="525"/>
      <c r="BT90" s="525"/>
      <c r="BU90" s="525"/>
      <c r="BV90" s="525"/>
    </row>
    <row r="91" spans="16:74">
      <c r="P91" s="388"/>
      <c r="Q91" s="525"/>
      <c r="R91" s="525"/>
      <c r="S91" s="525"/>
      <c r="T91" s="525"/>
      <c r="U91" s="525"/>
      <c r="V91" s="525"/>
      <c r="W91" s="525"/>
      <c r="X91" s="525"/>
      <c r="Y91" s="525"/>
      <c r="Z91" s="525"/>
      <c r="AA91" s="525"/>
      <c r="AB91" s="525"/>
      <c r="AC91" s="525"/>
      <c r="AD91" s="525"/>
      <c r="AE91" s="525"/>
      <c r="AF91" s="525"/>
      <c r="AG91" s="525"/>
      <c r="AH91" s="525"/>
      <c r="AI91" s="525"/>
      <c r="AJ91" s="525"/>
      <c r="AK91" s="525"/>
      <c r="AL91" s="525"/>
      <c r="AM91" s="525"/>
      <c r="AN91" s="525"/>
      <c r="AO91" s="525"/>
      <c r="AP91" s="525"/>
      <c r="AQ91" s="525"/>
      <c r="AR91" s="525"/>
      <c r="AS91" s="525"/>
      <c r="AT91" s="525"/>
      <c r="AU91" s="525"/>
      <c r="AV91" s="525"/>
      <c r="AW91" s="525"/>
      <c r="AX91" s="525"/>
      <c r="AY91" s="525"/>
      <c r="AZ91" s="525"/>
      <c r="BA91" s="525"/>
      <c r="BB91" s="525"/>
      <c r="BC91" s="525"/>
      <c r="BD91" s="525"/>
      <c r="BE91" s="525"/>
      <c r="BF91" s="525"/>
      <c r="BG91" s="525"/>
      <c r="BH91" s="525"/>
      <c r="BI91" s="525"/>
      <c r="BJ91" s="525"/>
      <c r="BK91" s="525"/>
      <c r="BL91" s="525"/>
      <c r="BM91" s="525"/>
      <c r="BN91" s="525"/>
      <c r="BO91" s="525"/>
      <c r="BP91" s="525"/>
      <c r="BQ91" s="525"/>
      <c r="BR91" s="525"/>
      <c r="BS91" s="525"/>
      <c r="BT91" s="525"/>
      <c r="BU91" s="525"/>
      <c r="BV91" s="525"/>
    </row>
    <row r="92" spans="16:74">
      <c r="P92" s="388"/>
      <c r="Q92" s="525"/>
      <c r="R92" s="525"/>
      <c r="S92" s="525"/>
      <c r="T92" s="525"/>
      <c r="U92" s="525"/>
      <c r="V92" s="525"/>
      <c r="W92" s="525"/>
      <c r="X92" s="525"/>
      <c r="Y92" s="525"/>
      <c r="Z92" s="525"/>
      <c r="AA92" s="525"/>
      <c r="AB92" s="525"/>
      <c r="AC92" s="525"/>
      <c r="AD92" s="525"/>
      <c r="AE92" s="525"/>
      <c r="AF92" s="525"/>
      <c r="AG92" s="525"/>
      <c r="AH92" s="525"/>
      <c r="AI92" s="525"/>
      <c r="AJ92" s="525"/>
      <c r="AK92" s="525"/>
      <c r="AL92" s="525"/>
      <c r="AM92" s="525"/>
      <c r="AN92" s="525"/>
      <c r="AO92" s="525"/>
      <c r="AP92" s="525"/>
      <c r="AQ92" s="525"/>
      <c r="AR92" s="525"/>
      <c r="AS92" s="525"/>
      <c r="AT92" s="525"/>
      <c r="AU92" s="525"/>
      <c r="AV92" s="525"/>
      <c r="AW92" s="525"/>
      <c r="AX92" s="525"/>
      <c r="AY92" s="525"/>
      <c r="AZ92" s="525"/>
      <c r="BA92" s="525"/>
      <c r="BB92" s="525"/>
      <c r="BC92" s="525"/>
      <c r="BD92" s="525"/>
      <c r="BE92" s="525"/>
      <c r="BF92" s="525"/>
      <c r="BG92" s="525"/>
      <c r="BH92" s="525"/>
      <c r="BI92" s="525"/>
      <c r="BJ92" s="525"/>
      <c r="BK92" s="525"/>
      <c r="BL92" s="525"/>
      <c r="BM92" s="525"/>
      <c r="BN92" s="525"/>
      <c r="BO92" s="525"/>
      <c r="BP92" s="525"/>
      <c r="BQ92" s="525"/>
      <c r="BR92" s="525"/>
      <c r="BS92" s="525"/>
      <c r="BT92" s="525"/>
      <c r="BU92" s="525"/>
      <c r="BV92" s="525"/>
    </row>
    <row r="93" spans="16:74">
      <c r="P93" s="388"/>
      <c r="Q93" s="525"/>
      <c r="R93" s="525"/>
      <c r="S93" s="525"/>
      <c r="T93" s="525"/>
      <c r="U93" s="525"/>
      <c r="V93" s="525"/>
      <c r="W93" s="525"/>
      <c r="X93" s="525"/>
      <c r="Y93" s="525"/>
      <c r="Z93" s="525"/>
      <c r="AA93" s="525"/>
      <c r="AB93" s="525"/>
      <c r="AC93" s="525"/>
      <c r="AD93" s="525"/>
      <c r="AE93" s="525"/>
      <c r="AF93" s="525"/>
      <c r="AG93" s="525"/>
      <c r="AH93" s="525"/>
      <c r="AI93" s="525"/>
      <c r="AJ93" s="525"/>
      <c r="AK93" s="525"/>
      <c r="AL93" s="525"/>
      <c r="AM93" s="525"/>
      <c r="AN93" s="525"/>
      <c r="AO93" s="525"/>
      <c r="AP93" s="525"/>
      <c r="AQ93" s="525"/>
      <c r="AR93" s="525"/>
      <c r="AS93" s="525"/>
      <c r="AT93" s="525"/>
      <c r="AU93" s="525"/>
      <c r="AV93" s="525"/>
      <c r="AW93" s="525"/>
      <c r="AX93" s="525"/>
      <c r="AY93" s="525"/>
      <c r="AZ93" s="525"/>
      <c r="BA93" s="525"/>
      <c r="BB93" s="525"/>
      <c r="BC93" s="525"/>
      <c r="BD93" s="525"/>
      <c r="BE93" s="525"/>
      <c r="BF93" s="525"/>
      <c r="BG93" s="525"/>
      <c r="BH93" s="525"/>
      <c r="BI93" s="525"/>
      <c r="BJ93" s="525"/>
      <c r="BK93" s="525"/>
      <c r="BL93" s="525"/>
      <c r="BM93" s="525"/>
      <c r="BN93" s="525"/>
      <c r="BO93" s="525"/>
      <c r="BP93" s="525"/>
      <c r="BQ93" s="525"/>
      <c r="BR93" s="525"/>
      <c r="BS93" s="525"/>
      <c r="BT93" s="525"/>
      <c r="BU93" s="525"/>
      <c r="BV93" s="525"/>
    </row>
    <row r="94" spans="16:74">
      <c r="P94" s="388"/>
      <c r="Q94" s="525"/>
      <c r="R94" s="525"/>
      <c r="S94" s="525"/>
      <c r="T94" s="525"/>
      <c r="U94" s="525"/>
      <c r="V94" s="525"/>
      <c r="W94" s="525"/>
      <c r="X94" s="525"/>
      <c r="Y94" s="525"/>
      <c r="Z94" s="525"/>
      <c r="AA94" s="525"/>
      <c r="AB94" s="525"/>
      <c r="AC94" s="525"/>
      <c r="AD94" s="525"/>
      <c r="AE94" s="525"/>
      <c r="AF94" s="525"/>
      <c r="AG94" s="525"/>
      <c r="AH94" s="525"/>
      <c r="AI94" s="525"/>
      <c r="AJ94" s="525"/>
      <c r="AK94" s="525"/>
      <c r="AL94" s="525"/>
      <c r="AM94" s="525"/>
      <c r="AN94" s="525"/>
      <c r="AO94" s="525"/>
      <c r="AP94" s="525"/>
      <c r="AQ94" s="525"/>
      <c r="AR94" s="525"/>
      <c r="AS94" s="525"/>
      <c r="AT94" s="525"/>
      <c r="AU94" s="525"/>
      <c r="AV94" s="525"/>
      <c r="AW94" s="525"/>
      <c r="AX94" s="525"/>
      <c r="AY94" s="525"/>
      <c r="AZ94" s="525"/>
      <c r="BA94" s="525"/>
      <c r="BB94" s="525"/>
      <c r="BC94" s="525"/>
      <c r="BD94" s="525"/>
      <c r="BE94" s="525"/>
      <c r="BF94" s="525"/>
      <c r="BG94" s="525"/>
      <c r="BH94" s="525"/>
      <c r="BI94" s="525"/>
      <c r="BJ94" s="525"/>
      <c r="BK94" s="525"/>
      <c r="BL94" s="525"/>
      <c r="BM94" s="525"/>
      <c r="BN94" s="525"/>
      <c r="BO94" s="525"/>
      <c r="BP94" s="525"/>
      <c r="BQ94" s="525"/>
      <c r="BR94" s="525"/>
      <c r="BS94" s="525"/>
      <c r="BT94" s="525"/>
      <c r="BU94" s="525"/>
      <c r="BV94" s="525"/>
    </row>
    <row r="95" spans="16:74">
      <c r="P95" s="38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</row>
    <row r="96" spans="16:74">
      <c r="P96" s="38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</row>
    <row r="97" spans="16:50">
      <c r="P97" s="38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</row>
    <row r="98" spans="16:50">
      <c r="P98" s="38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</row>
    <row r="99" spans="16:50">
      <c r="P99" s="38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</row>
    <row r="100" spans="16:50">
      <c r="P100" s="38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</row>
    <row r="101" spans="16:50">
      <c r="P101" s="38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</row>
    <row r="102" spans="16:50">
      <c r="P102" s="38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</row>
    <row r="103" spans="16:50">
      <c r="P103" s="38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</row>
    <row r="104" spans="16:50">
      <c r="P104" s="38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</row>
    <row r="105" spans="16:50">
      <c r="P105" s="38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</row>
    <row r="106" spans="16:50">
      <c r="P106" s="38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</row>
    <row r="107" spans="16:50">
      <c r="P107" s="38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</row>
    <row r="108" spans="16:50">
      <c r="P108" s="38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</row>
    <row r="109" spans="16:50">
      <c r="P109" s="38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</row>
    <row r="110" spans="16:50">
      <c r="P110" s="38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</row>
    <row r="111" spans="16:50">
      <c r="P111" s="38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</row>
    <row r="112" spans="16:50">
      <c r="P112" s="38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</row>
    <row r="113" spans="16:50">
      <c r="P113" s="38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</row>
    <row r="114" spans="16:50">
      <c r="P114" s="38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</row>
    <row r="115" spans="16:50">
      <c r="P115" s="38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</row>
    <row r="116" spans="16:50">
      <c r="P116" s="38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</row>
    <row r="117" spans="16:50">
      <c r="P117" s="38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</row>
    <row r="118" spans="16:50">
      <c r="P118" s="38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</row>
    <row r="119" spans="16:50">
      <c r="P119" s="38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</row>
    <row r="120" spans="16:50">
      <c r="P120" s="38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</row>
    <row r="121" spans="16:50">
      <c r="P121" s="38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</row>
    <row r="122" spans="16:50">
      <c r="P122" s="38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</row>
    <row r="123" spans="16:50">
      <c r="P123" s="38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</row>
    <row r="124" spans="16:50">
      <c r="P124" s="38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</row>
    <row r="125" spans="16:50">
      <c r="P125" s="38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</row>
    <row r="126" spans="16:50">
      <c r="P126" s="38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</row>
    <row r="127" spans="16:50">
      <c r="P127" s="38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</row>
    <row r="128" spans="16:50">
      <c r="P128" s="38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</row>
    <row r="129" spans="16:50">
      <c r="P129" s="38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</row>
    <row r="130" spans="16:50">
      <c r="P130" s="38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</row>
    <row r="131" spans="16:50">
      <c r="P131" s="38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</row>
    <row r="132" spans="16:50">
      <c r="P132" s="38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</row>
    <row r="133" spans="16:50">
      <c r="P133" s="38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</row>
    <row r="134" spans="16:50">
      <c r="P134" s="38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</row>
    <row r="135" spans="16:50">
      <c r="P135" s="38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</row>
    <row r="136" spans="16:50">
      <c r="P136" s="38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</row>
    <row r="137" spans="16:50">
      <c r="P137" s="38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</row>
    <row r="138" spans="16:50">
      <c r="P138" s="38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</row>
    <row r="139" spans="16:50">
      <c r="P139" s="38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</row>
    <row r="140" spans="16:50">
      <c r="P140" s="38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</row>
    <row r="141" spans="16:50">
      <c r="P141" s="38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</row>
    <row r="142" spans="16:50">
      <c r="P142" s="38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</row>
    <row r="143" spans="16:50">
      <c r="P143" s="38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</row>
    <row r="144" spans="16:50">
      <c r="P144" s="38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</row>
    <row r="145" spans="16:50">
      <c r="P145" s="38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</row>
    <row r="146" spans="16:50">
      <c r="P146" s="38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</row>
    <row r="147" spans="16:50">
      <c r="P147" s="38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</row>
    <row r="148" spans="16:50">
      <c r="P148" s="38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</row>
    <row r="149" spans="16:50">
      <c r="P149" s="38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</row>
    <row r="150" spans="16:50">
      <c r="P150" s="38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</row>
    <row r="151" spans="16:50">
      <c r="P151" s="38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</row>
    <row r="152" spans="16:50">
      <c r="P152" s="38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</row>
    <row r="153" spans="16:50">
      <c r="P153" s="38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</row>
    <row r="154" spans="16:50">
      <c r="P154" s="38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</row>
    <row r="155" spans="16:50">
      <c r="P155" s="38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</row>
    <row r="156" spans="16:50">
      <c r="P156" s="38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</row>
    <row r="157" spans="16:50">
      <c r="P157" s="38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</row>
    <row r="158" spans="16:50">
      <c r="P158" s="38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</row>
    <row r="159" spans="16:50">
      <c r="P159" s="38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</row>
    <row r="160" spans="16:50">
      <c r="P160" s="38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</row>
    <row r="161" spans="16:50">
      <c r="P161" s="38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</row>
    <row r="162" spans="16:50">
      <c r="P162" s="38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</row>
    <row r="163" spans="16:50">
      <c r="P163" s="388"/>
      <c r="Q163" s="308"/>
      <c r="R163" s="308"/>
      <c r="S163" s="308"/>
      <c r="T163" s="308"/>
      <c r="U163" s="308"/>
      <c r="V163" s="308"/>
      <c r="W163" s="308"/>
      <c r="X163" s="308"/>
      <c r="Y163" s="308"/>
      <c r="Z163" s="308"/>
      <c r="AA163" s="308"/>
      <c r="AB163" s="308"/>
      <c r="AC163" s="308"/>
      <c r="AD163" s="308"/>
      <c r="AE163" s="308"/>
      <c r="AF163" s="308"/>
      <c r="AG163" s="308"/>
      <c r="AH163" s="308"/>
      <c r="AI163" s="308"/>
      <c r="AJ163" s="308"/>
      <c r="AK163" s="308"/>
      <c r="AL163" s="308"/>
      <c r="AM163" s="308"/>
      <c r="AN163" s="308"/>
      <c r="AO163" s="308"/>
      <c r="AP163" s="308"/>
      <c r="AQ163" s="308"/>
      <c r="AR163" s="308"/>
      <c r="AS163" s="308"/>
      <c r="AT163" s="308"/>
      <c r="AU163" s="308"/>
      <c r="AV163" s="308"/>
      <c r="AW163" s="308"/>
      <c r="AX163" s="308"/>
    </row>
    <row r="164" spans="16:50">
      <c r="P164" s="388"/>
      <c r="Q164" s="308"/>
      <c r="R164" s="308"/>
      <c r="S164" s="308"/>
      <c r="T164" s="308"/>
      <c r="U164" s="308"/>
      <c r="V164" s="308"/>
      <c r="W164" s="308"/>
      <c r="X164" s="308"/>
      <c r="Y164" s="308"/>
      <c r="Z164" s="308"/>
      <c r="AA164" s="308"/>
      <c r="AB164" s="308"/>
      <c r="AC164" s="308"/>
      <c r="AD164" s="308"/>
      <c r="AE164" s="308"/>
      <c r="AF164" s="308"/>
      <c r="AG164" s="308"/>
      <c r="AH164" s="308"/>
      <c r="AI164" s="308"/>
      <c r="AJ164" s="308"/>
      <c r="AK164" s="308"/>
      <c r="AL164" s="308"/>
      <c r="AM164" s="308"/>
      <c r="AN164" s="308"/>
      <c r="AO164" s="308"/>
      <c r="AP164" s="308"/>
      <c r="AQ164" s="308"/>
      <c r="AR164" s="308"/>
      <c r="AS164" s="308"/>
      <c r="AT164" s="308"/>
      <c r="AU164" s="308"/>
      <c r="AV164" s="308"/>
      <c r="AW164" s="308"/>
      <c r="AX164" s="308"/>
    </row>
    <row r="165" spans="16:50">
      <c r="P165" s="388"/>
      <c r="Q165" s="308"/>
      <c r="R165" s="308"/>
      <c r="S165" s="308"/>
      <c r="T165" s="308"/>
      <c r="U165" s="308"/>
      <c r="V165" s="308"/>
      <c r="W165" s="308"/>
      <c r="X165" s="308"/>
      <c r="Y165" s="308"/>
      <c r="Z165" s="308"/>
      <c r="AA165" s="308"/>
      <c r="AB165" s="308"/>
      <c r="AC165" s="308"/>
      <c r="AD165" s="308"/>
      <c r="AE165" s="308"/>
      <c r="AF165" s="308"/>
      <c r="AG165" s="308"/>
      <c r="AH165" s="308"/>
      <c r="AI165" s="308"/>
      <c r="AJ165" s="308"/>
      <c r="AK165" s="308"/>
      <c r="AL165" s="308"/>
      <c r="AM165" s="308"/>
      <c r="AN165" s="308"/>
      <c r="AO165" s="308"/>
      <c r="AP165" s="308"/>
      <c r="AQ165" s="308"/>
      <c r="AR165" s="308"/>
      <c r="AS165" s="308"/>
      <c r="AT165" s="308"/>
      <c r="AU165" s="308"/>
      <c r="AV165" s="308"/>
      <c r="AW165" s="308"/>
      <c r="AX165" s="308"/>
    </row>
    <row r="166" spans="16:50">
      <c r="P166" s="388"/>
      <c r="Q166" s="308"/>
      <c r="R166" s="308"/>
      <c r="S166" s="308"/>
      <c r="T166" s="308"/>
      <c r="U166" s="308"/>
      <c r="V166" s="308"/>
      <c r="W166" s="308"/>
      <c r="X166" s="308"/>
      <c r="Y166" s="308"/>
      <c r="Z166" s="308"/>
      <c r="AA166" s="308"/>
      <c r="AB166" s="308"/>
      <c r="AC166" s="308"/>
      <c r="AD166" s="308"/>
      <c r="AE166" s="308"/>
      <c r="AF166" s="308"/>
      <c r="AG166" s="308"/>
      <c r="AH166" s="308"/>
      <c r="AI166" s="308"/>
      <c r="AJ166" s="308"/>
      <c r="AK166" s="308"/>
      <c r="AL166" s="308"/>
      <c r="AM166" s="308"/>
      <c r="AN166" s="308"/>
      <c r="AO166" s="308"/>
      <c r="AP166" s="308"/>
      <c r="AQ166" s="308"/>
      <c r="AR166" s="308"/>
      <c r="AS166" s="308"/>
      <c r="AT166" s="308"/>
      <c r="AU166" s="308"/>
      <c r="AV166" s="308"/>
      <c r="AW166" s="308"/>
      <c r="AX166" s="308"/>
    </row>
    <row r="167" spans="16:50">
      <c r="P167" s="388"/>
      <c r="Q167" s="308"/>
      <c r="R167" s="308"/>
      <c r="S167" s="308"/>
      <c r="T167" s="308"/>
      <c r="U167" s="308"/>
      <c r="V167" s="308"/>
      <c r="W167" s="308"/>
      <c r="X167" s="308"/>
      <c r="Y167" s="308"/>
      <c r="Z167" s="308"/>
      <c r="AA167" s="308"/>
      <c r="AB167" s="308"/>
      <c r="AC167" s="308"/>
      <c r="AD167" s="308"/>
      <c r="AE167" s="308"/>
      <c r="AF167" s="308"/>
      <c r="AG167" s="308"/>
      <c r="AH167" s="308"/>
      <c r="AI167" s="308"/>
      <c r="AJ167" s="308"/>
      <c r="AK167" s="308"/>
      <c r="AL167" s="308"/>
      <c r="AM167" s="308"/>
      <c r="AN167" s="308"/>
      <c r="AO167" s="308"/>
      <c r="AP167" s="308"/>
      <c r="AQ167" s="308"/>
      <c r="AR167" s="308"/>
      <c r="AS167" s="308"/>
      <c r="AT167" s="308"/>
      <c r="AU167" s="308"/>
      <c r="AV167" s="308"/>
      <c r="AW167" s="308"/>
      <c r="AX167" s="308"/>
    </row>
    <row r="168" spans="16:50">
      <c r="P168" s="388"/>
      <c r="Q168" s="308"/>
      <c r="R168" s="308"/>
      <c r="S168" s="308"/>
      <c r="T168" s="308"/>
      <c r="U168" s="308"/>
      <c r="V168" s="308"/>
      <c r="W168" s="308"/>
      <c r="X168" s="308"/>
      <c r="Y168" s="308"/>
      <c r="Z168" s="308"/>
      <c r="AA168" s="308"/>
      <c r="AB168" s="308"/>
      <c r="AC168" s="308"/>
      <c r="AD168" s="308"/>
      <c r="AE168" s="308"/>
      <c r="AF168" s="308"/>
      <c r="AG168" s="308"/>
      <c r="AH168" s="308"/>
      <c r="AI168" s="308"/>
      <c r="AJ168" s="308"/>
      <c r="AK168" s="308"/>
      <c r="AL168" s="308"/>
      <c r="AM168" s="308"/>
      <c r="AN168" s="308"/>
      <c r="AO168" s="308"/>
      <c r="AP168" s="308"/>
      <c r="AQ168" s="308"/>
      <c r="AR168" s="308"/>
      <c r="AS168" s="308"/>
      <c r="AT168" s="308"/>
      <c r="AU168" s="308"/>
      <c r="AV168" s="308"/>
      <c r="AW168" s="308"/>
      <c r="AX168" s="308"/>
    </row>
    <row r="169" spans="16:50">
      <c r="P169" s="388"/>
      <c r="Q169" s="308"/>
      <c r="R169" s="308"/>
      <c r="S169" s="308"/>
      <c r="T169" s="308"/>
      <c r="U169" s="308"/>
      <c r="V169" s="308"/>
      <c r="W169" s="308"/>
      <c r="X169" s="308"/>
      <c r="Y169" s="308"/>
      <c r="Z169" s="308"/>
      <c r="AA169" s="308"/>
      <c r="AB169" s="308"/>
      <c r="AC169" s="308"/>
      <c r="AD169" s="308"/>
      <c r="AE169" s="308"/>
      <c r="AF169" s="308"/>
      <c r="AG169" s="308"/>
      <c r="AH169" s="308"/>
      <c r="AI169" s="308"/>
      <c r="AJ169" s="308"/>
      <c r="AK169" s="308"/>
      <c r="AL169" s="308"/>
      <c r="AM169" s="308"/>
      <c r="AN169" s="308"/>
      <c r="AO169" s="308"/>
      <c r="AP169" s="308"/>
      <c r="AQ169" s="308"/>
      <c r="AR169" s="308"/>
      <c r="AS169" s="308"/>
      <c r="AT169" s="308"/>
      <c r="AU169" s="308"/>
      <c r="AV169" s="308"/>
      <c r="AW169" s="308"/>
      <c r="AX169" s="308"/>
    </row>
    <row r="170" spans="16:50">
      <c r="P170" s="388"/>
      <c r="Q170" s="308"/>
      <c r="R170" s="308"/>
      <c r="S170" s="308"/>
      <c r="T170" s="308"/>
      <c r="U170" s="308"/>
      <c r="V170" s="308"/>
      <c r="W170" s="308"/>
      <c r="X170" s="308"/>
      <c r="Y170" s="308"/>
      <c r="Z170" s="308"/>
      <c r="AA170" s="308"/>
      <c r="AB170" s="308"/>
      <c r="AC170" s="308"/>
      <c r="AD170" s="308"/>
      <c r="AE170" s="308"/>
      <c r="AF170" s="308"/>
      <c r="AG170" s="308"/>
      <c r="AH170" s="308"/>
      <c r="AI170" s="308"/>
      <c r="AJ170" s="308"/>
      <c r="AK170" s="308"/>
      <c r="AL170" s="308"/>
      <c r="AM170" s="308"/>
      <c r="AN170" s="308"/>
      <c r="AO170" s="308"/>
      <c r="AP170" s="308"/>
      <c r="AQ170" s="308"/>
      <c r="AR170" s="308"/>
      <c r="AS170" s="308"/>
      <c r="AT170" s="308"/>
      <c r="AU170" s="308"/>
      <c r="AV170" s="308"/>
      <c r="AW170" s="308"/>
      <c r="AX170" s="308"/>
    </row>
    <row r="171" spans="16:50">
      <c r="P171" s="388"/>
      <c r="Q171" s="308"/>
      <c r="R171" s="308"/>
      <c r="S171" s="308"/>
      <c r="T171" s="308"/>
      <c r="U171" s="308"/>
      <c r="V171" s="308"/>
      <c r="W171" s="308"/>
      <c r="X171" s="308"/>
      <c r="Y171" s="308"/>
      <c r="Z171" s="308"/>
      <c r="AA171" s="308"/>
      <c r="AB171" s="308"/>
      <c r="AC171" s="308"/>
      <c r="AD171" s="308"/>
      <c r="AE171" s="308"/>
      <c r="AF171" s="308"/>
      <c r="AG171" s="308"/>
      <c r="AH171" s="308"/>
      <c r="AI171" s="308"/>
      <c r="AJ171" s="308"/>
      <c r="AK171" s="308"/>
      <c r="AL171" s="308"/>
      <c r="AM171" s="308"/>
      <c r="AN171" s="308"/>
      <c r="AO171" s="308"/>
      <c r="AP171" s="308"/>
      <c r="AQ171" s="308"/>
      <c r="AR171" s="308"/>
      <c r="AS171" s="308"/>
      <c r="AT171" s="308"/>
      <c r="AU171" s="308"/>
      <c r="AV171" s="308"/>
      <c r="AW171" s="308"/>
      <c r="AX171" s="308"/>
    </row>
    <row r="172" spans="16:50">
      <c r="P172" s="388"/>
      <c r="Q172" s="308"/>
      <c r="R172" s="308"/>
      <c r="S172" s="308"/>
      <c r="T172" s="308"/>
      <c r="U172" s="308"/>
      <c r="V172" s="308"/>
      <c r="W172" s="308"/>
      <c r="X172" s="308"/>
      <c r="Y172" s="308"/>
      <c r="Z172" s="308"/>
      <c r="AA172" s="308"/>
      <c r="AB172" s="308"/>
      <c r="AC172" s="308"/>
      <c r="AD172" s="308"/>
      <c r="AE172" s="308"/>
      <c r="AF172" s="308"/>
      <c r="AG172" s="308"/>
      <c r="AH172" s="308"/>
      <c r="AI172" s="308"/>
      <c r="AJ172" s="308"/>
      <c r="AK172" s="308"/>
      <c r="AL172" s="308"/>
      <c r="AM172" s="308"/>
      <c r="AN172" s="308"/>
      <c r="AO172" s="308"/>
      <c r="AP172" s="308"/>
      <c r="AQ172" s="308"/>
      <c r="AR172" s="308"/>
      <c r="AS172" s="308"/>
      <c r="AT172" s="308"/>
      <c r="AU172" s="308"/>
      <c r="AV172" s="308"/>
      <c r="AW172" s="308"/>
      <c r="AX172" s="308"/>
    </row>
    <row r="173" spans="16:50">
      <c r="P173" s="388"/>
      <c r="Q173" s="308"/>
      <c r="R173" s="308"/>
      <c r="S173" s="308"/>
      <c r="T173" s="308"/>
      <c r="U173" s="308"/>
      <c r="V173" s="308"/>
      <c r="W173" s="308"/>
      <c r="X173" s="308"/>
      <c r="Y173" s="308"/>
      <c r="Z173" s="308"/>
      <c r="AA173" s="308"/>
      <c r="AB173" s="308"/>
      <c r="AC173" s="308"/>
      <c r="AD173" s="308"/>
      <c r="AE173" s="308"/>
      <c r="AF173" s="308"/>
      <c r="AG173" s="308"/>
      <c r="AH173" s="308"/>
      <c r="AI173" s="308"/>
      <c r="AJ173" s="308"/>
      <c r="AK173" s="308"/>
      <c r="AL173" s="308"/>
      <c r="AM173" s="308"/>
      <c r="AN173" s="308"/>
      <c r="AO173" s="308"/>
      <c r="AP173" s="308"/>
      <c r="AQ173" s="308"/>
      <c r="AR173" s="308"/>
      <c r="AS173" s="308"/>
      <c r="AT173" s="308"/>
      <c r="AU173" s="308"/>
      <c r="AV173" s="308"/>
      <c r="AW173" s="308"/>
      <c r="AX173" s="308"/>
    </row>
    <row r="174" spans="16:50">
      <c r="P174" s="388"/>
      <c r="Q174" s="308"/>
      <c r="R174" s="308"/>
      <c r="S174" s="308"/>
      <c r="T174" s="308"/>
      <c r="U174" s="308"/>
      <c r="V174" s="308"/>
      <c r="W174" s="308"/>
      <c r="X174" s="308"/>
      <c r="Y174" s="308"/>
      <c r="Z174" s="308"/>
      <c r="AA174" s="308"/>
      <c r="AB174" s="308"/>
      <c r="AC174" s="308"/>
      <c r="AD174" s="308"/>
      <c r="AE174" s="308"/>
      <c r="AF174" s="308"/>
      <c r="AG174" s="308"/>
      <c r="AH174" s="308"/>
      <c r="AI174" s="308"/>
      <c r="AJ174" s="308"/>
      <c r="AK174" s="308"/>
      <c r="AL174" s="308"/>
      <c r="AM174" s="308"/>
      <c r="AN174" s="308"/>
      <c r="AO174" s="308"/>
      <c r="AP174" s="308"/>
      <c r="AQ174" s="308"/>
      <c r="AR174" s="308"/>
      <c r="AS174" s="308"/>
      <c r="AT174" s="308"/>
      <c r="AU174" s="308"/>
      <c r="AV174" s="308"/>
      <c r="AW174" s="308"/>
      <c r="AX174" s="308"/>
    </row>
    <row r="175" spans="16:50">
      <c r="P175" s="388"/>
      <c r="Q175" s="308"/>
      <c r="R175" s="308"/>
      <c r="S175" s="308"/>
      <c r="T175" s="308"/>
      <c r="U175" s="308"/>
      <c r="V175" s="308"/>
      <c r="W175" s="308"/>
      <c r="X175" s="308"/>
      <c r="Y175" s="308"/>
      <c r="Z175" s="308"/>
      <c r="AA175" s="308"/>
      <c r="AB175" s="308"/>
      <c r="AC175" s="308"/>
      <c r="AD175" s="308"/>
      <c r="AE175" s="308"/>
      <c r="AF175" s="308"/>
      <c r="AG175" s="308"/>
      <c r="AH175" s="308"/>
      <c r="AI175" s="308"/>
      <c r="AJ175" s="308"/>
      <c r="AK175" s="308"/>
      <c r="AL175" s="308"/>
      <c r="AM175" s="308"/>
      <c r="AN175" s="308"/>
      <c r="AO175" s="308"/>
      <c r="AP175" s="308"/>
      <c r="AQ175" s="308"/>
      <c r="AR175" s="308"/>
      <c r="AS175" s="308"/>
      <c r="AT175" s="308"/>
      <c r="AU175" s="308"/>
      <c r="AV175" s="308"/>
      <c r="AW175" s="308"/>
      <c r="AX175" s="308"/>
    </row>
    <row r="176" spans="16:50">
      <c r="P176" s="388"/>
      <c r="Q176" s="308"/>
      <c r="R176" s="308"/>
      <c r="S176" s="308"/>
      <c r="T176" s="308"/>
      <c r="U176" s="308"/>
      <c r="V176" s="308"/>
      <c r="W176" s="308"/>
      <c r="X176" s="308"/>
      <c r="Y176" s="308"/>
      <c r="Z176" s="308"/>
      <c r="AA176" s="308"/>
      <c r="AB176" s="308"/>
      <c r="AC176" s="308"/>
      <c r="AD176" s="308"/>
      <c r="AE176" s="308"/>
      <c r="AF176" s="308"/>
      <c r="AG176" s="308"/>
      <c r="AH176" s="308"/>
      <c r="AI176" s="308"/>
      <c r="AJ176" s="308"/>
      <c r="AK176" s="308"/>
      <c r="AL176" s="308"/>
      <c r="AM176" s="308"/>
      <c r="AN176" s="308"/>
      <c r="AO176" s="308"/>
      <c r="AP176" s="308"/>
      <c r="AQ176" s="308"/>
      <c r="AR176" s="308"/>
      <c r="AS176" s="308"/>
      <c r="AT176" s="308"/>
      <c r="AU176" s="308"/>
      <c r="AV176" s="308"/>
      <c r="AW176" s="308"/>
      <c r="AX176" s="308"/>
    </row>
    <row r="177" spans="16:50">
      <c r="P177" s="388"/>
      <c r="Q177" s="308"/>
      <c r="R177" s="308"/>
      <c r="S177" s="308"/>
      <c r="T177" s="308"/>
      <c r="U177" s="308"/>
      <c r="V177" s="308"/>
      <c r="W177" s="308"/>
      <c r="X177" s="308"/>
      <c r="Y177" s="308"/>
      <c r="Z177" s="308"/>
      <c r="AA177" s="308"/>
      <c r="AB177" s="308"/>
      <c r="AC177" s="308"/>
      <c r="AD177" s="308"/>
      <c r="AE177" s="308"/>
      <c r="AF177" s="308"/>
      <c r="AG177" s="308"/>
      <c r="AH177" s="308"/>
      <c r="AI177" s="308"/>
      <c r="AJ177" s="308"/>
      <c r="AK177" s="308"/>
      <c r="AL177" s="308"/>
      <c r="AM177" s="308"/>
      <c r="AN177" s="308"/>
      <c r="AO177" s="308"/>
      <c r="AP177" s="308"/>
      <c r="AQ177" s="308"/>
      <c r="AR177" s="308"/>
      <c r="AS177" s="308"/>
      <c r="AT177" s="308"/>
      <c r="AU177" s="308"/>
      <c r="AV177" s="308"/>
      <c r="AW177" s="308"/>
      <c r="AX177" s="308"/>
    </row>
    <row r="178" spans="16:50">
      <c r="P178" s="388"/>
      <c r="Q178" s="308"/>
      <c r="R178" s="308"/>
      <c r="S178" s="308"/>
      <c r="T178" s="308"/>
      <c r="U178" s="308"/>
      <c r="V178" s="308"/>
      <c r="W178" s="308"/>
      <c r="X178" s="308"/>
      <c r="Y178" s="308"/>
      <c r="Z178" s="308"/>
      <c r="AA178" s="308"/>
      <c r="AB178" s="308"/>
      <c r="AC178" s="308"/>
      <c r="AD178" s="308"/>
      <c r="AE178" s="308"/>
      <c r="AF178" s="308"/>
      <c r="AG178" s="308"/>
      <c r="AH178" s="308"/>
      <c r="AI178" s="308"/>
      <c r="AJ178" s="308"/>
      <c r="AK178" s="308"/>
      <c r="AL178" s="308"/>
      <c r="AM178" s="308"/>
      <c r="AN178" s="308"/>
      <c r="AO178" s="308"/>
      <c r="AP178" s="308"/>
      <c r="AQ178" s="308"/>
      <c r="AR178" s="308"/>
      <c r="AS178" s="308"/>
      <c r="AT178" s="308"/>
      <c r="AU178" s="308"/>
      <c r="AV178" s="308"/>
      <c r="AW178" s="308"/>
      <c r="AX178" s="308"/>
    </row>
    <row r="179" spans="16:50">
      <c r="P179" s="388"/>
      <c r="Q179" s="308"/>
      <c r="R179" s="308"/>
      <c r="S179" s="308"/>
      <c r="T179" s="308"/>
      <c r="U179" s="308"/>
      <c r="V179" s="308"/>
      <c r="W179" s="308"/>
      <c r="X179" s="308"/>
      <c r="Y179" s="308"/>
      <c r="Z179" s="308"/>
      <c r="AA179" s="308"/>
      <c r="AB179" s="308"/>
      <c r="AC179" s="308"/>
      <c r="AD179" s="308"/>
      <c r="AE179" s="308"/>
      <c r="AF179" s="308"/>
      <c r="AG179" s="308"/>
      <c r="AH179" s="308"/>
      <c r="AI179" s="308"/>
      <c r="AJ179" s="308"/>
      <c r="AK179" s="308"/>
      <c r="AL179" s="308"/>
      <c r="AM179" s="308"/>
      <c r="AN179" s="308"/>
      <c r="AO179" s="308"/>
      <c r="AP179" s="308"/>
      <c r="AQ179" s="308"/>
      <c r="AR179" s="308"/>
      <c r="AS179" s="308"/>
      <c r="AT179" s="308"/>
      <c r="AU179" s="308"/>
      <c r="AV179" s="308"/>
      <c r="AW179" s="308"/>
      <c r="AX179" s="308"/>
    </row>
    <row r="180" spans="16:50">
      <c r="P180" s="388"/>
      <c r="Q180" s="308"/>
      <c r="R180" s="308"/>
      <c r="S180" s="308"/>
      <c r="T180" s="308"/>
      <c r="U180" s="308"/>
      <c r="V180" s="308"/>
      <c r="W180" s="308"/>
      <c r="X180" s="308"/>
      <c r="Y180" s="308"/>
      <c r="Z180" s="308"/>
      <c r="AA180" s="308"/>
      <c r="AB180" s="308"/>
      <c r="AC180" s="308"/>
      <c r="AD180" s="308"/>
      <c r="AE180" s="308"/>
      <c r="AF180" s="308"/>
      <c r="AG180" s="308"/>
      <c r="AH180" s="308"/>
      <c r="AI180" s="308"/>
      <c r="AJ180" s="308"/>
      <c r="AK180" s="308"/>
      <c r="AL180" s="308"/>
      <c r="AM180" s="308"/>
      <c r="AN180" s="308"/>
      <c r="AO180" s="308"/>
      <c r="AP180" s="308"/>
      <c r="AQ180" s="308"/>
      <c r="AR180" s="308"/>
      <c r="AS180" s="308"/>
      <c r="AT180" s="308"/>
      <c r="AU180" s="308"/>
      <c r="AV180" s="308"/>
      <c r="AW180" s="308"/>
      <c r="AX180" s="308"/>
    </row>
    <row r="181" spans="16:50">
      <c r="P181" s="388"/>
      <c r="Q181" s="308"/>
      <c r="R181" s="308"/>
      <c r="S181" s="308"/>
      <c r="T181" s="308"/>
      <c r="U181" s="308"/>
      <c r="V181" s="308"/>
      <c r="W181" s="308"/>
      <c r="X181" s="308"/>
      <c r="Y181" s="308"/>
      <c r="Z181" s="308"/>
      <c r="AA181" s="308"/>
      <c r="AB181" s="308"/>
      <c r="AC181" s="308"/>
      <c r="AD181" s="308"/>
      <c r="AE181" s="308"/>
      <c r="AF181" s="308"/>
      <c r="AG181" s="308"/>
      <c r="AH181" s="308"/>
      <c r="AI181" s="308"/>
      <c r="AJ181" s="308"/>
      <c r="AK181" s="308"/>
      <c r="AL181" s="308"/>
      <c r="AM181" s="308"/>
      <c r="AN181" s="308"/>
      <c r="AO181" s="308"/>
      <c r="AP181" s="308"/>
      <c r="AQ181" s="308"/>
      <c r="AR181" s="308"/>
      <c r="AS181" s="308"/>
      <c r="AT181" s="308"/>
      <c r="AU181" s="308"/>
      <c r="AV181" s="308"/>
      <c r="AW181" s="308"/>
      <c r="AX181" s="308"/>
    </row>
    <row r="182" spans="16:50">
      <c r="P182" s="388"/>
      <c r="Q182" s="308"/>
      <c r="R182" s="308"/>
      <c r="S182" s="308"/>
      <c r="T182" s="308"/>
      <c r="U182" s="308"/>
      <c r="V182" s="308"/>
      <c r="W182" s="308"/>
      <c r="X182" s="308"/>
      <c r="Y182" s="308"/>
      <c r="Z182" s="308"/>
      <c r="AA182" s="308"/>
      <c r="AB182" s="308"/>
      <c r="AC182" s="308"/>
      <c r="AD182" s="308"/>
      <c r="AE182" s="308"/>
      <c r="AF182" s="308"/>
      <c r="AG182" s="308"/>
      <c r="AH182" s="308"/>
      <c r="AI182" s="308"/>
      <c r="AJ182" s="308"/>
      <c r="AK182" s="308"/>
      <c r="AL182" s="308"/>
      <c r="AM182" s="308"/>
      <c r="AN182" s="308"/>
      <c r="AO182" s="308"/>
      <c r="AP182" s="308"/>
      <c r="AQ182" s="308"/>
      <c r="AR182" s="308"/>
      <c r="AS182" s="308"/>
      <c r="AT182" s="308"/>
      <c r="AU182" s="308"/>
      <c r="AV182" s="308"/>
      <c r="AW182" s="308"/>
      <c r="AX182" s="308"/>
    </row>
    <row r="183" spans="16:50">
      <c r="P183" s="388"/>
      <c r="Q183" s="308"/>
      <c r="R183" s="308"/>
      <c r="S183" s="308"/>
      <c r="T183" s="308"/>
      <c r="U183" s="308"/>
      <c r="V183" s="308"/>
      <c r="W183" s="308"/>
      <c r="X183" s="308"/>
      <c r="Y183" s="308"/>
      <c r="Z183" s="308"/>
      <c r="AA183" s="308"/>
      <c r="AB183" s="308"/>
      <c r="AC183" s="308"/>
      <c r="AD183" s="308"/>
      <c r="AE183" s="308"/>
      <c r="AF183" s="308"/>
      <c r="AG183" s="308"/>
      <c r="AH183" s="308"/>
      <c r="AI183" s="308"/>
      <c r="AJ183" s="308"/>
      <c r="AK183" s="308"/>
      <c r="AL183" s="308"/>
      <c r="AM183" s="308"/>
      <c r="AN183" s="308"/>
      <c r="AO183" s="308"/>
      <c r="AP183" s="308"/>
      <c r="AQ183" s="308"/>
      <c r="AR183" s="308"/>
      <c r="AS183" s="308"/>
      <c r="AT183" s="308"/>
      <c r="AU183" s="308"/>
      <c r="AV183" s="308"/>
      <c r="AW183" s="308"/>
      <c r="AX183" s="308"/>
    </row>
    <row r="184" spans="16:50">
      <c r="P184" s="388"/>
      <c r="Q184" s="308"/>
      <c r="R184" s="308"/>
      <c r="S184" s="308"/>
      <c r="T184" s="308"/>
      <c r="U184" s="308"/>
      <c r="V184" s="308"/>
      <c r="W184" s="308"/>
      <c r="X184" s="308"/>
      <c r="Y184" s="308"/>
      <c r="Z184" s="308"/>
      <c r="AA184" s="308"/>
      <c r="AB184" s="308"/>
      <c r="AC184" s="308"/>
      <c r="AD184" s="308"/>
      <c r="AE184" s="308"/>
      <c r="AF184" s="308"/>
      <c r="AG184" s="308"/>
      <c r="AH184" s="308"/>
      <c r="AI184" s="308"/>
      <c r="AJ184" s="308"/>
      <c r="AK184" s="308"/>
      <c r="AL184" s="308"/>
      <c r="AM184" s="308"/>
      <c r="AN184" s="308"/>
      <c r="AO184" s="308"/>
      <c r="AP184" s="308"/>
      <c r="AQ184" s="308"/>
      <c r="AR184" s="308"/>
      <c r="AS184" s="308"/>
      <c r="AT184" s="308"/>
      <c r="AU184" s="308"/>
      <c r="AV184" s="308"/>
      <c r="AW184" s="308"/>
      <c r="AX184" s="308"/>
    </row>
    <row r="185" spans="16:50">
      <c r="P185" s="388"/>
      <c r="Q185" s="308"/>
      <c r="R185" s="308"/>
      <c r="S185" s="308"/>
      <c r="T185" s="308"/>
      <c r="U185" s="308"/>
      <c r="V185" s="308"/>
      <c r="W185" s="308"/>
      <c r="X185" s="308"/>
      <c r="Y185" s="308"/>
      <c r="Z185" s="308"/>
      <c r="AA185" s="308"/>
      <c r="AB185" s="308"/>
      <c r="AC185" s="308"/>
      <c r="AD185" s="308"/>
      <c r="AE185" s="308"/>
      <c r="AF185" s="308"/>
      <c r="AG185" s="308"/>
      <c r="AH185" s="308"/>
      <c r="AI185" s="308"/>
      <c r="AJ185" s="308"/>
      <c r="AK185" s="308"/>
      <c r="AL185" s="308"/>
      <c r="AM185" s="308"/>
      <c r="AN185" s="308"/>
      <c r="AO185" s="308"/>
      <c r="AP185" s="308"/>
      <c r="AQ185" s="308"/>
      <c r="AR185" s="308"/>
      <c r="AS185" s="308"/>
      <c r="AT185" s="308"/>
      <c r="AU185" s="308"/>
      <c r="AV185" s="308"/>
      <c r="AW185" s="308"/>
      <c r="AX185" s="308"/>
    </row>
    <row r="186" spans="16:50">
      <c r="P186" s="388"/>
      <c r="Q186" s="308"/>
      <c r="R186" s="308"/>
      <c r="S186" s="308"/>
      <c r="T186" s="308"/>
      <c r="U186" s="308"/>
      <c r="V186" s="308"/>
      <c r="W186" s="308"/>
      <c r="X186" s="308"/>
      <c r="Y186" s="308"/>
      <c r="Z186" s="308"/>
      <c r="AA186" s="308"/>
      <c r="AB186" s="308"/>
      <c r="AC186" s="308"/>
      <c r="AD186" s="308"/>
      <c r="AE186" s="308"/>
      <c r="AF186" s="308"/>
      <c r="AG186" s="308"/>
      <c r="AH186" s="308"/>
      <c r="AI186" s="308"/>
      <c r="AJ186" s="308"/>
      <c r="AK186" s="308"/>
      <c r="AL186" s="308"/>
      <c r="AM186" s="308"/>
      <c r="AN186" s="308"/>
      <c r="AO186" s="308"/>
      <c r="AP186" s="308"/>
      <c r="AQ186" s="308"/>
      <c r="AR186" s="308"/>
      <c r="AS186" s="308"/>
      <c r="AT186" s="308"/>
      <c r="AU186" s="308"/>
      <c r="AV186" s="308"/>
      <c r="AW186" s="308"/>
      <c r="AX186" s="308"/>
    </row>
    <row r="187" spans="16:50">
      <c r="P187" s="388"/>
      <c r="Q187" s="308"/>
      <c r="R187" s="308"/>
      <c r="S187" s="308"/>
      <c r="T187" s="308"/>
      <c r="U187" s="308"/>
      <c r="V187" s="308"/>
      <c r="W187" s="308"/>
      <c r="X187" s="308"/>
      <c r="Y187" s="308"/>
      <c r="Z187" s="308"/>
      <c r="AA187" s="308"/>
      <c r="AB187" s="308"/>
      <c r="AC187" s="308"/>
      <c r="AD187" s="308"/>
      <c r="AE187" s="308"/>
      <c r="AF187" s="308"/>
      <c r="AG187" s="308"/>
      <c r="AH187" s="308"/>
      <c r="AI187" s="308"/>
      <c r="AJ187" s="308"/>
      <c r="AK187" s="308"/>
      <c r="AL187" s="308"/>
      <c r="AM187" s="308"/>
      <c r="AN187" s="308"/>
      <c r="AO187" s="308"/>
      <c r="AP187" s="308"/>
      <c r="AQ187" s="308"/>
      <c r="AR187" s="308"/>
      <c r="AS187" s="308"/>
      <c r="AT187" s="308"/>
      <c r="AU187" s="308"/>
      <c r="AV187" s="308"/>
      <c r="AW187" s="308"/>
      <c r="AX187" s="308"/>
    </row>
    <row r="188" spans="16:50">
      <c r="P188" s="388"/>
      <c r="Q188" s="308"/>
      <c r="R188" s="308"/>
      <c r="S188" s="308"/>
      <c r="T188" s="308"/>
      <c r="U188" s="308"/>
      <c r="V188" s="308"/>
      <c r="W188" s="308"/>
      <c r="X188" s="308"/>
      <c r="Y188" s="308"/>
      <c r="Z188" s="308"/>
      <c r="AA188" s="308"/>
      <c r="AB188" s="308"/>
      <c r="AC188" s="308"/>
      <c r="AD188" s="308"/>
      <c r="AE188" s="308"/>
      <c r="AF188" s="308"/>
      <c r="AG188" s="308"/>
      <c r="AH188" s="308"/>
      <c r="AI188" s="308"/>
      <c r="AJ188" s="308"/>
      <c r="AK188" s="308"/>
      <c r="AL188" s="308"/>
      <c r="AM188" s="308"/>
      <c r="AN188" s="308"/>
      <c r="AO188" s="308"/>
      <c r="AP188" s="308"/>
      <c r="AQ188" s="308"/>
      <c r="AR188" s="308"/>
      <c r="AS188" s="308"/>
      <c r="AT188" s="308"/>
      <c r="AU188" s="308"/>
      <c r="AV188" s="308"/>
      <c r="AW188" s="308"/>
      <c r="AX188" s="308"/>
    </row>
    <row r="189" spans="16:50">
      <c r="P189" s="388"/>
      <c r="Q189" s="308"/>
      <c r="R189" s="308"/>
      <c r="S189" s="308"/>
      <c r="T189" s="308"/>
      <c r="U189" s="308"/>
      <c r="V189" s="308"/>
      <c r="W189" s="308"/>
      <c r="X189" s="308"/>
      <c r="Y189" s="308"/>
      <c r="Z189" s="308"/>
      <c r="AA189" s="308"/>
      <c r="AB189" s="308"/>
      <c r="AC189" s="308"/>
      <c r="AD189" s="308"/>
      <c r="AE189" s="308"/>
      <c r="AF189" s="308"/>
      <c r="AG189" s="308"/>
      <c r="AH189" s="308"/>
      <c r="AI189" s="308"/>
      <c r="AJ189" s="308"/>
      <c r="AK189" s="308"/>
      <c r="AL189" s="308"/>
      <c r="AM189" s="308"/>
      <c r="AN189" s="308"/>
      <c r="AO189" s="308"/>
      <c r="AP189" s="308"/>
      <c r="AQ189" s="308"/>
      <c r="AR189" s="308"/>
      <c r="AS189" s="308"/>
      <c r="AT189" s="308"/>
      <c r="AU189" s="308"/>
      <c r="AV189" s="308"/>
      <c r="AW189" s="308"/>
      <c r="AX189" s="308"/>
    </row>
    <row r="190" spans="16:50">
      <c r="P190" s="388"/>
      <c r="Q190" s="308"/>
      <c r="R190" s="308"/>
      <c r="S190" s="308"/>
      <c r="T190" s="308"/>
      <c r="U190" s="308"/>
      <c r="V190" s="308"/>
      <c r="W190" s="308"/>
      <c r="X190" s="308"/>
      <c r="Y190" s="308"/>
      <c r="Z190" s="308"/>
      <c r="AA190" s="308"/>
      <c r="AB190" s="308"/>
      <c r="AC190" s="308"/>
      <c r="AD190" s="308"/>
      <c r="AE190" s="308"/>
      <c r="AF190" s="308"/>
      <c r="AG190" s="308"/>
      <c r="AH190" s="308"/>
      <c r="AI190" s="308"/>
      <c r="AJ190" s="308"/>
      <c r="AK190" s="308"/>
      <c r="AL190" s="308"/>
      <c r="AM190" s="308"/>
      <c r="AN190" s="308"/>
      <c r="AO190" s="308"/>
      <c r="AP190" s="308"/>
      <c r="AQ190" s="308"/>
      <c r="AR190" s="308"/>
      <c r="AS190" s="308"/>
      <c r="AT190" s="308"/>
      <c r="AU190" s="308"/>
      <c r="AV190" s="308"/>
      <c r="AW190" s="308"/>
      <c r="AX190" s="308"/>
    </row>
    <row r="191" spans="16:50">
      <c r="P191" s="388"/>
      <c r="Q191" s="308"/>
      <c r="R191" s="308"/>
      <c r="S191" s="308"/>
      <c r="T191" s="308"/>
      <c r="U191" s="308"/>
      <c r="V191" s="308"/>
      <c r="W191" s="308"/>
      <c r="X191" s="308"/>
      <c r="Y191" s="308"/>
      <c r="Z191" s="308"/>
      <c r="AA191" s="308"/>
      <c r="AB191" s="308"/>
      <c r="AC191" s="308"/>
      <c r="AD191" s="308"/>
      <c r="AE191" s="308"/>
      <c r="AF191" s="308"/>
      <c r="AG191" s="308"/>
      <c r="AH191" s="308"/>
      <c r="AI191" s="308"/>
      <c r="AJ191" s="308"/>
      <c r="AK191" s="308"/>
      <c r="AL191" s="308"/>
      <c r="AM191" s="308"/>
      <c r="AN191" s="308"/>
      <c r="AO191" s="308"/>
      <c r="AP191" s="308"/>
      <c r="AQ191" s="308"/>
      <c r="AR191" s="308"/>
      <c r="AS191" s="308"/>
      <c r="AT191" s="308"/>
      <c r="AU191" s="308"/>
      <c r="AV191" s="308"/>
      <c r="AW191" s="308"/>
      <c r="AX191" s="308"/>
    </row>
    <row r="192" spans="16:50">
      <c r="P192" s="388"/>
      <c r="Q192" s="308"/>
      <c r="R192" s="308"/>
      <c r="S192" s="308"/>
      <c r="T192" s="308"/>
      <c r="U192" s="308"/>
      <c r="V192" s="308"/>
      <c r="W192" s="308"/>
      <c r="X192" s="308"/>
      <c r="Y192" s="308"/>
      <c r="Z192" s="308"/>
      <c r="AA192" s="308"/>
      <c r="AB192" s="308"/>
      <c r="AC192" s="308"/>
      <c r="AD192" s="308"/>
      <c r="AE192" s="308"/>
      <c r="AF192" s="308"/>
      <c r="AG192" s="308"/>
      <c r="AH192" s="308"/>
      <c r="AI192" s="308"/>
      <c r="AJ192" s="308"/>
      <c r="AK192" s="308"/>
      <c r="AL192" s="308"/>
      <c r="AM192" s="308"/>
      <c r="AN192" s="308"/>
      <c r="AO192" s="308"/>
      <c r="AP192" s="308"/>
      <c r="AQ192" s="308"/>
      <c r="AR192" s="308"/>
      <c r="AS192" s="308"/>
      <c r="AT192" s="308"/>
      <c r="AU192" s="308"/>
      <c r="AV192" s="308"/>
      <c r="AW192" s="308"/>
      <c r="AX192" s="308"/>
    </row>
    <row r="193" spans="16:50">
      <c r="P193" s="388"/>
      <c r="Q193" s="308"/>
      <c r="R193" s="308"/>
      <c r="S193" s="308"/>
      <c r="T193" s="308"/>
      <c r="U193" s="308"/>
      <c r="V193" s="308"/>
      <c r="W193" s="308"/>
      <c r="X193" s="308"/>
      <c r="Y193" s="308"/>
      <c r="Z193" s="308"/>
      <c r="AA193" s="308"/>
      <c r="AB193" s="308"/>
      <c r="AC193" s="308"/>
      <c r="AD193" s="308"/>
      <c r="AE193" s="308"/>
      <c r="AF193" s="308"/>
      <c r="AG193" s="308"/>
      <c r="AH193" s="308"/>
      <c r="AI193" s="308"/>
      <c r="AJ193" s="308"/>
      <c r="AK193" s="308"/>
      <c r="AL193" s="308"/>
      <c r="AM193" s="308"/>
      <c r="AN193" s="308"/>
      <c r="AO193" s="308"/>
      <c r="AP193" s="308"/>
      <c r="AQ193" s="308"/>
      <c r="AR193" s="308"/>
      <c r="AS193" s="308"/>
      <c r="AT193" s="308"/>
      <c r="AU193" s="308"/>
      <c r="AV193" s="308"/>
      <c r="AW193" s="308"/>
      <c r="AX193" s="308"/>
    </row>
    <row r="194" spans="16:50">
      <c r="P194" s="388"/>
      <c r="Q194" s="308"/>
      <c r="R194" s="308"/>
      <c r="S194" s="308"/>
      <c r="T194" s="308"/>
      <c r="U194" s="308"/>
      <c r="V194" s="308"/>
      <c r="W194" s="308"/>
      <c r="X194" s="308"/>
      <c r="Y194" s="308"/>
      <c r="Z194" s="308"/>
      <c r="AA194" s="308"/>
      <c r="AB194" s="308"/>
      <c r="AC194" s="308"/>
      <c r="AD194" s="308"/>
      <c r="AE194" s="308"/>
      <c r="AF194" s="308"/>
      <c r="AG194" s="308"/>
      <c r="AH194" s="308"/>
      <c r="AI194" s="308"/>
      <c r="AJ194" s="308"/>
      <c r="AK194" s="308"/>
      <c r="AL194" s="308"/>
      <c r="AM194" s="308"/>
      <c r="AN194" s="308"/>
      <c r="AO194" s="308"/>
      <c r="AP194" s="308"/>
      <c r="AQ194" s="308"/>
      <c r="AR194" s="308"/>
      <c r="AS194" s="308"/>
      <c r="AT194" s="308"/>
      <c r="AU194" s="308"/>
      <c r="AV194" s="308"/>
      <c r="AW194" s="308"/>
      <c r="AX194" s="308"/>
    </row>
    <row r="195" spans="16:50">
      <c r="P195" s="388"/>
      <c r="Q195" s="308"/>
      <c r="R195" s="308"/>
      <c r="S195" s="308"/>
      <c r="T195" s="308"/>
      <c r="U195" s="308"/>
      <c r="V195" s="308"/>
      <c r="W195" s="308"/>
      <c r="X195" s="308"/>
      <c r="Y195" s="308"/>
      <c r="Z195" s="308"/>
      <c r="AA195" s="308"/>
      <c r="AB195" s="308"/>
      <c r="AC195" s="308"/>
      <c r="AD195" s="308"/>
      <c r="AE195" s="308"/>
      <c r="AF195" s="308"/>
      <c r="AG195" s="308"/>
      <c r="AH195" s="308"/>
      <c r="AI195" s="308"/>
      <c r="AJ195" s="308"/>
      <c r="AK195" s="308"/>
      <c r="AL195" s="308"/>
      <c r="AM195" s="308"/>
      <c r="AN195" s="308"/>
      <c r="AO195" s="308"/>
      <c r="AP195" s="308"/>
      <c r="AQ195" s="308"/>
      <c r="AR195" s="308"/>
      <c r="AS195" s="308"/>
      <c r="AT195" s="308"/>
      <c r="AU195" s="308"/>
      <c r="AV195" s="308"/>
      <c r="AW195" s="308"/>
      <c r="AX195" s="308"/>
    </row>
    <row r="196" spans="16:50">
      <c r="P196" s="388"/>
      <c r="Q196" s="308"/>
      <c r="R196" s="308"/>
      <c r="S196" s="308"/>
      <c r="T196" s="308"/>
      <c r="U196" s="308"/>
      <c r="V196" s="308"/>
      <c r="W196" s="308"/>
      <c r="X196" s="308"/>
      <c r="Y196" s="308"/>
      <c r="Z196" s="308"/>
      <c r="AA196" s="308"/>
      <c r="AB196" s="308"/>
      <c r="AC196" s="308"/>
      <c r="AD196" s="308"/>
      <c r="AE196" s="308"/>
      <c r="AF196" s="308"/>
      <c r="AG196" s="308"/>
      <c r="AH196" s="308"/>
      <c r="AI196" s="308"/>
      <c r="AJ196" s="308"/>
      <c r="AK196" s="308"/>
      <c r="AL196" s="308"/>
      <c r="AM196" s="308"/>
      <c r="AN196" s="308"/>
      <c r="AO196" s="308"/>
      <c r="AP196" s="308"/>
      <c r="AQ196" s="308"/>
      <c r="AR196" s="308"/>
      <c r="AS196" s="308"/>
      <c r="AT196" s="308"/>
      <c r="AU196" s="308"/>
      <c r="AV196" s="308"/>
      <c r="AW196" s="308"/>
      <c r="AX196" s="308"/>
    </row>
    <row r="197" spans="16:50">
      <c r="P197" s="388"/>
      <c r="Q197" s="308"/>
      <c r="R197" s="308"/>
      <c r="S197" s="308"/>
      <c r="T197" s="308"/>
      <c r="U197" s="308"/>
      <c r="V197" s="308"/>
      <c r="W197" s="308"/>
      <c r="X197" s="308"/>
      <c r="Y197" s="308"/>
      <c r="Z197" s="308"/>
      <c r="AA197" s="308"/>
      <c r="AB197" s="308"/>
      <c r="AC197" s="308"/>
      <c r="AD197" s="308"/>
      <c r="AE197" s="308"/>
      <c r="AF197" s="308"/>
      <c r="AG197" s="308"/>
      <c r="AH197" s="308"/>
      <c r="AI197" s="308"/>
      <c r="AJ197" s="308"/>
      <c r="AK197" s="308"/>
      <c r="AL197" s="308"/>
      <c r="AM197" s="308"/>
      <c r="AN197" s="308"/>
      <c r="AO197" s="308"/>
      <c r="AP197" s="308"/>
      <c r="AQ197" s="308"/>
      <c r="AR197" s="308"/>
      <c r="AS197" s="308"/>
      <c r="AT197" s="308"/>
      <c r="AU197" s="308"/>
      <c r="AV197" s="308"/>
      <c r="AW197" s="308"/>
      <c r="AX197" s="308"/>
    </row>
    <row r="198" spans="16:50">
      <c r="P198" s="388"/>
      <c r="Q198" s="308"/>
      <c r="R198" s="308"/>
      <c r="S198" s="308"/>
      <c r="T198" s="308"/>
      <c r="U198" s="308"/>
      <c r="V198" s="308"/>
      <c r="W198" s="308"/>
      <c r="X198" s="308"/>
      <c r="Y198" s="308"/>
      <c r="Z198" s="308"/>
      <c r="AA198" s="308"/>
      <c r="AB198" s="308"/>
      <c r="AC198" s="308"/>
      <c r="AD198" s="308"/>
      <c r="AE198" s="308"/>
      <c r="AF198" s="308"/>
      <c r="AG198" s="308"/>
      <c r="AH198" s="308"/>
      <c r="AI198" s="308"/>
      <c r="AJ198" s="308"/>
      <c r="AK198" s="308"/>
      <c r="AL198" s="308"/>
      <c r="AM198" s="308"/>
      <c r="AN198" s="308"/>
      <c r="AO198" s="308"/>
      <c r="AP198" s="308"/>
      <c r="AQ198" s="308"/>
      <c r="AR198" s="308"/>
      <c r="AS198" s="308"/>
      <c r="AT198" s="308"/>
      <c r="AU198" s="308"/>
      <c r="AV198" s="308"/>
      <c r="AW198" s="308"/>
      <c r="AX198" s="308"/>
    </row>
    <row r="199" spans="16:50">
      <c r="P199" s="388"/>
      <c r="Q199" s="308"/>
      <c r="R199" s="308"/>
      <c r="S199" s="308"/>
      <c r="T199" s="308"/>
      <c r="U199" s="308"/>
      <c r="V199" s="308"/>
      <c r="W199" s="308"/>
      <c r="X199" s="308"/>
      <c r="Y199" s="308"/>
      <c r="Z199" s="308"/>
      <c r="AA199" s="308"/>
      <c r="AB199" s="308"/>
      <c r="AC199" s="308"/>
      <c r="AD199" s="308"/>
      <c r="AE199" s="308"/>
      <c r="AF199" s="308"/>
      <c r="AG199" s="308"/>
      <c r="AH199" s="308"/>
      <c r="AI199" s="308"/>
      <c r="AJ199" s="308"/>
      <c r="AK199" s="308"/>
      <c r="AL199" s="308"/>
      <c r="AM199" s="308"/>
      <c r="AN199" s="308"/>
      <c r="AO199" s="308"/>
      <c r="AP199" s="308"/>
      <c r="AQ199" s="308"/>
      <c r="AR199" s="308"/>
      <c r="AS199" s="308"/>
      <c r="AT199" s="308"/>
      <c r="AU199" s="308"/>
      <c r="AV199" s="308"/>
      <c r="AW199" s="308"/>
      <c r="AX199" s="308"/>
    </row>
    <row r="200" spans="16:50">
      <c r="P200" s="388"/>
      <c r="Q200" s="308"/>
      <c r="R200" s="308"/>
      <c r="S200" s="308"/>
      <c r="T200" s="308"/>
      <c r="U200" s="308"/>
      <c r="V200" s="308"/>
      <c r="W200" s="308"/>
      <c r="X200" s="308"/>
      <c r="Y200" s="308"/>
      <c r="Z200" s="308"/>
      <c r="AA200" s="308"/>
      <c r="AB200" s="308"/>
      <c r="AC200" s="308"/>
      <c r="AD200" s="308"/>
      <c r="AE200" s="308"/>
      <c r="AF200" s="308"/>
      <c r="AG200" s="308"/>
      <c r="AH200" s="308"/>
      <c r="AI200" s="308"/>
      <c r="AJ200" s="308"/>
      <c r="AK200" s="308"/>
      <c r="AL200" s="308"/>
      <c r="AM200" s="308"/>
      <c r="AN200" s="308"/>
      <c r="AO200" s="308"/>
      <c r="AP200" s="308"/>
      <c r="AQ200" s="308"/>
      <c r="AR200" s="308"/>
      <c r="AS200" s="308"/>
      <c r="AT200" s="308"/>
      <c r="AU200" s="308"/>
      <c r="AV200" s="308"/>
      <c r="AW200" s="308"/>
      <c r="AX200" s="308"/>
    </row>
    <row r="201" spans="16:50">
      <c r="P201" s="388"/>
      <c r="Q201" s="308"/>
      <c r="R201" s="308"/>
      <c r="S201" s="308"/>
      <c r="T201" s="308"/>
      <c r="U201" s="308"/>
      <c r="V201" s="308"/>
      <c r="W201" s="308"/>
      <c r="X201" s="308"/>
      <c r="Y201" s="308"/>
      <c r="Z201" s="308"/>
      <c r="AA201" s="308"/>
      <c r="AB201" s="308"/>
      <c r="AC201" s="308"/>
      <c r="AD201" s="308"/>
      <c r="AE201" s="308"/>
      <c r="AF201" s="308"/>
      <c r="AG201" s="308"/>
      <c r="AH201" s="308"/>
      <c r="AI201" s="308"/>
      <c r="AJ201" s="308"/>
      <c r="AK201" s="308"/>
      <c r="AL201" s="308"/>
      <c r="AM201" s="308"/>
      <c r="AN201" s="308"/>
      <c r="AO201" s="308"/>
      <c r="AP201" s="308"/>
      <c r="AQ201" s="308"/>
      <c r="AR201" s="308"/>
      <c r="AS201" s="308"/>
      <c r="AT201" s="308"/>
      <c r="AU201" s="308"/>
      <c r="AV201" s="308"/>
      <c r="AW201" s="308"/>
      <c r="AX201" s="308"/>
    </row>
    <row r="202" spans="16:50">
      <c r="P202" s="388"/>
      <c r="Q202" s="308"/>
      <c r="R202" s="308"/>
      <c r="S202" s="308"/>
      <c r="T202" s="308"/>
      <c r="U202" s="308"/>
      <c r="V202" s="308"/>
      <c r="W202" s="308"/>
      <c r="X202" s="308"/>
      <c r="Y202" s="308"/>
      <c r="Z202" s="308"/>
      <c r="AA202" s="308"/>
      <c r="AB202" s="308"/>
      <c r="AC202" s="308"/>
      <c r="AD202" s="308"/>
      <c r="AE202" s="308"/>
      <c r="AF202" s="308"/>
      <c r="AG202" s="308"/>
      <c r="AH202" s="308"/>
      <c r="AI202" s="308"/>
      <c r="AJ202" s="308"/>
      <c r="AK202" s="308"/>
      <c r="AL202" s="308"/>
      <c r="AM202" s="308"/>
      <c r="AN202" s="308"/>
      <c r="AO202" s="308"/>
      <c r="AP202" s="308"/>
      <c r="AQ202" s="308"/>
      <c r="AR202" s="308"/>
      <c r="AS202" s="308"/>
      <c r="AT202" s="308"/>
      <c r="AU202" s="308"/>
      <c r="AV202" s="308"/>
      <c r="AW202" s="308"/>
      <c r="AX202" s="308"/>
    </row>
    <row r="203" spans="16:50">
      <c r="P203" s="388"/>
      <c r="Q203" s="308"/>
      <c r="R203" s="308"/>
      <c r="S203" s="308"/>
      <c r="T203" s="308"/>
      <c r="U203" s="308"/>
      <c r="V203" s="308"/>
      <c r="W203" s="308"/>
      <c r="X203" s="308"/>
      <c r="Y203" s="308"/>
      <c r="Z203" s="308"/>
      <c r="AA203" s="308"/>
      <c r="AB203" s="308"/>
      <c r="AC203" s="308"/>
      <c r="AD203" s="308"/>
      <c r="AE203" s="308"/>
      <c r="AF203" s="308"/>
      <c r="AG203" s="308"/>
      <c r="AH203" s="308"/>
      <c r="AI203" s="308"/>
      <c r="AJ203" s="308"/>
      <c r="AK203" s="308"/>
      <c r="AL203" s="308"/>
      <c r="AM203" s="308"/>
      <c r="AN203" s="308"/>
      <c r="AO203" s="308"/>
      <c r="AP203" s="308"/>
      <c r="AQ203" s="308"/>
      <c r="AR203" s="308"/>
      <c r="AS203" s="308"/>
      <c r="AT203" s="308"/>
      <c r="AU203" s="308"/>
      <c r="AV203" s="308"/>
      <c r="AW203" s="308"/>
      <c r="AX203" s="308"/>
    </row>
    <row r="204" spans="16:50">
      <c r="P204" s="388"/>
      <c r="Q204" s="308"/>
      <c r="R204" s="308"/>
      <c r="S204" s="308"/>
      <c r="T204" s="308"/>
      <c r="U204" s="308"/>
      <c r="V204" s="308"/>
      <c r="W204" s="308"/>
      <c r="X204" s="308"/>
      <c r="Y204" s="308"/>
      <c r="Z204" s="308"/>
      <c r="AA204" s="308"/>
      <c r="AB204" s="308"/>
      <c r="AC204" s="308"/>
      <c r="AD204" s="308"/>
      <c r="AE204" s="308"/>
      <c r="AF204" s="308"/>
      <c r="AG204" s="308"/>
      <c r="AH204" s="308"/>
      <c r="AI204" s="308"/>
      <c r="AJ204" s="308"/>
      <c r="AK204" s="308"/>
      <c r="AL204" s="308"/>
      <c r="AM204" s="308"/>
      <c r="AN204" s="308"/>
      <c r="AO204" s="308"/>
      <c r="AP204" s="308"/>
      <c r="AQ204" s="308"/>
      <c r="AR204" s="308"/>
      <c r="AS204" s="308"/>
      <c r="AT204" s="308"/>
      <c r="AU204" s="308"/>
      <c r="AV204" s="308"/>
      <c r="AW204" s="308"/>
      <c r="AX204" s="308"/>
    </row>
    <row r="205" spans="16:50">
      <c r="P205" s="388"/>
      <c r="Q205" s="308"/>
      <c r="R205" s="308"/>
      <c r="S205" s="308"/>
      <c r="T205" s="308"/>
      <c r="U205" s="308"/>
      <c r="V205" s="308"/>
      <c r="W205" s="308"/>
      <c r="X205" s="308"/>
      <c r="Y205" s="308"/>
      <c r="Z205" s="308"/>
      <c r="AA205" s="308"/>
      <c r="AB205" s="308"/>
      <c r="AC205" s="308"/>
      <c r="AD205" s="308"/>
      <c r="AE205" s="308"/>
      <c r="AF205" s="308"/>
      <c r="AG205" s="308"/>
      <c r="AH205" s="308"/>
      <c r="AI205" s="308"/>
      <c r="AJ205" s="308"/>
      <c r="AK205" s="308"/>
      <c r="AL205" s="308"/>
      <c r="AM205" s="308"/>
      <c r="AN205" s="308"/>
      <c r="AO205" s="308"/>
      <c r="AP205" s="308"/>
      <c r="AQ205" s="308"/>
      <c r="AR205" s="308"/>
      <c r="AS205" s="308"/>
      <c r="AT205" s="308"/>
      <c r="AU205" s="308"/>
      <c r="AV205" s="308"/>
      <c r="AW205" s="308"/>
      <c r="AX205" s="308"/>
    </row>
    <row r="206" spans="16:50">
      <c r="P206" s="388"/>
      <c r="Q206" s="308"/>
      <c r="R206" s="308"/>
      <c r="S206" s="308"/>
      <c r="T206" s="308"/>
      <c r="U206" s="308"/>
      <c r="V206" s="308"/>
      <c r="W206" s="308"/>
      <c r="X206" s="308"/>
      <c r="Y206" s="308"/>
      <c r="Z206" s="308"/>
      <c r="AA206" s="308"/>
      <c r="AB206" s="308"/>
      <c r="AC206" s="308"/>
      <c r="AD206" s="308"/>
      <c r="AE206" s="308"/>
      <c r="AF206" s="308"/>
      <c r="AG206" s="308"/>
      <c r="AH206" s="308"/>
      <c r="AI206" s="308"/>
      <c r="AJ206" s="308"/>
      <c r="AK206" s="308"/>
      <c r="AL206" s="308"/>
      <c r="AM206" s="308"/>
      <c r="AN206" s="308"/>
      <c r="AO206" s="308"/>
      <c r="AP206" s="308"/>
      <c r="AQ206" s="308"/>
      <c r="AR206" s="308"/>
      <c r="AS206" s="308"/>
      <c r="AT206" s="308"/>
      <c r="AU206" s="308"/>
      <c r="AV206" s="308"/>
      <c r="AW206" s="308"/>
      <c r="AX206" s="308"/>
    </row>
    <row r="207" spans="16:50">
      <c r="P207" s="388"/>
      <c r="Q207" s="308"/>
      <c r="R207" s="308"/>
      <c r="S207" s="308"/>
      <c r="T207" s="308"/>
      <c r="U207" s="308"/>
      <c r="V207" s="308"/>
      <c r="W207" s="308"/>
      <c r="X207" s="308"/>
      <c r="Y207" s="308"/>
      <c r="Z207" s="308"/>
      <c r="AA207" s="308"/>
      <c r="AB207" s="308"/>
      <c r="AC207" s="308"/>
      <c r="AD207" s="308"/>
      <c r="AE207" s="308"/>
      <c r="AF207" s="308"/>
      <c r="AG207" s="308"/>
      <c r="AH207" s="308"/>
      <c r="AI207" s="308"/>
      <c r="AJ207" s="308"/>
      <c r="AK207" s="308"/>
      <c r="AL207" s="308"/>
      <c r="AM207" s="308"/>
      <c r="AN207" s="308"/>
      <c r="AO207" s="308"/>
      <c r="AP207" s="308"/>
      <c r="AQ207" s="308"/>
      <c r="AR207" s="308"/>
      <c r="AS207" s="308"/>
      <c r="AT207" s="308"/>
      <c r="AU207" s="308"/>
      <c r="AV207" s="308"/>
      <c r="AW207" s="308"/>
      <c r="AX207" s="308"/>
    </row>
    <row r="208" spans="16:50">
      <c r="P208" s="388"/>
      <c r="Q208" s="308"/>
      <c r="R208" s="308"/>
      <c r="S208" s="308"/>
      <c r="T208" s="308"/>
      <c r="U208" s="308"/>
      <c r="V208" s="308"/>
      <c r="W208" s="308"/>
      <c r="X208" s="308"/>
      <c r="Y208" s="308"/>
      <c r="Z208" s="308"/>
      <c r="AA208" s="308"/>
      <c r="AB208" s="308"/>
      <c r="AC208" s="308"/>
      <c r="AD208" s="308"/>
      <c r="AE208" s="308"/>
      <c r="AF208" s="308"/>
      <c r="AG208" s="308"/>
      <c r="AH208" s="308"/>
      <c r="AI208" s="308"/>
      <c r="AJ208" s="308"/>
      <c r="AK208" s="308"/>
      <c r="AL208" s="308"/>
      <c r="AM208" s="308"/>
      <c r="AN208" s="308"/>
      <c r="AO208" s="308"/>
      <c r="AP208" s="308"/>
      <c r="AQ208" s="308"/>
      <c r="AR208" s="308"/>
      <c r="AS208" s="308"/>
      <c r="AT208" s="308"/>
      <c r="AU208" s="308"/>
      <c r="AV208" s="308"/>
      <c r="AW208" s="308"/>
      <c r="AX208" s="308"/>
    </row>
    <row r="209" spans="16:50">
      <c r="P209" s="388"/>
      <c r="Q209" s="308"/>
      <c r="R209" s="308"/>
      <c r="S209" s="308"/>
      <c r="T209" s="308"/>
      <c r="U209" s="308"/>
      <c r="V209" s="308"/>
      <c r="W209" s="308"/>
      <c r="X209" s="308"/>
      <c r="Y209" s="308"/>
      <c r="Z209" s="308"/>
      <c r="AA209" s="308"/>
      <c r="AB209" s="308"/>
      <c r="AC209" s="308"/>
      <c r="AD209" s="308"/>
      <c r="AE209" s="308"/>
      <c r="AF209" s="308"/>
      <c r="AG209" s="308"/>
      <c r="AH209" s="308"/>
      <c r="AI209" s="308"/>
      <c r="AJ209" s="308"/>
      <c r="AK209" s="308"/>
      <c r="AL209" s="308"/>
      <c r="AM209" s="308"/>
      <c r="AN209" s="308"/>
      <c r="AO209" s="308"/>
      <c r="AP209" s="308"/>
      <c r="AQ209" s="308"/>
      <c r="AR209" s="308"/>
      <c r="AS209" s="308"/>
      <c r="AT209" s="308"/>
      <c r="AU209" s="308"/>
      <c r="AV209" s="308"/>
      <c r="AW209" s="308"/>
      <c r="AX209" s="308"/>
    </row>
    <row r="210" spans="16:50">
      <c r="P210" s="388"/>
      <c r="Q210" s="308"/>
      <c r="R210" s="308"/>
      <c r="S210" s="308"/>
      <c r="T210" s="308"/>
      <c r="U210" s="308"/>
      <c r="V210" s="308"/>
      <c r="W210" s="308"/>
      <c r="X210" s="308"/>
      <c r="Y210" s="308"/>
      <c r="Z210" s="308"/>
      <c r="AA210" s="308"/>
      <c r="AB210" s="308"/>
      <c r="AC210" s="308"/>
      <c r="AD210" s="308"/>
      <c r="AE210" s="308"/>
      <c r="AF210" s="308"/>
      <c r="AG210" s="308"/>
      <c r="AH210" s="308"/>
      <c r="AI210" s="308"/>
      <c r="AJ210" s="308"/>
      <c r="AK210" s="308"/>
      <c r="AL210" s="308"/>
      <c r="AM210" s="308"/>
      <c r="AN210" s="308"/>
      <c r="AO210" s="308"/>
      <c r="AP210" s="308"/>
      <c r="AQ210" s="308"/>
      <c r="AR210" s="308"/>
      <c r="AS210" s="308"/>
      <c r="AT210" s="308"/>
      <c r="AU210" s="308"/>
      <c r="AV210" s="308"/>
      <c r="AW210" s="308"/>
      <c r="AX210" s="308"/>
    </row>
    <row r="211" spans="16:50">
      <c r="P211" s="388"/>
      <c r="Q211" s="308"/>
      <c r="R211" s="308"/>
      <c r="S211" s="308"/>
      <c r="T211" s="308"/>
      <c r="U211" s="308"/>
      <c r="V211" s="308"/>
      <c r="W211" s="308"/>
      <c r="X211" s="308"/>
      <c r="Y211" s="308"/>
      <c r="Z211" s="308"/>
      <c r="AA211" s="308"/>
      <c r="AB211" s="308"/>
      <c r="AC211" s="308"/>
      <c r="AD211" s="308"/>
      <c r="AE211" s="308"/>
      <c r="AF211" s="308"/>
      <c r="AG211" s="308"/>
      <c r="AH211" s="308"/>
      <c r="AI211" s="308"/>
      <c r="AJ211" s="308"/>
      <c r="AK211" s="308"/>
      <c r="AL211" s="308"/>
      <c r="AM211" s="308"/>
      <c r="AN211" s="308"/>
      <c r="AO211" s="308"/>
      <c r="AP211" s="308"/>
      <c r="AQ211" s="308"/>
      <c r="AR211" s="308"/>
      <c r="AS211" s="308"/>
      <c r="AT211" s="308"/>
      <c r="AU211" s="308"/>
      <c r="AV211" s="308"/>
      <c r="AW211" s="308"/>
      <c r="AX211" s="308"/>
    </row>
    <row r="212" spans="16:50">
      <c r="P212" s="388"/>
      <c r="Q212" s="308"/>
      <c r="R212" s="308"/>
      <c r="S212" s="308"/>
      <c r="T212" s="308"/>
      <c r="U212" s="308"/>
      <c r="V212" s="308"/>
      <c r="W212" s="308"/>
      <c r="X212" s="308"/>
      <c r="Y212" s="308"/>
      <c r="Z212" s="308"/>
      <c r="AA212" s="308"/>
      <c r="AB212" s="308"/>
      <c r="AC212" s="308"/>
      <c r="AD212" s="308"/>
      <c r="AE212" s="308"/>
      <c r="AF212" s="308"/>
      <c r="AG212" s="308"/>
      <c r="AH212" s="308"/>
      <c r="AI212" s="308"/>
      <c r="AJ212" s="308"/>
      <c r="AK212" s="308"/>
      <c r="AL212" s="308"/>
      <c r="AM212" s="308"/>
      <c r="AN212" s="308"/>
      <c r="AO212" s="308"/>
      <c r="AP212" s="308"/>
      <c r="AQ212" s="308"/>
      <c r="AR212" s="308"/>
      <c r="AS212" s="308"/>
      <c r="AT212" s="308"/>
      <c r="AU212" s="308"/>
      <c r="AV212" s="308"/>
      <c r="AW212" s="308"/>
      <c r="AX212" s="308"/>
    </row>
    <row r="213" spans="16:50">
      <c r="P213" s="388"/>
      <c r="Q213" s="308"/>
      <c r="R213" s="308"/>
      <c r="S213" s="308"/>
      <c r="T213" s="308"/>
      <c r="U213" s="308"/>
      <c r="V213" s="308"/>
      <c r="W213" s="308"/>
      <c r="X213" s="308"/>
      <c r="Y213" s="308"/>
      <c r="Z213" s="308"/>
      <c r="AA213" s="308"/>
      <c r="AB213" s="308"/>
      <c r="AC213" s="308"/>
      <c r="AD213" s="308"/>
      <c r="AE213" s="308"/>
      <c r="AF213" s="308"/>
      <c r="AG213" s="308"/>
      <c r="AH213" s="308"/>
      <c r="AI213" s="308"/>
      <c r="AJ213" s="308"/>
      <c r="AK213" s="308"/>
      <c r="AL213" s="308"/>
      <c r="AM213" s="308"/>
      <c r="AN213" s="308"/>
      <c r="AO213" s="308"/>
      <c r="AP213" s="308"/>
      <c r="AQ213" s="308"/>
      <c r="AR213" s="308"/>
      <c r="AS213" s="308"/>
      <c r="AT213" s="308"/>
      <c r="AU213" s="308"/>
      <c r="AV213" s="308"/>
      <c r="AW213" s="308"/>
      <c r="AX213" s="308"/>
    </row>
    <row r="214" spans="16:50">
      <c r="P214" s="388"/>
      <c r="Q214" s="308"/>
      <c r="R214" s="308"/>
      <c r="S214" s="308"/>
      <c r="T214" s="308"/>
      <c r="U214" s="308"/>
      <c r="V214" s="308"/>
      <c r="W214" s="308"/>
      <c r="X214" s="308"/>
      <c r="Y214" s="308"/>
      <c r="Z214" s="308"/>
      <c r="AA214" s="308"/>
      <c r="AB214" s="308"/>
      <c r="AC214" s="308"/>
      <c r="AD214" s="308"/>
      <c r="AE214" s="308"/>
      <c r="AF214" s="308"/>
      <c r="AG214" s="308"/>
      <c r="AH214" s="308"/>
      <c r="AI214" s="308"/>
      <c r="AJ214" s="308"/>
      <c r="AK214" s="308"/>
      <c r="AL214" s="308"/>
      <c r="AM214" s="308"/>
      <c r="AN214" s="308"/>
      <c r="AO214" s="308"/>
      <c r="AP214" s="308"/>
      <c r="AQ214" s="308"/>
      <c r="AR214" s="308"/>
      <c r="AS214" s="308"/>
      <c r="AT214" s="308"/>
      <c r="AU214" s="308"/>
      <c r="AV214" s="308"/>
      <c r="AW214" s="308"/>
      <c r="AX214" s="308"/>
    </row>
    <row r="215" spans="16:50">
      <c r="P215" s="388"/>
      <c r="Q215" s="308"/>
      <c r="R215" s="308"/>
      <c r="S215" s="308"/>
      <c r="T215" s="308"/>
      <c r="U215" s="308"/>
      <c r="V215" s="308"/>
      <c r="W215" s="308"/>
      <c r="X215" s="308"/>
      <c r="Y215" s="308"/>
      <c r="Z215" s="308"/>
      <c r="AA215" s="308"/>
      <c r="AB215" s="308"/>
      <c r="AC215" s="308"/>
      <c r="AD215" s="308"/>
      <c r="AE215" s="308"/>
      <c r="AF215" s="308"/>
      <c r="AG215" s="308"/>
      <c r="AH215" s="308"/>
      <c r="AI215" s="308"/>
      <c r="AJ215" s="308"/>
      <c r="AK215" s="308"/>
      <c r="AL215" s="308"/>
      <c r="AM215" s="308"/>
      <c r="AN215" s="308"/>
      <c r="AO215" s="308"/>
      <c r="AP215" s="308"/>
      <c r="AQ215" s="308"/>
      <c r="AR215" s="308"/>
      <c r="AS215" s="308"/>
      <c r="AT215" s="308"/>
      <c r="AU215" s="308"/>
      <c r="AV215" s="308"/>
      <c r="AW215" s="308"/>
      <c r="AX215" s="308"/>
    </row>
    <row r="216" spans="16:50">
      <c r="P216" s="388"/>
      <c r="Q216" s="308"/>
      <c r="R216" s="308"/>
      <c r="S216" s="308"/>
      <c r="T216" s="308"/>
      <c r="U216" s="308"/>
      <c r="V216" s="308"/>
      <c r="W216" s="308"/>
      <c r="X216" s="308"/>
      <c r="Y216" s="308"/>
      <c r="Z216" s="308"/>
      <c r="AA216" s="308"/>
      <c r="AB216" s="308"/>
      <c r="AC216" s="308"/>
      <c r="AD216" s="308"/>
      <c r="AE216" s="308"/>
      <c r="AF216" s="308"/>
      <c r="AG216" s="308"/>
      <c r="AH216" s="308"/>
      <c r="AI216" s="308"/>
      <c r="AJ216" s="308"/>
      <c r="AK216" s="308"/>
      <c r="AL216" s="308"/>
      <c r="AM216" s="308"/>
      <c r="AN216" s="308"/>
      <c r="AO216" s="308"/>
      <c r="AP216" s="308"/>
      <c r="AQ216" s="308"/>
      <c r="AR216" s="308"/>
      <c r="AS216" s="308"/>
      <c r="AT216" s="308"/>
      <c r="AU216" s="308"/>
      <c r="AV216" s="308"/>
      <c r="AW216" s="308"/>
      <c r="AX216" s="308"/>
    </row>
    <row r="217" spans="16:50">
      <c r="P217" s="388"/>
      <c r="Q217" s="308"/>
      <c r="R217" s="308"/>
      <c r="S217" s="308"/>
      <c r="T217" s="308"/>
      <c r="U217" s="308"/>
      <c r="V217" s="308"/>
      <c r="W217" s="308"/>
      <c r="X217" s="308"/>
      <c r="Y217" s="308"/>
      <c r="Z217" s="308"/>
      <c r="AA217" s="308"/>
      <c r="AB217" s="308"/>
      <c r="AC217" s="308"/>
      <c r="AD217" s="308"/>
      <c r="AE217" s="308"/>
      <c r="AF217" s="308"/>
      <c r="AG217" s="308"/>
      <c r="AH217" s="308"/>
      <c r="AI217" s="308"/>
      <c r="AJ217" s="308"/>
      <c r="AK217" s="308"/>
      <c r="AL217" s="308"/>
      <c r="AM217" s="308"/>
      <c r="AN217" s="308"/>
      <c r="AO217" s="308"/>
      <c r="AP217" s="308"/>
      <c r="AQ217" s="308"/>
      <c r="AR217" s="308"/>
      <c r="AS217" s="308"/>
      <c r="AT217" s="308"/>
      <c r="AU217" s="308"/>
      <c r="AV217" s="308"/>
      <c r="AW217" s="308"/>
      <c r="AX217" s="308"/>
    </row>
    <row r="218" spans="16:50">
      <c r="P218" s="388"/>
      <c r="Q218" s="308"/>
      <c r="R218" s="308"/>
      <c r="S218" s="308"/>
      <c r="T218" s="308"/>
      <c r="U218" s="308"/>
      <c r="V218" s="308"/>
      <c r="W218" s="308"/>
      <c r="X218" s="308"/>
      <c r="Y218" s="308"/>
      <c r="Z218" s="308"/>
      <c r="AA218" s="308"/>
      <c r="AB218" s="308"/>
      <c r="AC218" s="308"/>
      <c r="AD218" s="308"/>
      <c r="AE218" s="308"/>
      <c r="AF218" s="308"/>
      <c r="AG218" s="308"/>
      <c r="AH218" s="308"/>
      <c r="AI218" s="308"/>
      <c r="AJ218" s="308"/>
      <c r="AK218" s="308"/>
      <c r="AL218" s="308"/>
      <c r="AM218" s="308"/>
      <c r="AN218" s="308"/>
      <c r="AO218" s="308"/>
      <c r="AP218" s="308"/>
      <c r="AQ218" s="308"/>
      <c r="AR218" s="308"/>
      <c r="AS218" s="308"/>
      <c r="AT218" s="308"/>
      <c r="AU218" s="308"/>
      <c r="AV218" s="308"/>
      <c r="AW218" s="308"/>
      <c r="AX218" s="308"/>
    </row>
    <row r="219" spans="16:50">
      <c r="P219" s="388"/>
      <c r="Q219" s="308"/>
      <c r="R219" s="308"/>
      <c r="S219" s="308"/>
      <c r="T219" s="308"/>
      <c r="U219" s="308"/>
      <c r="V219" s="308"/>
      <c r="W219" s="308"/>
      <c r="X219" s="308"/>
      <c r="Y219" s="308"/>
      <c r="Z219" s="308"/>
      <c r="AA219" s="308"/>
      <c r="AB219" s="308"/>
      <c r="AC219" s="308"/>
      <c r="AD219" s="308"/>
      <c r="AE219" s="308"/>
      <c r="AF219" s="308"/>
      <c r="AG219" s="308"/>
      <c r="AH219" s="308"/>
      <c r="AI219" s="308"/>
      <c r="AJ219" s="308"/>
      <c r="AK219" s="308"/>
      <c r="AL219" s="308"/>
      <c r="AM219" s="308"/>
      <c r="AN219" s="308"/>
      <c r="AO219" s="308"/>
      <c r="AP219" s="308"/>
      <c r="AQ219" s="308"/>
      <c r="AR219" s="308"/>
      <c r="AS219" s="308"/>
      <c r="AT219" s="308"/>
      <c r="AU219" s="308"/>
      <c r="AV219" s="308"/>
      <c r="AW219" s="308"/>
      <c r="AX219" s="308"/>
    </row>
    <row r="220" spans="16:50">
      <c r="P220" s="388"/>
      <c r="Q220" s="308"/>
      <c r="R220" s="308"/>
      <c r="S220" s="308"/>
      <c r="T220" s="308"/>
      <c r="U220" s="308"/>
      <c r="V220" s="308"/>
      <c r="W220" s="308"/>
      <c r="X220" s="308"/>
      <c r="Y220" s="308"/>
      <c r="Z220" s="308"/>
      <c r="AA220" s="308"/>
      <c r="AB220" s="308"/>
      <c r="AC220" s="308"/>
      <c r="AD220" s="308"/>
      <c r="AE220" s="308"/>
      <c r="AF220" s="308"/>
      <c r="AG220" s="308"/>
      <c r="AH220" s="308"/>
      <c r="AI220" s="308"/>
      <c r="AJ220" s="308"/>
      <c r="AK220" s="308"/>
      <c r="AL220" s="308"/>
      <c r="AM220" s="308"/>
      <c r="AN220" s="308"/>
      <c r="AO220" s="308"/>
      <c r="AP220" s="308"/>
      <c r="AQ220" s="308"/>
      <c r="AR220" s="308"/>
      <c r="AS220" s="308"/>
      <c r="AT220" s="308"/>
      <c r="AU220" s="308"/>
      <c r="AV220" s="308"/>
      <c r="AW220" s="308"/>
      <c r="AX220" s="308"/>
    </row>
    <row r="221" spans="16:50">
      <c r="P221" s="388"/>
      <c r="Q221" s="308"/>
      <c r="R221" s="308"/>
      <c r="S221" s="308"/>
      <c r="T221" s="308"/>
      <c r="U221" s="308"/>
      <c r="V221" s="308"/>
      <c r="W221" s="308"/>
      <c r="X221" s="308"/>
      <c r="Y221" s="308"/>
      <c r="Z221" s="308"/>
      <c r="AA221" s="308"/>
      <c r="AB221" s="308"/>
      <c r="AC221" s="308"/>
      <c r="AD221" s="308"/>
      <c r="AE221" s="308"/>
      <c r="AF221" s="308"/>
      <c r="AG221" s="308"/>
      <c r="AH221" s="308"/>
      <c r="AI221" s="308"/>
      <c r="AJ221" s="308"/>
      <c r="AK221" s="308"/>
      <c r="AL221" s="308"/>
      <c r="AM221" s="308"/>
      <c r="AN221" s="308"/>
      <c r="AO221" s="308"/>
      <c r="AP221" s="308"/>
      <c r="AQ221" s="308"/>
      <c r="AR221" s="308"/>
      <c r="AS221" s="308"/>
      <c r="AT221" s="308"/>
      <c r="AU221" s="308"/>
      <c r="AV221" s="308"/>
      <c r="AW221" s="308"/>
      <c r="AX221" s="308"/>
    </row>
    <row r="222" spans="16:50">
      <c r="P222" s="388"/>
      <c r="Q222" s="308"/>
      <c r="R222" s="308"/>
      <c r="S222" s="308"/>
      <c r="T222" s="308"/>
      <c r="U222" s="308"/>
      <c r="V222" s="308"/>
      <c r="W222" s="308"/>
      <c r="X222" s="308"/>
      <c r="Y222" s="308"/>
      <c r="Z222" s="308"/>
      <c r="AA222" s="308"/>
      <c r="AB222" s="308"/>
      <c r="AC222" s="308"/>
      <c r="AD222" s="308"/>
      <c r="AE222" s="308"/>
      <c r="AF222" s="308"/>
      <c r="AG222" s="308"/>
      <c r="AH222" s="308"/>
      <c r="AI222" s="308"/>
      <c r="AJ222" s="308"/>
      <c r="AK222" s="308"/>
      <c r="AL222" s="308"/>
      <c r="AM222" s="308"/>
      <c r="AN222" s="308"/>
      <c r="AO222" s="308"/>
      <c r="AP222" s="308"/>
      <c r="AQ222" s="308"/>
      <c r="AR222" s="308"/>
      <c r="AS222" s="308"/>
      <c r="AT222" s="308"/>
      <c r="AU222" s="308"/>
      <c r="AV222" s="308"/>
      <c r="AW222" s="308"/>
      <c r="AX222" s="308"/>
    </row>
    <row r="223" spans="16:50">
      <c r="P223" s="388"/>
      <c r="Q223" s="308"/>
      <c r="R223" s="308"/>
      <c r="S223" s="308"/>
      <c r="T223" s="308"/>
      <c r="U223" s="308"/>
      <c r="V223" s="308"/>
      <c r="W223" s="308"/>
      <c r="X223" s="308"/>
      <c r="Y223" s="308"/>
      <c r="Z223" s="308"/>
      <c r="AA223" s="308"/>
      <c r="AB223" s="308"/>
      <c r="AC223" s="308"/>
      <c r="AD223" s="308"/>
      <c r="AE223" s="308"/>
      <c r="AF223" s="308"/>
      <c r="AG223" s="308"/>
      <c r="AH223" s="308"/>
      <c r="AI223" s="308"/>
      <c r="AJ223" s="308"/>
      <c r="AK223" s="308"/>
      <c r="AL223" s="308"/>
      <c r="AM223" s="308"/>
      <c r="AN223" s="308"/>
      <c r="AO223" s="308"/>
      <c r="AP223" s="308"/>
      <c r="AQ223" s="308"/>
      <c r="AR223" s="308"/>
      <c r="AS223" s="308"/>
      <c r="AT223" s="308"/>
      <c r="AU223" s="308"/>
      <c r="AV223" s="308"/>
      <c r="AW223" s="308"/>
      <c r="AX223" s="308"/>
    </row>
    <row r="224" spans="16:50">
      <c r="P224" s="388"/>
      <c r="Q224" s="308"/>
      <c r="R224" s="308"/>
      <c r="S224" s="308"/>
      <c r="T224" s="308"/>
      <c r="U224" s="308"/>
      <c r="V224" s="308"/>
      <c r="W224" s="308"/>
      <c r="X224" s="308"/>
      <c r="Y224" s="308"/>
      <c r="Z224" s="308"/>
      <c r="AA224" s="308"/>
      <c r="AB224" s="308"/>
      <c r="AC224" s="308"/>
      <c r="AD224" s="308"/>
      <c r="AE224" s="308"/>
      <c r="AF224" s="308"/>
      <c r="AG224" s="308"/>
      <c r="AH224" s="308"/>
      <c r="AI224" s="308"/>
      <c r="AJ224" s="308"/>
      <c r="AK224" s="308"/>
      <c r="AL224" s="308"/>
      <c r="AM224" s="308"/>
      <c r="AN224" s="308"/>
      <c r="AO224" s="308"/>
      <c r="AP224" s="308"/>
      <c r="AQ224" s="308"/>
      <c r="AR224" s="308"/>
      <c r="AS224" s="308"/>
      <c r="AT224" s="308"/>
      <c r="AU224" s="308"/>
      <c r="AV224" s="308"/>
      <c r="AW224" s="308"/>
      <c r="AX224" s="308"/>
    </row>
    <row r="225" spans="16:50">
      <c r="P225" s="388"/>
      <c r="Q225" s="308"/>
      <c r="R225" s="308"/>
      <c r="S225" s="308"/>
      <c r="T225" s="308"/>
      <c r="U225" s="308"/>
      <c r="V225" s="308"/>
      <c r="W225" s="308"/>
      <c r="X225" s="308"/>
      <c r="Y225" s="308"/>
      <c r="Z225" s="308"/>
      <c r="AA225" s="308"/>
      <c r="AB225" s="308"/>
      <c r="AC225" s="308"/>
      <c r="AD225" s="308"/>
      <c r="AE225" s="308"/>
      <c r="AF225" s="308"/>
      <c r="AG225" s="308"/>
      <c r="AH225" s="308"/>
      <c r="AI225" s="308"/>
      <c r="AJ225" s="308"/>
      <c r="AK225" s="308"/>
      <c r="AL225" s="308"/>
      <c r="AM225" s="308"/>
      <c r="AN225" s="308"/>
      <c r="AO225" s="308"/>
      <c r="AP225" s="308"/>
      <c r="AQ225" s="308"/>
      <c r="AR225" s="308"/>
      <c r="AS225" s="308"/>
      <c r="AT225" s="308"/>
      <c r="AU225" s="308"/>
      <c r="AV225" s="308"/>
      <c r="AW225" s="308"/>
      <c r="AX225" s="308"/>
    </row>
    <row r="226" spans="16:50">
      <c r="P226" s="388"/>
      <c r="Q226" s="308"/>
      <c r="R226" s="308"/>
      <c r="S226" s="308"/>
      <c r="T226" s="308"/>
      <c r="U226" s="308"/>
      <c r="V226" s="308"/>
      <c r="W226" s="308"/>
      <c r="X226" s="308"/>
      <c r="Y226" s="308"/>
      <c r="Z226" s="308"/>
      <c r="AA226" s="308"/>
      <c r="AB226" s="308"/>
      <c r="AC226" s="308"/>
      <c r="AD226" s="308"/>
      <c r="AE226" s="308"/>
      <c r="AF226" s="308"/>
      <c r="AG226" s="308"/>
      <c r="AH226" s="308"/>
      <c r="AI226" s="308"/>
      <c r="AJ226" s="308"/>
      <c r="AK226" s="308"/>
      <c r="AL226" s="308"/>
      <c r="AM226" s="308"/>
      <c r="AN226" s="308"/>
      <c r="AO226" s="308"/>
      <c r="AP226" s="308"/>
      <c r="AQ226" s="308"/>
      <c r="AR226" s="308"/>
      <c r="AS226" s="308"/>
      <c r="AT226" s="308"/>
      <c r="AU226" s="308"/>
      <c r="AV226" s="308"/>
      <c r="AW226" s="308"/>
      <c r="AX226" s="308"/>
    </row>
    <row r="227" spans="16:50">
      <c r="P227" s="388"/>
      <c r="Q227" s="308"/>
      <c r="R227" s="308"/>
      <c r="S227" s="308"/>
      <c r="T227" s="308"/>
      <c r="U227" s="308"/>
      <c r="V227" s="308"/>
      <c r="W227" s="308"/>
      <c r="X227" s="308"/>
      <c r="Y227" s="308"/>
      <c r="Z227" s="308"/>
      <c r="AA227" s="308"/>
      <c r="AB227" s="308"/>
      <c r="AC227" s="308"/>
      <c r="AD227" s="308"/>
      <c r="AE227" s="308"/>
      <c r="AF227" s="308"/>
      <c r="AG227" s="308"/>
      <c r="AH227" s="308"/>
      <c r="AI227" s="308"/>
      <c r="AJ227" s="308"/>
      <c r="AK227" s="308"/>
      <c r="AL227" s="308"/>
      <c r="AM227" s="308"/>
      <c r="AN227" s="308"/>
      <c r="AO227" s="308"/>
      <c r="AP227" s="308"/>
      <c r="AQ227" s="308"/>
      <c r="AR227" s="308"/>
      <c r="AS227" s="308"/>
      <c r="AT227" s="308"/>
      <c r="AU227" s="308"/>
      <c r="AV227" s="308"/>
      <c r="AW227" s="308"/>
      <c r="AX227" s="308"/>
    </row>
    <row r="228" spans="16:50">
      <c r="P228" s="388"/>
      <c r="Q228" s="308"/>
      <c r="R228" s="308"/>
      <c r="S228" s="308"/>
      <c r="T228" s="308"/>
      <c r="U228" s="308"/>
      <c r="V228" s="308"/>
      <c r="W228" s="308"/>
      <c r="X228" s="308"/>
      <c r="Y228" s="308"/>
      <c r="Z228" s="308"/>
      <c r="AA228" s="308"/>
      <c r="AB228" s="308"/>
      <c r="AC228" s="308"/>
      <c r="AD228" s="308"/>
      <c r="AE228" s="308"/>
      <c r="AF228" s="308"/>
      <c r="AG228" s="308"/>
      <c r="AH228" s="308"/>
      <c r="AI228" s="308"/>
      <c r="AJ228" s="308"/>
      <c r="AK228" s="308"/>
      <c r="AL228" s="308"/>
      <c r="AM228" s="308"/>
      <c r="AN228" s="308"/>
      <c r="AO228" s="308"/>
      <c r="AP228" s="308"/>
      <c r="AQ228" s="308"/>
      <c r="AR228" s="308"/>
      <c r="AS228" s="308"/>
      <c r="AT228" s="308"/>
      <c r="AU228" s="308"/>
      <c r="AV228" s="308"/>
      <c r="AW228" s="308"/>
      <c r="AX228" s="308"/>
    </row>
    <row r="229" spans="16:50">
      <c r="P229" s="388"/>
      <c r="Q229" s="308"/>
      <c r="R229" s="308"/>
      <c r="S229" s="308"/>
      <c r="T229" s="308"/>
      <c r="U229" s="308"/>
      <c r="V229" s="308"/>
      <c r="W229" s="308"/>
      <c r="X229" s="308"/>
      <c r="Y229" s="308"/>
      <c r="Z229" s="308"/>
      <c r="AA229" s="308"/>
      <c r="AB229" s="308"/>
      <c r="AC229" s="308"/>
      <c r="AD229" s="308"/>
      <c r="AE229" s="308"/>
      <c r="AF229" s="308"/>
      <c r="AG229" s="308"/>
      <c r="AH229" s="308"/>
      <c r="AI229" s="308"/>
      <c r="AJ229" s="308"/>
      <c r="AK229" s="308"/>
      <c r="AL229" s="308"/>
      <c r="AM229" s="308"/>
      <c r="AN229" s="308"/>
      <c r="AO229" s="308"/>
      <c r="AP229" s="308"/>
      <c r="AQ229" s="308"/>
      <c r="AR229" s="308"/>
      <c r="AS229" s="308"/>
      <c r="AT229" s="308"/>
      <c r="AU229" s="308"/>
      <c r="AV229" s="308"/>
      <c r="AW229" s="308"/>
      <c r="AX229" s="308"/>
    </row>
    <row r="230" spans="16:50">
      <c r="P230" s="388"/>
      <c r="Q230" s="308"/>
      <c r="R230" s="308"/>
      <c r="S230" s="308"/>
      <c r="T230" s="308"/>
      <c r="U230" s="308"/>
      <c r="V230" s="308"/>
      <c r="W230" s="308"/>
      <c r="X230" s="308"/>
      <c r="Y230" s="308"/>
      <c r="Z230" s="308"/>
      <c r="AA230" s="308"/>
      <c r="AB230" s="308"/>
      <c r="AC230" s="308"/>
      <c r="AD230" s="308"/>
      <c r="AE230" s="308"/>
      <c r="AF230" s="308"/>
      <c r="AG230" s="308"/>
      <c r="AH230" s="308"/>
      <c r="AI230" s="308"/>
      <c r="AJ230" s="308"/>
      <c r="AK230" s="308"/>
      <c r="AL230" s="308"/>
      <c r="AM230" s="308"/>
      <c r="AN230" s="308"/>
      <c r="AO230" s="308"/>
      <c r="AP230" s="308"/>
      <c r="AQ230" s="308"/>
      <c r="AR230" s="308"/>
      <c r="AS230" s="308"/>
      <c r="AT230" s="308"/>
      <c r="AU230" s="308"/>
      <c r="AV230" s="308"/>
      <c r="AW230" s="308"/>
      <c r="AX230" s="308"/>
    </row>
    <row r="231" spans="16:50">
      <c r="P231" s="388"/>
      <c r="Q231" s="308"/>
      <c r="R231" s="308"/>
      <c r="S231" s="308"/>
      <c r="T231" s="308"/>
      <c r="U231" s="308"/>
      <c r="V231" s="308"/>
      <c r="W231" s="308"/>
      <c r="X231" s="308"/>
      <c r="Y231" s="308"/>
      <c r="Z231" s="308"/>
      <c r="AA231" s="308"/>
      <c r="AB231" s="308"/>
      <c r="AC231" s="308"/>
      <c r="AD231" s="308"/>
      <c r="AE231" s="308"/>
      <c r="AF231" s="308"/>
      <c r="AG231" s="308"/>
      <c r="AH231" s="308"/>
      <c r="AI231" s="308"/>
      <c r="AJ231" s="308"/>
      <c r="AK231" s="308"/>
      <c r="AL231" s="308"/>
      <c r="AM231" s="308"/>
      <c r="AN231" s="308"/>
      <c r="AO231" s="308"/>
      <c r="AP231" s="308"/>
      <c r="AQ231" s="308"/>
      <c r="AR231" s="308"/>
      <c r="AS231" s="308"/>
      <c r="AT231" s="308"/>
      <c r="AU231" s="308"/>
      <c r="AV231" s="308"/>
      <c r="AW231" s="308"/>
      <c r="AX231" s="308"/>
    </row>
    <row r="232" spans="16:50">
      <c r="P232" s="388"/>
      <c r="Q232" s="308"/>
      <c r="R232" s="308"/>
      <c r="S232" s="308"/>
      <c r="T232" s="308"/>
      <c r="U232" s="308"/>
      <c r="V232" s="308"/>
      <c r="W232" s="308"/>
      <c r="X232" s="308"/>
      <c r="Y232" s="308"/>
      <c r="Z232" s="308"/>
      <c r="AA232" s="308"/>
      <c r="AB232" s="308"/>
      <c r="AC232" s="308"/>
      <c r="AD232" s="308"/>
      <c r="AE232" s="308"/>
      <c r="AF232" s="308"/>
      <c r="AG232" s="308"/>
      <c r="AH232" s="308"/>
      <c r="AI232" s="308"/>
      <c r="AJ232" s="308"/>
      <c r="AK232" s="308"/>
      <c r="AL232" s="308"/>
      <c r="AM232" s="308"/>
      <c r="AN232" s="308"/>
      <c r="AO232" s="308"/>
      <c r="AP232" s="308"/>
      <c r="AQ232" s="308"/>
      <c r="AR232" s="308"/>
      <c r="AS232" s="308"/>
      <c r="AT232" s="308"/>
      <c r="AU232" s="308"/>
      <c r="AV232" s="308"/>
      <c r="AW232" s="308"/>
      <c r="AX232" s="308"/>
    </row>
    <row r="233" spans="16:50">
      <c r="P233" s="388"/>
      <c r="Q233" s="308"/>
      <c r="R233" s="308"/>
      <c r="S233" s="308"/>
      <c r="T233" s="308"/>
      <c r="U233" s="308"/>
      <c r="V233" s="308"/>
      <c r="W233" s="308"/>
      <c r="X233" s="308"/>
      <c r="Y233" s="308"/>
      <c r="Z233" s="308"/>
      <c r="AA233" s="308"/>
      <c r="AB233" s="308"/>
      <c r="AC233" s="308"/>
      <c r="AD233" s="308"/>
      <c r="AE233" s="308"/>
      <c r="AF233" s="308"/>
      <c r="AG233" s="308"/>
      <c r="AH233" s="308"/>
      <c r="AI233" s="308"/>
      <c r="AJ233" s="308"/>
      <c r="AK233" s="308"/>
      <c r="AL233" s="308"/>
      <c r="AM233" s="308"/>
      <c r="AN233" s="308"/>
      <c r="AO233" s="308"/>
      <c r="AP233" s="308"/>
      <c r="AQ233" s="308"/>
      <c r="AR233" s="308"/>
      <c r="AS233" s="308"/>
      <c r="AT233" s="308"/>
      <c r="AU233" s="308"/>
      <c r="AV233" s="308"/>
      <c r="AW233" s="308"/>
      <c r="AX233" s="308"/>
    </row>
    <row r="234" spans="16:50">
      <c r="P234" s="388"/>
      <c r="Q234" s="308"/>
      <c r="R234" s="308"/>
      <c r="S234" s="308"/>
      <c r="T234" s="308"/>
      <c r="U234" s="308"/>
      <c r="V234" s="308"/>
      <c r="W234" s="308"/>
      <c r="X234" s="308"/>
      <c r="Y234" s="308"/>
      <c r="Z234" s="308"/>
      <c r="AA234" s="308"/>
      <c r="AB234" s="308"/>
      <c r="AC234" s="308"/>
      <c r="AD234" s="308"/>
      <c r="AE234" s="308"/>
      <c r="AF234" s="308"/>
      <c r="AG234" s="308"/>
      <c r="AH234" s="308"/>
      <c r="AI234" s="308"/>
      <c r="AJ234" s="308"/>
      <c r="AK234" s="308"/>
      <c r="AL234" s="308"/>
      <c r="AM234" s="308"/>
      <c r="AN234" s="308"/>
      <c r="AO234" s="308"/>
      <c r="AP234" s="308"/>
      <c r="AQ234" s="308"/>
      <c r="AR234" s="308"/>
      <c r="AS234" s="308"/>
      <c r="AT234" s="308"/>
      <c r="AU234" s="308"/>
      <c r="AV234" s="308"/>
      <c r="AW234" s="308"/>
      <c r="AX234" s="308"/>
    </row>
    <row r="235" spans="16:50">
      <c r="P235" s="388"/>
      <c r="Q235" s="308"/>
      <c r="R235" s="308"/>
      <c r="S235" s="308"/>
      <c r="T235" s="308"/>
      <c r="U235" s="308"/>
      <c r="V235" s="308"/>
      <c r="W235" s="308"/>
      <c r="X235" s="308"/>
      <c r="Y235" s="308"/>
      <c r="Z235" s="308"/>
      <c r="AA235" s="308"/>
      <c r="AB235" s="308"/>
      <c r="AC235" s="308"/>
      <c r="AD235" s="308"/>
      <c r="AE235" s="308"/>
      <c r="AF235" s="308"/>
      <c r="AG235" s="308"/>
      <c r="AH235" s="308"/>
      <c r="AI235" s="308"/>
      <c r="AJ235" s="308"/>
      <c r="AK235" s="308"/>
      <c r="AL235" s="308"/>
      <c r="AM235" s="308"/>
      <c r="AN235" s="308"/>
      <c r="AO235" s="308"/>
      <c r="AP235" s="308"/>
      <c r="AQ235" s="308"/>
      <c r="AR235" s="308"/>
      <c r="AS235" s="308"/>
      <c r="AT235" s="308"/>
      <c r="AU235" s="308"/>
      <c r="AV235" s="308"/>
      <c r="AW235" s="308"/>
      <c r="AX235" s="308"/>
    </row>
    <row r="236" spans="16:50">
      <c r="P236" s="388"/>
      <c r="Q236" s="308"/>
      <c r="R236" s="308"/>
      <c r="S236" s="308"/>
      <c r="T236" s="308"/>
      <c r="U236" s="308"/>
      <c r="V236" s="308"/>
      <c r="W236" s="308"/>
      <c r="X236" s="308"/>
      <c r="Y236" s="308"/>
      <c r="Z236" s="308"/>
      <c r="AA236" s="308"/>
      <c r="AB236" s="308"/>
      <c r="AC236" s="308"/>
      <c r="AD236" s="308"/>
      <c r="AE236" s="308"/>
      <c r="AF236" s="308"/>
      <c r="AG236" s="308"/>
      <c r="AH236" s="308"/>
      <c r="AI236" s="308"/>
      <c r="AJ236" s="308"/>
      <c r="AK236" s="308"/>
      <c r="AL236" s="308"/>
      <c r="AM236" s="308"/>
      <c r="AN236" s="308"/>
      <c r="AO236" s="308"/>
      <c r="AP236" s="308"/>
      <c r="AQ236" s="308"/>
      <c r="AR236" s="308"/>
      <c r="AS236" s="308"/>
      <c r="AT236" s="308"/>
      <c r="AU236" s="308"/>
      <c r="AV236" s="308"/>
      <c r="AW236" s="308"/>
      <c r="AX236" s="308"/>
    </row>
    <row r="237" spans="16:50">
      <c r="P237" s="388"/>
      <c r="Q237" s="308"/>
      <c r="R237" s="308"/>
      <c r="S237" s="308"/>
      <c r="T237" s="308"/>
      <c r="U237" s="308"/>
      <c r="V237" s="308"/>
      <c r="W237" s="308"/>
      <c r="X237" s="308"/>
      <c r="Y237" s="308"/>
      <c r="Z237" s="308"/>
      <c r="AA237" s="308"/>
      <c r="AB237" s="308"/>
      <c r="AC237" s="308"/>
      <c r="AD237" s="308"/>
      <c r="AE237" s="308"/>
      <c r="AF237" s="308"/>
      <c r="AG237" s="308"/>
      <c r="AH237" s="308"/>
      <c r="AI237" s="308"/>
      <c r="AJ237" s="308"/>
      <c r="AK237" s="308"/>
      <c r="AL237" s="308"/>
      <c r="AM237" s="308"/>
      <c r="AN237" s="308"/>
      <c r="AO237" s="308"/>
      <c r="AP237" s="308"/>
      <c r="AQ237" s="308"/>
      <c r="AR237" s="308"/>
      <c r="AS237" s="308"/>
      <c r="AT237" s="308"/>
      <c r="AU237" s="308"/>
      <c r="AV237" s="308"/>
      <c r="AW237" s="308"/>
      <c r="AX237" s="308"/>
    </row>
    <row r="238" spans="16:50">
      <c r="P238" s="388"/>
      <c r="Q238" s="308"/>
      <c r="R238" s="308"/>
      <c r="S238" s="308"/>
      <c r="T238" s="308"/>
      <c r="U238" s="308"/>
      <c r="V238" s="308"/>
      <c r="W238" s="308"/>
      <c r="X238" s="308"/>
      <c r="Y238" s="308"/>
      <c r="Z238" s="308"/>
      <c r="AA238" s="308"/>
      <c r="AB238" s="308"/>
      <c r="AC238" s="308"/>
      <c r="AD238" s="308"/>
      <c r="AE238" s="308"/>
      <c r="AF238" s="308"/>
      <c r="AG238" s="308"/>
      <c r="AH238" s="308"/>
      <c r="AI238" s="308"/>
      <c r="AJ238" s="308"/>
      <c r="AK238" s="308"/>
      <c r="AL238" s="308"/>
      <c r="AM238" s="308"/>
      <c r="AN238" s="308"/>
      <c r="AO238" s="308"/>
      <c r="AP238" s="308"/>
      <c r="AQ238" s="308"/>
      <c r="AR238" s="308"/>
      <c r="AS238" s="308"/>
      <c r="AT238" s="308"/>
      <c r="AU238" s="308"/>
      <c r="AV238" s="308"/>
      <c r="AW238" s="308"/>
      <c r="AX238" s="308"/>
    </row>
    <row r="239" spans="16:50">
      <c r="P239" s="388"/>
      <c r="Q239" s="308"/>
      <c r="R239" s="308"/>
      <c r="S239" s="308"/>
      <c r="T239" s="308"/>
      <c r="U239" s="308"/>
      <c r="V239" s="308"/>
      <c r="W239" s="308"/>
      <c r="X239" s="308"/>
      <c r="Y239" s="308"/>
      <c r="Z239" s="308"/>
      <c r="AA239" s="308"/>
      <c r="AB239" s="308"/>
      <c r="AC239" s="308"/>
      <c r="AD239" s="308"/>
      <c r="AE239" s="308"/>
      <c r="AF239" s="308"/>
      <c r="AG239" s="308"/>
      <c r="AH239" s="308"/>
      <c r="AI239" s="308"/>
      <c r="AJ239" s="308"/>
      <c r="AK239" s="308"/>
      <c r="AL239" s="308"/>
      <c r="AM239" s="308"/>
      <c r="AN239" s="308"/>
      <c r="AO239" s="308"/>
      <c r="AP239" s="308"/>
      <c r="AQ239" s="308"/>
      <c r="AR239" s="308"/>
      <c r="AS239" s="308"/>
      <c r="AT239" s="308"/>
      <c r="AU239" s="308"/>
      <c r="AV239" s="308"/>
      <c r="AW239" s="308"/>
      <c r="AX239" s="308"/>
    </row>
    <row r="240" spans="16:50">
      <c r="P240" s="388"/>
      <c r="Q240" s="308"/>
      <c r="R240" s="308"/>
      <c r="S240" s="308"/>
      <c r="T240" s="308"/>
      <c r="U240" s="308"/>
      <c r="V240" s="308"/>
      <c r="W240" s="308"/>
      <c r="X240" s="308"/>
      <c r="Y240" s="308"/>
      <c r="Z240" s="308"/>
      <c r="AA240" s="308"/>
      <c r="AB240" s="308"/>
      <c r="AC240" s="308"/>
      <c r="AD240" s="308"/>
      <c r="AE240" s="308"/>
      <c r="AF240" s="308"/>
      <c r="AG240" s="308"/>
      <c r="AH240" s="308"/>
      <c r="AI240" s="308"/>
      <c r="AJ240" s="308"/>
      <c r="AK240" s="308"/>
      <c r="AL240" s="308"/>
      <c r="AM240" s="308"/>
      <c r="AN240" s="308"/>
      <c r="AO240" s="308"/>
      <c r="AP240" s="308"/>
      <c r="AQ240" s="308"/>
      <c r="AR240" s="308"/>
      <c r="AS240" s="308"/>
      <c r="AT240" s="308"/>
      <c r="AU240" s="308"/>
      <c r="AV240" s="308"/>
      <c r="AW240" s="308"/>
      <c r="AX240" s="308"/>
    </row>
    <row r="241" spans="16:50">
      <c r="P241" s="388"/>
      <c r="Q241" s="308"/>
      <c r="R241" s="308"/>
      <c r="S241" s="308"/>
      <c r="T241" s="308"/>
      <c r="U241" s="308"/>
      <c r="V241" s="308"/>
      <c r="W241" s="308"/>
      <c r="X241" s="308"/>
      <c r="Y241" s="308"/>
      <c r="Z241" s="308"/>
      <c r="AA241" s="308"/>
      <c r="AB241" s="308"/>
      <c r="AC241" s="308"/>
      <c r="AD241" s="308"/>
      <c r="AE241" s="308"/>
      <c r="AF241" s="308"/>
      <c r="AG241" s="308"/>
      <c r="AH241" s="308"/>
      <c r="AI241" s="308"/>
      <c r="AJ241" s="308"/>
      <c r="AK241" s="308"/>
      <c r="AL241" s="308"/>
      <c r="AM241" s="308"/>
      <c r="AN241" s="308"/>
      <c r="AO241" s="308"/>
      <c r="AP241" s="308"/>
      <c r="AQ241" s="308"/>
      <c r="AR241" s="308"/>
      <c r="AS241" s="308"/>
      <c r="AT241" s="308"/>
      <c r="AU241" s="308"/>
      <c r="AV241" s="308"/>
      <c r="AW241" s="308"/>
      <c r="AX241" s="308"/>
    </row>
    <row r="242" spans="16:50">
      <c r="P242" s="388"/>
      <c r="Q242" s="308"/>
      <c r="R242" s="308"/>
      <c r="S242" s="308"/>
      <c r="T242" s="308"/>
      <c r="U242" s="308"/>
      <c r="V242" s="308"/>
      <c r="W242" s="308"/>
      <c r="X242" s="308"/>
      <c r="Y242" s="308"/>
      <c r="Z242" s="308"/>
      <c r="AA242" s="308"/>
      <c r="AB242" s="308"/>
      <c r="AC242" s="308"/>
      <c r="AD242" s="308"/>
      <c r="AE242" s="308"/>
      <c r="AF242" s="308"/>
      <c r="AG242" s="308"/>
      <c r="AH242" s="308"/>
      <c r="AI242" s="308"/>
      <c r="AJ242" s="308"/>
      <c r="AK242" s="308"/>
      <c r="AL242" s="308"/>
      <c r="AM242" s="308"/>
      <c r="AN242" s="308"/>
      <c r="AO242" s="308"/>
      <c r="AP242" s="308"/>
      <c r="AQ242" s="308"/>
      <c r="AR242" s="308"/>
      <c r="AS242" s="308"/>
      <c r="AT242" s="308"/>
      <c r="AU242" s="308"/>
      <c r="AV242" s="308"/>
      <c r="AW242" s="308"/>
      <c r="AX242" s="308"/>
    </row>
    <row r="243" spans="16:50">
      <c r="P243" s="388"/>
      <c r="Q243" s="308"/>
      <c r="R243" s="308"/>
      <c r="S243" s="308"/>
      <c r="T243" s="308"/>
      <c r="U243" s="308"/>
      <c r="V243" s="308"/>
      <c r="W243" s="308"/>
      <c r="X243" s="308"/>
      <c r="Y243" s="308"/>
      <c r="Z243" s="308"/>
      <c r="AA243" s="308"/>
      <c r="AB243" s="308"/>
      <c r="AC243" s="308"/>
      <c r="AD243" s="308"/>
      <c r="AE243" s="308"/>
      <c r="AF243" s="308"/>
      <c r="AG243" s="308"/>
      <c r="AH243" s="308"/>
      <c r="AI243" s="308"/>
      <c r="AJ243" s="308"/>
      <c r="AK243" s="308"/>
      <c r="AL243" s="308"/>
      <c r="AM243" s="308"/>
      <c r="AN243" s="308"/>
      <c r="AO243" s="308"/>
      <c r="AP243" s="308"/>
      <c r="AQ243" s="308"/>
      <c r="AR243" s="308"/>
      <c r="AS243" s="308"/>
      <c r="AT243" s="308"/>
      <c r="AU243" s="308"/>
      <c r="AV243" s="308"/>
      <c r="AW243" s="308"/>
      <c r="AX243" s="308"/>
    </row>
    <row r="244" spans="16:50">
      <c r="P244" s="388"/>
      <c r="Q244" s="308"/>
      <c r="R244" s="308"/>
      <c r="S244" s="308"/>
      <c r="T244" s="308"/>
      <c r="U244" s="308"/>
      <c r="V244" s="308"/>
      <c r="W244" s="308"/>
      <c r="X244" s="308"/>
      <c r="Y244" s="308"/>
      <c r="Z244" s="308"/>
      <c r="AA244" s="308"/>
      <c r="AB244" s="308"/>
      <c r="AC244" s="308"/>
      <c r="AD244" s="308"/>
      <c r="AE244" s="308"/>
      <c r="AF244" s="308"/>
      <c r="AG244" s="308"/>
      <c r="AH244" s="308"/>
      <c r="AI244" s="308"/>
      <c r="AJ244" s="308"/>
      <c r="AK244" s="308"/>
      <c r="AL244" s="308"/>
      <c r="AM244" s="308"/>
      <c r="AN244" s="308"/>
      <c r="AO244" s="308"/>
      <c r="AP244" s="308"/>
      <c r="AQ244" s="308"/>
      <c r="AR244" s="308"/>
      <c r="AS244" s="308"/>
      <c r="AT244" s="308"/>
      <c r="AU244" s="308"/>
      <c r="AV244" s="308"/>
      <c r="AW244" s="308"/>
      <c r="AX244" s="308"/>
    </row>
    <row r="245" spans="16:50">
      <c r="P245" s="388"/>
      <c r="Q245" s="308"/>
      <c r="R245" s="308"/>
      <c r="S245" s="308"/>
      <c r="T245" s="308"/>
      <c r="U245" s="308"/>
      <c r="V245" s="308"/>
      <c r="W245" s="308"/>
      <c r="X245" s="308"/>
      <c r="Y245" s="308"/>
      <c r="Z245" s="308"/>
      <c r="AA245" s="308"/>
      <c r="AB245" s="308"/>
      <c r="AC245" s="308"/>
      <c r="AD245" s="308"/>
      <c r="AE245" s="308"/>
      <c r="AF245" s="308"/>
      <c r="AG245" s="308"/>
      <c r="AH245" s="308"/>
      <c r="AI245" s="308"/>
      <c r="AJ245" s="308"/>
      <c r="AK245" s="308"/>
      <c r="AL245" s="308"/>
      <c r="AM245" s="308"/>
      <c r="AN245" s="308"/>
      <c r="AO245" s="308"/>
      <c r="AP245" s="308"/>
      <c r="AQ245" s="308"/>
      <c r="AR245" s="308"/>
      <c r="AS245" s="308"/>
      <c r="AT245" s="308"/>
      <c r="AU245" s="308"/>
      <c r="AV245" s="308"/>
      <c r="AW245" s="308"/>
      <c r="AX245" s="308"/>
    </row>
    <row r="246" spans="16:50">
      <c r="P246" s="388"/>
      <c r="Q246" s="308"/>
      <c r="R246" s="308"/>
      <c r="S246" s="308"/>
      <c r="T246" s="308"/>
      <c r="U246" s="308"/>
      <c r="V246" s="308"/>
      <c r="W246" s="308"/>
      <c r="X246" s="308"/>
      <c r="Y246" s="308"/>
      <c r="Z246" s="308"/>
      <c r="AA246" s="308"/>
      <c r="AB246" s="308"/>
      <c r="AC246" s="308"/>
      <c r="AD246" s="308"/>
      <c r="AE246" s="308"/>
      <c r="AF246" s="308"/>
      <c r="AG246" s="308"/>
      <c r="AH246" s="308"/>
      <c r="AI246" s="308"/>
      <c r="AJ246" s="308"/>
      <c r="AK246" s="308"/>
      <c r="AL246" s="308"/>
      <c r="AM246" s="308"/>
      <c r="AN246" s="308"/>
      <c r="AO246" s="308"/>
      <c r="AP246" s="308"/>
      <c r="AQ246" s="308"/>
      <c r="AR246" s="308"/>
      <c r="AS246" s="308"/>
      <c r="AT246" s="308"/>
      <c r="AU246" s="308"/>
      <c r="AV246" s="308"/>
      <c r="AW246" s="308"/>
      <c r="AX246" s="308"/>
    </row>
    <row r="247" spans="16:50">
      <c r="P247" s="388"/>
      <c r="Q247" s="308"/>
      <c r="R247" s="308"/>
      <c r="S247" s="308"/>
      <c r="T247" s="308"/>
      <c r="U247" s="308"/>
      <c r="V247" s="308"/>
      <c r="W247" s="308"/>
      <c r="X247" s="308"/>
      <c r="Y247" s="308"/>
      <c r="Z247" s="308"/>
      <c r="AA247" s="308"/>
      <c r="AB247" s="308"/>
      <c r="AC247" s="308"/>
      <c r="AD247" s="308"/>
      <c r="AE247" s="308"/>
      <c r="AF247" s="308"/>
      <c r="AG247" s="308"/>
      <c r="AH247" s="308"/>
      <c r="AI247" s="308"/>
      <c r="AJ247" s="308"/>
      <c r="AK247" s="308"/>
      <c r="AL247" s="308"/>
      <c r="AM247" s="308"/>
      <c r="AN247" s="308"/>
      <c r="AO247" s="308"/>
      <c r="AP247" s="308"/>
      <c r="AQ247" s="308"/>
      <c r="AR247" s="308"/>
      <c r="AS247" s="308"/>
      <c r="AT247" s="308"/>
      <c r="AU247" s="308"/>
      <c r="AV247" s="308"/>
      <c r="AW247" s="308"/>
      <c r="AX247" s="308"/>
    </row>
    <row r="248" spans="16:50">
      <c r="P248" s="388"/>
      <c r="Q248" s="308"/>
      <c r="R248" s="308"/>
      <c r="S248" s="308"/>
      <c r="T248" s="308"/>
      <c r="U248" s="308"/>
      <c r="V248" s="308"/>
      <c r="W248" s="308"/>
      <c r="X248" s="308"/>
      <c r="Y248" s="308"/>
      <c r="Z248" s="308"/>
      <c r="AA248" s="308"/>
      <c r="AB248" s="308"/>
      <c r="AC248" s="308"/>
      <c r="AD248" s="308"/>
      <c r="AE248" s="308"/>
      <c r="AF248" s="308"/>
      <c r="AG248" s="308"/>
      <c r="AH248" s="308"/>
      <c r="AI248" s="308"/>
      <c r="AJ248" s="308"/>
      <c r="AK248" s="308"/>
      <c r="AL248" s="308"/>
      <c r="AM248" s="308"/>
      <c r="AN248" s="308"/>
      <c r="AO248" s="308"/>
      <c r="AP248" s="308"/>
      <c r="AQ248" s="308"/>
      <c r="AR248" s="308"/>
      <c r="AS248" s="308"/>
      <c r="AT248" s="308"/>
      <c r="AU248" s="308"/>
      <c r="AV248" s="308"/>
      <c r="AW248" s="308"/>
      <c r="AX248" s="308"/>
    </row>
    <row r="249" spans="16:50">
      <c r="P249" s="388"/>
      <c r="Q249" s="308"/>
      <c r="R249" s="308"/>
      <c r="S249" s="308"/>
      <c r="T249" s="308"/>
      <c r="U249" s="308"/>
      <c r="V249" s="308"/>
      <c r="W249" s="308"/>
      <c r="X249" s="308"/>
      <c r="Y249" s="308"/>
      <c r="Z249" s="308"/>
      <c r="AA249" s="308"/>
      <c r="AB249" s="308"/>
      <c r="AC249" s="308"/>
      <c r="AD249" s="308"/>
      <c r="AE249" s="308"/>
      <c r="AF249" s="308"/>
      <c r="AG249" s="308"/>
      <c r="AH249" s="308"/>
      <c r="AI249" s="308"/>
      <c r="AJ249" s="308"/>
      <c r="AK249" s="308"/>
      <c r="AL249" s="308"/>
      <c r="AM249" s="308"/>
      <c r="AN249" s="308"/>
      <c r="AO249" s="308"/>
      <c r="AP249" s="308"/>
      <c r="AQ249" s="308"/>
      <c r="AR249" s="308"/>
      <c r="AS249" s="308"/>
      <c r="AT249" s="308"/>
      <c r="AU249" s="308"/>
      <c r="AV249" s="308"/>
      <c r="AW249" s="308"/>
      <c r="AX249" s="308"/>
    </row>
    <row r="250" spans="16:50">
      <c r="P250" s="388"/>
      <c r="Q250" s="308"/>
      <c r="R250" s="308"/>
      <c r="S250" s="308"/>
      <c r="T250" s="308"/>
      <c r="U250" s="308"/>
      <c r="V250" s="308"/>
      <c r="W250" s="308"/>
      <c r="X250" s="308"/>
      <c r="Y250" s="308"/>
      <c r="Z250" s="308"/>
      <c r="AA250" s="308"/>
      <c r="AB250" s="308"/>
      <c r="AC250" s="308"/>
      <c r="AD250" s="308"/>
      <c r="AE250" s="308"/>
      <c r="AF250" s="308"/>
      <c r="AG250" s="308"/>
      <c r="AH250" s="308"/>
      <c r="AI250" s="308"/>
      <c r="AJ250" s="308"/>
      <c r="AK250" s="308"/>
      <c r="AL250" s="308"/>
      <c r="AM250" s="308"/>
      <c r="AN250" s="308"/>
      <c r="AO250" s="308"/>
      <c r="AP250" s="308"/>
      <c r="AQ250" s="308"/>
      <c r="AR250" s="308"/>
      <c r="AS250" s="308"/>
      <c r="AT250" s="308"/>
      <c r="AU250" s="308"/>
      <c r="AV250" s="308"/>
      <c r="AW250" s="308"/>
      <c r="AX250" s="308"/>
    </row>
    <row r="251" spans="16:50">
      <c r="P251" s="388"/>
      <c r="Q251" s="308"/>
      <c r="R251" s="308"/>
      <c r="S251" s="308"/>
      <c r="T251" s="308"/>
      <c r="U251" s="308"/>
      <c r="V251" s="308"/>
      <c r="W251" s="308"/>
      <c r="X251" s="308"/>
      <c r="Y251" s="308"/>
      <c r="Z251" s="308"/>
      <c r="AA251" s="308"/>
      <c r="AB251" s="308"/>
      <c r="AC251" s="308"/>
      <c r="AD251" s="308"/>
      <c r="AE251" s="308"/>
      <c r="AF251" s="308"/>
      <c r="AG251" s="308"/>
      <c r="AH251" s="308"/>
      <c r="AI251" s="308"/>
      <c r="AJ251" s="308"/>
      <c r="AK251" s="308"/>
      <c r="AL251" s="308"/>
      <c r="AM251" s="308"/>
      <c r="AN251" s="308"/>
      <c r="AO251" s="308"/>
      <c r="AP251" s="308"/>
      <c r="AQ251" s="308"/>
      <c r="AR251" s="308"/>
      <c r="AS251" s="308"/>
      <c r="AT251" s="308"/>
      <c r="AU251" s="308"/>
      <c r="AV251" s="308"/>
      <c r="AW251" s="308"/>
      <c r="AX251" s="308"/>
    </row>
    <row r="252" spans="16:50">
      <c r="P252" s="388"/>
      <c r="Q252" s="308"/>
      <c r="R252" s="308"/>
      <c r="S252" s="308"/>
      <c r="T252" s="308"/>
      <c r="U252" s="308"/>
      <c r="V252" s="308"/>
      <c r="W252" s="308"/>
      <c r="X252" s="308"/>
      <c r="Y252" s="308"/>
      <c r="Z252" s="308"/>
      <c r="AA252" s="308"/>
      <c r="AB252" s="308"/>
      <c r="AC252" s="308"/>
      <c r="AD252" s="308"/>
      <c r="AE252" s="308"/>
      <c r="AF252" s="308"/>
      <c r="AG252" s="308"/>
      <c r="AH252" s="308"/>
      <c r="AI252" s="308"/>
      <c r="AJ252" s="308"/>
      <c r="AK252" s="308"/>
      <c r="AL252" s="308"/>
      <c r="AM252" s="308"/>
      <c r="AN252" s="308"/>
      <c r="AO252" s="308"/>
      <c r="AP252" s="308"/>
      <c r="AQ252" s="308"/>
      <c r="AR252" s="308"/>
      <c r="AS252" s="308"/>
      <c r="AT252" s="308"/>
      <c r="AU252" s="308"/>
      <c r="AV252" s="308"/>
      <c r="AW252" s="308"/>
      <c r="AX252" s="308"/>
    </row>
    <row r="253" spans="16:50">
      <c r="P253" s="388"/>
      <c r="Q253" s="308"/>
      <c r="R253" s="308"/>
      <c r="S253" s="308"/>
      <c r="T253" s="308"/>
      <c r="U253" s="308"/>
      <c r="V253" s="308"/>
      <c r="W253" s="308"/>
      <c r="X253" s="308"/>
      <c r="Y253" s="308"/>
      <c r="Z253" s="308"/>
      <c r="AA253" s="308"/>
      <c r="AB253" s="308"/>
      <c r="AC253" s="308"/>
      <c r="AD253" s="308"/>
      <c r="AE253" s="308"/>
      <c r="AF253" s="308"/>
      <c r="AG253" s="308"/>
      <c r="AH253" s="308"/>
      <c r="AI253" s="308"/>
      <c r="AJ253" s="308"/>
      <c r="AK253" s="308"/>
      <c r="AL253" s="308"/>
      <c r="AM253" s="308"/>
      <c r="AN253" s="308"/>
      <c r="AO253" s="308"/>
      <c r="AP253" s="308"/>
      <c r="AQ253" s="308"/>
      <c r="AR253" s="308"/>
      <c r="AS253" s="308"/>
      <c r="AT253" s="308"/>
      <c r="AU253" s="308"/>
      <c r="AV253" s="308"/>
      <c r="AW253" s="308"/>
      <c r="AX253" s="308"/>
    </row>
    <row r="254" spans="16:50">
      <c r="P254" s="388"/>
      <c r="Q254" s="308"/>
      <c r="R254" s="308"/>
      <c r="S254" s="308"/>
      <c r="T254" s="308"/>
      <c r="U254" s="308"/>
      <c r="V254" s="308"/>
      <c r="W254" s="308"/>
      <c r="X254" s="308"/>
      <c r="Y254" s="308"/>
      <c r="Z254" s="308"/>
      <c r="AA254" s="308"/>
      <c r="AB254" s="308"/>
      <c r="AC254" s="308"/>
      <c r="AD254" s="308"/>
      <c r="AE254" s="308"/>
      <c r="AF254" s="308"/>
      <c r="AG254" s="308"/>
      <c r="AH254" s="308"/>
      <c r="AI254" s="308"/>
      <c r="AJ254" s="308"/>
      <c r="AK254" s="308"/>
      <c r="AL254" s="308"/>
      <c r="AM254" s="308"/>
      <c r="AN254" s="308"/>
      <c r="AO254" s="308"/>
      <c r="AP254" s="308"/>
      <c r="AQ254" s="308"/>
      <c r="AR254" s="308"/>
      <c r="AS254" s="308"/>
      <c r="AT254" s="308"/>
      <c r="AU254" s="308"/>
      <c r="AV254" s="308"/>
      <c r="AW254" s="308"/>
      <c r="AX254" s="308"/>
    </row>
    <row r="255" spans="16:50">
      <c r="P255" s="388"/>
      <c r="Q255" s="308"/>
      <c r="R255" s="308"/>
      <c r="S255" s="308"/>
      <c r="T255" s="308"/>
      <c r="U255" s="308"/>
      <c r="V255" s="308"/>
      <c r="W255" s="308"/>
      <c r="X255" s="308"/>
      <c r="Y255" s="308"/>
      <c r="Z255" s="308"/>
      <c r="AA255" s="308"/>
      <c r="AB255" s="308"/>
      <c r="AC255" s="308"/>
      <c r="AD255" s="308"/>
      <c r="AE255" s="308"/>
      <c r="AF255" s="308"/>
      <c r="AG255" s="308"/>
      <c r="AH255" s="308"/>
      <c r="AI255" s="308"/>
      <c r="AJ255" s="308"/>
      <c r="AK255" s="308"/>
      <c r="AL255" s="308"/>
      <c r="AM255" s="308"/>
      <c r="AN255" s="308"/>
      <c r="AO255" s="308"/>
      <c r="AP255" s="308"/>
      <c r="AQ255" s="308"/>
      <c r="AR255" s="308"/>
      <c r="AS255" s="308"/>
      <c r="AT255" s="308"/>
      <c r="AU255" s="308"/>
      <c r="AV255" s="308"/>
      <c r="AW255" s="308"/>
      <c r="AX255" s="308"/>
    </row>
    <row r="256" spans="16:50">
      <c r="P256" s="388"/>
      <c r="Q256" s="308"/>
      <c r="R256" s="308"/>
      <c r="S256" s="308"/>
      <c r="T256" s="308"/>
      <c r="U256" s="308"/>
      <c r="V256" s="308"/>
      <c r="W256" s="308"/>
      <c r="X256" s="308"/>
      <c r="Y256" s="308"/>
      <c r="Z256" s="308"/>
      <c r="AA256" s="308"/>
      <c r="AB256" s="308"/>
      <c r="AC256" s="308"/>
      <c r="AD256" s="308"/>
      <c r="AE256" s="308"/>
      <c r="AF256" s="308"/>
      <c r="AG256" s="308"/>
      <c r="AH256" s="308"/>
      <c r="AI256" s="308"/>
      <c r="AJ256" s="308"/>
      <c r="AK256" s="308"/>
      <c r="AL256" s="308"/>
      <c r="AM256" s="308"/>
      <c r="AN256" s="308"/>
      <c r="AO256" s="308"/>
      <c r="AP256" s="308"/>
      <c r="AQ256" s="308"/>
      <c r="AR256" s="308"/>
      <c r="AS256" s="308"/>
      <c r="AT256" s="308"/>
      <c r="AU256" s="308"/>
      <c r="AV256" s="308"/>
      <c r="AW256" s="308"/>
      <c r="AX256" s="308"/>
    </row>
    <row r="257" spans="16:50">
      <c r="P257" s="388"/>
      <c r="Q257" s="308"/>
      <c r="R257" s="308"/>
      <c r="S257" s="308"/>
      <c r="T257" s="308"/>
      <c r="U257" s="308"/>
      <c r="V257" s="308"/>
      <c r="W257" s="308"/>
      <c r="X257" s="308"/>
      <c r="Y257" s="308"/>
      <c r="Z257" s="308"/>
      <c r="AA257" s="308"/>
      <c r="AB257" s="308"/>
      <c r="AC257" s="308"/>
      <c r="AD257" s="308"/>
      <c r="AE257" s="308"/>
      <c r="AF257" s="308"/>
      <c r="AG257" s="308"/>
      <c r="AH257" s="308"/>
      <c r="AI257" s="308"/>
      <c r="AJ257" s="308"/>
      <c r="AK257" s="308"/>
      <c r="AL257" s="308"/>
      <c r="AM257" s="308"/>
      <c r="AN257" s="308"/>
      <c r="AO257" s="308"/>
      <c r="AP257" s="308"/>
      <c r="AQ257" s="308"/>
      <c r="AR257" s="308"/>
      <c r="AS257" s="308"/>
      <c r="AT257" s="308"/>
      <c r="AU257" s="308"/>
      <c r="AV257" s="308"/>
      <c r="AW257" s="308"/>
      <c r="AX257" s="308"/>
    </row>
    <row r="258" spans="16:50">
      <c r="P258" s="388"/>
      <c r="Q258" s="308"/>
      <c r="R258" s="308"/>
      <c r="S258" s="308"/>
      <c r="T258" s="308"/>
      <c r="U258" s="308"/>
      <c r="V258" s="308"/>
      <c r="W258" s="308"/>
      <c r="X258" s="308"/>
      <c r="Y258" s="308"/>
      <c r="Z258" s="308"/>
      <c r="AA258" s="308"/>
      <c r="AB258" s="308"/>
      <c r="AC258" s="308"/>
      <c r="AD258" s="308"/>
      <c r="AE258" s="308"/>
      <c r="AF258" s="308"/>
      <c r="AG258" s="308"/>
      <c r="AH258" s="308"/>
      <c r="AI258" s="308"/>
      <c r="AJ258" s="308"/>
      <c r="AK258" s="308"/>
      <c r="AL258" s="308"/>
      <c r="AM258" s="308"/>
      <c r="AN258" s="308"/>
      <c r="AO258" s="308"/>
      <c r="AP258" s="308"/>
      <c r="AQ258" s="308"/>
      <c r="AR258" s="308"/>
      <c r="AS258" s="308"/>
      <c r="AT258" s="308"/>
      <c r="AU258" s="308"/>
      <c r="AV258" s="308"/>
      <c r="AW258" s="308"/>
      <c r="AX258" s="308"/>
    </row>
    <row r="259" spans="16:50">
      <c r="P259" s="388"/>
      <c r="Q259" s="308"/>
      <c r="R259" s="308"/>
      <c r="S259" s="308"/>
      <c r="T259" s="308"/>
      <c r="U259" s="308"/>
      <c r="V259" s="308"/>
      <c r="W259" s="308"/>
      <c r="X259" s="308"/>
      <c r="Y259" s="308"/>
      <c r="Z259" s="308"/>
      <c r="AA259" s="308"/>
      <c r="AB259" s="308"/>
      <c r="AC259" s="308"/>
      <c r="AD259" s="308"/>
      <c r="AE259" s="308"/>
      <c r="AF259" s="308"/>
      <c r="AG259" s="308"/>
      <c r="AH259" s="308"/>
      <c r="AI259" s="308"/>
      <c r="AJ259" s="308"/>
      <c r="AK259" s="308"/>
      <c r="AL259" s="308"/>
      <c r="AM259" s="308"/>
      <c r="AN259" s="308"/>
      <c r="AO259" s="308"/>
      <c r="AP259" s="308"/>
      <c r="AQ259" s="308"/>
      <c r="AR259" s="308"/>
      <c r="AS259" s="308"/>
      <c r="AT259" s="308"/>
      <c r="AU259" s="308"/>
      <c r="AV259" s="308"/>
      <c r="AW259" s="308"/>
      <c r="AX259" s="308"/>
    </row>
    <row r="260" spans="16:50">
      <c r="P260" s="388"/>
      <c r="Q260" s="308"/>
      <c r="R260" s="308"/>
      <c r="S260" s="308"/>
      <c r="T260" s="308"/>
      <c r="U260" s="308"/>
      <c r="V260" s="308"/>
      <c r="W260" s="308"/>
      <c r="X260" s="308"/>
      <c r="Y260" s="308"/>
      <c r="Z260" s="308"/>
      <c r="AA260" s="308"/>
      <c r="AB260" s="308"/>
      <c r="AC260" s="308"/>
      <c r="AD260" s="308"/>
      <c r="AE260" s="308"/>
      <c r="AF260" s="308"/>
      <c r="AG260" s="308"/>
      <c r="AH260" s="308"/>
      <c r="AI260" s="308"/>
      <c r="AJ260" s="308"/>
      <c r="AK260" s="308"/>
      <c r="AL260" s="308"/>
      <c r="AM260" s="308"/>
      <c r="AN260" s="308"/>
      <c r="AO260" s="308"/>
      <c r="AP260" s="308"/>
      <c r="AQ260" s="308"/>
      <c r="AR260" s="308"/>
      <c r="AS260" s="308"/>
      <c r="AT260" s="308"/>
      <c r="AU260" s="308"/>
      <c r="AV260" s="308"/>
      <c r="AW260" s="308"/>
      <c r="AX260" s="308"/>
    </row>
    <row r="261" spans="16:50">
      <c r="P261" s="388"/>
      <c r="Q261" s="308"/>
      <c r="R261" s="308"/>
      <c r="S261" s="308"/>
      <c r="T261" s="308"/>
      <c r="U261" s="308"/>
      <c r="V261" s="308"/>
      <c r="W261" s="308"/>
      <c r="X261" s="308"/>
      <c r="Y261" s="308"/>
      <c r="Z261" s="308"/>
      <c r="AA261" s="308"/>
      <c r="AB261" s="308"/>
      <c r="AC261" s="308"/>
      <c r="AD261" s="308"/>
      <c r="AE261" s="308"/>
      <c r="AF261" s="308"/>
      <c r="AG261" s="308"/>
      <c r="AH261" s="308"/>
      <c r="AI261" s="308"/>
      <c r="AJ261" s="308"/>
      <c r="AK261" s="308"/>
      <c r="AL261" s="308"/>
      <c r="AM261" s="308"/>
      <c r="AN261" s="308"/>
      <c r="AO261" s="308"/>
      <c r="AP261" s="308"/>
      <c r="AQ261" s="308"/>
      <c r="AR261" s="308"/>
      <c r="AS261" s="308"/>
      <c r="AT261" s="308"/>
      <c r="AU261" s="308"/>
      <c r="AV261" s="308"/>
      <c r="AW261" s="308"/>
      <c r="AX261" s="308"/>
    </row>
    <row r="262" spans="16:50">
      <c r="P262" s="388"/>
      <c r="Q262" s="308"/>
      <c r="R262" s="308"/>
      <c r="S262" s="308"/>
      <c r="T262" s="308"/>
      <c r="U262" s="308"/>
      <c r="V262" s="308"/>
      <c r="W262" s="308"/>
      <c r="X262" s="308"/>
      <c r="Y262" s="308"/>
      <c r="Z262" s="308"/>
      <c r="AA262" s="308"/>
      <c r="AB262" s="308"/>
      <c r="AC262" s="308"/>
      <c r="AD262" s="308"/>
      <c r="AE262" s="308"/>
      <c r="AF262" s="308"/>
      <c r="AG262" s="308"/>
      <c r="AH262" s="308"/>
      <c r="AI262" s="308"/>
      <c r="AJ262" s="308"/>
      <c r="AK262" s="308"/>
      <c r="AL262" s="308"/>
      <c r="AM262" s="308"/>
      <c r="AN262" s="308"/>
      <c r="AO262" s="308"/>
      <c r="AP262" s="308"/>
      <c r="AQ262" s="308"/>
      <c r="AR262" s="308"/>
      <c r="AS262" s="308"/>
      <c r="AT262" s="308"/>
      <c r="AU262" s="308"/>
      <c r="AV262" s="308"/>
      <c r="AW262" s="308"/>
      <c r="AX262" s="308"/>
    </row>
    <row r="263" spans="16:50">
      <c r="P263" s="388"/>
      <c r="Q263" s="308"/>
      <c r="R263" s="308"/>
      <c r="S263" s="308"/>
      <c r="T263" s="308"/>
      <c r="U263" s="308"/>
      <c r="V263" s="308"/>
      <c r="W263" s="308"/>
      <c r="X263" s="308"/>
      <c r="Y263" s="308"/>
      <c r="Z263" s="308"/>
      <c r="AA263" s="308"/>
      <c r="AB263" s="308"/>
      <c r="AC263" s="308"/>
      <c r="AD263" s="308"/>
      <c r="AE263" s="308"/>
      <c r="AF263" s="308"/>
      <c r="AG263" s="308"/>
      <c r="AH263" s="308"/>
      <c r="AI263" s="308"/>
      <c r="AJ263" s="308"/>
      <c r="AK263" s="308"/>
      <c r="AL263" s="308"/>
      <c r="AM263" s="308"/>
      <c r="AN263" s="308"/>
      <c r="AO263" s="308"/>
      <c r="AP263" s="308"/>
      <c r="AQ263" s="308"/>
      <c r="AR263" s="308"/>
      <c r="AS263" s="308"/>
      <c r="AT263" s="308"/>
      <c r="AU263" s="308"/>
      <c r="AV263" s="308"/>
      <c r="AW263" s="308"/>
      <c r="AX263" s="308"/>
    </row>
    <row r="264" spans="16:50">
      <c r="P264" s="388"/>
      <c r="Q264" s="308"/>
      <c r="R264" s="308"/>
      <c r="S264" s="308"/>
      <c r="T264" s="308"/>
      <c r="U264" s="308"/>
      <c r="V264" s="308"/>
      <c r="W264" s="308"/>
      <c r="X264" s="308"/>
      <c r="Y264" s="308"/>
      <c r="Z264" s="308"/>
      <c r="AA264" s="308"/>
      <c r="AB264" s="308"/>
      <c r="AC264" s="308"/>
      <c r="AD264" s="308"/>
      <c r="AE264" s="308"/>
      <c r="AF264" s="308"/>
      <c r="AG264" s="308"/>
      <c r="AH264" s="308"/>
      <c r="AI264" s="308"/>
      <c r="AJ264" s="308"/>
      <c r="AK264" s="308"/>
      <c r="AL264" s="308"/>
      <c r="AM264" s="308"/>
      <c r="AN264" s="308"/>
      <c r="AO264" s="308"/>
      <c r="AP264" s="308"/>
      <c r="AQ264" s="308"/>
      <c r="AR264" s="308"/>
      <c r="AS264" s="308"/>
      <c r="AT264" s="308"/>
      <c r="AU264" s="308"/>
      <c r="AV264" s="308"/>
      <c r="AW264" s="308"/>
      <c r="AX264" s="308"/>
    </row>
    <row r="265" spans="16:50">
      <c r="P265" s="388"/>
      <c r="Q265" s="308"/>
      <c r="R265" s="308"/>
      <c r="S265" s="308"/>
      <c r="T265" s="308"/>
      <c r="U265" s="308"/>
      <c r="V265" s="308"/>
      <c r="W265" s="308"/>
      <c r="X265" s="308"/>
      <c r="Y265" s="308"/>
      <c r="Z265" s="308"/>
      <c r="AA265" s="308"/>
      <c r="AB265" s="308"/>
      <c r="AC265" s="308"/>
      <c r="AD265" s="308"/>
      <c r="AE265" s="308"/>
      <c r="AF265" s="308"/>
      <c r="AG265" s="308"/>
      <c r="AH265" s="308"/>
      <c r="AI265" s="308"/>
      <c r="AJ265" s="308"/>
      <c r="AK265" s="308"/>
      <c r="AL265" s="308"/>
      <c r="AM265" s="308"/>
      <c r="AN265" s="308"/>
      <c r="AO265" s="308"/>
      <c r="AP265" s="308"/>
      <c r="AQ265" s="308"/>
      <c r="AR265" s="308"/>
      <c r="AS265" s="308"/>
      <c r="AT265" s="308"/>
      <c r="AU265" s="308"/>
      <c r="AV265" s="308"/>
      <c r="AW265" s="308"/>
      <c r="AX265" s="308"/>
    </row>
    <row r="266" spans="16:50">
      <c r="P266" s="388"/>
      <c r="Q266" s="308"/>
      <c r="R266" s="308"/>
      <c r="S266" s="308"/>
      <c r="T266" s="308"/>
      <c r="U266" s="308"/>
      <c r="V266" s="308"/>
      <c r="W266" s="308"/>
      <c r="X266" s="308"/>
      <c r="Y266" s="308"/>
      <c r="Z266" s="308"/>
      <c r="AA266" s="308"/>
      <c r="AB266" s="308"/>
      <c r="AC266" s="308"/>
      <c r="AD266" s="308"/>
      <c r="AE266" s="308"/>
      <c r="AF266" s="308"/>
      <c r="AG266" s="308"/>
      <c r="AH266" s="308"/>
      <c r="AI266" s="308"/>
      <c r="AJ266" s="308"/>
      <c r="AK266" s="308"/>
      <c r="AL266" s="308"/>
      <c r="AM266" s="308"/>
      <c r="AN266" s="308"/>
      <c r="AO266" s="308"/>
      <c r="AP266" s="308"/>
      <c r="AQ266" s="308"/>
      <c r="AR266" s="308"/>
      <c r="AS266" s="308"/>
      <c r="AT266" s="308"/>
      <c r="AU266" s="308"/>
      <c r="AV266" s="308"/>
      <c r="AW266" s="308"/>
      <c r="AX266" s="308"/>
    </row>
    <row r="267" spans="16:50">
      <c r="P267" s="388"/>
      <c r="Q267" s="308"/>
      <c r="R267" s="308"/>
      <c r="S267" s="308"/>
      <c r="T267" s="308"/>
      <c r="U267" s="308"/>
      <c r="V267" s="308"/>
      <c r="W267" s="308"/>
      <c r="X267" s="308"/>
      <c r="Y267" s="308"/>
      <c r="Z267" s="308"/>
      <c r="AA267" s="308"/>
      <c r="AB267" s="308"/>
      <c r="AC267" s="308"/>
      <c r="AD267" s="308"/>
      <c r="AE267" s="308"/>
      <c r="AF267" s="308"/>
      <c r="AG267" s="308"/>
      <c r="AH267" s="308"/>
      <c r="AI267" s="308"/>
      <c r="AJ267" s="308"/>
      <c r="AK267" s="308"/>
      <c r="AL267" s="308"/>
      <c r="AM267" s="308"/>
      <c r="AN267" s="308"/>
      <c r="AO267" s="308"/>
      <c r="AP267" s="308"/>
      <c r="AQ267" s="308"/>
      <c r="AR267" s="308"/>
      <c r="AS267" s="308"/>
      <c r="AT267" s="308"/>
      <c r="AU267" s="308"/>
      <c r="AV267" s="308"/>
      <c r="AW267" s="308"/>
      <c r="AX267" s="308"/>
    </row>
    <row r="268" spans="16:50">
      <c r="P268" s="388"/>
      <c r="Q268" s="308"/>
      <c r="R268" s="308"/>
      <c r="S268" s="308"/>
      <c r="T268" s="308"/>
      <c r="U268" s="308"/>
      <c r="V268" s="308"/>
      <c r="W268" s="308"/>
      <c r="X268" s="308"/>
      <c r="Y268" s="308"/>
      <c r="Z268" s="308"/>
      <c r="AA268" s="308"/>
      <c r="AB268" s="308"/>
      <c r="AC268" s="308"/>
      <c r="AD268" s="308"/>
      <c r="AE268" s="308"/>
      <c r="AF268" s="308"/>
      <c r="AG268" s="308"/>
      <c r="AH268" s="308"/>
      <c r="AI268" s="308"/>
      <c r="AJ268" s="308"/>
      <c r="AK268" s="308"/>
      <c r="AL268" s="308"/>
      <c r="AM268" s="308"/>
      <c r="AN268" s="308"/>
      <c r="AO268" s="308"/>
      <c r="AP268" s="308"/>
      <c r="AQ268" s="308"/>
      <c r="AR268" s="308"/>
      <c r="AS268" s="308"/>
      <c r="AT268" s="308"/>
      <c r="AU268" s="308"/>
      <c r="AV268" s="308"/>
      <c r="AW268" s="308"/>
      <c r="AX268" s="308"/>
    </row>
    <row r="269" spans="16:50">
      <c r="P269" s="388"/>
      <c r="Q269" s="308"/>
      <c r="R269" s="308"/>
      <c r="S269" s="308"/>
      <c r="T269" s="308"/>
      <c r="U269" s="308"/>
      <c r="V269" s="308"/>
      <c r="W269" s="308"/>
      <c r="X269" s="308"/>
      <c r="Y269" s="308"/>
      <c r="Z269" s="308"/>
      <c r="AA269" s="308"/>
      <c r="AB269" s="308"/>
      <c r="AC269" s="308"/>
      <c r="AD269" s="308"/>
      <c r="AE269" s="308"/>
      <c r="AF269" s="308"/>
      <c r="AG269" s="308"/>
      <c r="AH269" s="308"/>
      <c r="AI269" s="308"/>
      <c r="AJ269" s="308"/>
      <c r="AK269" s="308"/>
      <c r="AL269" s="308"/>
      <c r="AM269" s="308"/>
      <c r="AN269" s="308"/>
      <c r="AO269" s="308"/>
      <c r="AP269" s="308"/>
      <c r="AQ269" s="308"/>
      <c r="AR269" s="308"/>
      <c r="AS269" s="308"/>
      <c r="AT269" s="308"/>
      <c r="AU269" s="308"/>
      <c r="AV269" s="308"/>
      <c r="AW269" s="308"/>
      <c r="AX269" s="308"/>
    </row>
    <row r="270" spans="16:50">
      <c r="P270" s="388"/>
      <c r="Q270" s="308"/>
      <c r="R270" s="308"/>
      <c r="S270" s="308"/>
      <c r="T270" s="308"/>
      <c r="U270" s="308"/>
      <c r="V270" s="308"/>
      <c r="W270" s="308"/>
      <c r="X270" s="308"/>
      <c r="Y270" s="308"/>
      <c r="Z270" s="308"/>
      <c r="AA270" s="308"/>
      <c r="AB270" s="308"/>
      <c r="AC270" s="308"/>
      <c r="AD270" s="308"/>
      <c r="AE270" s="308"/>
      <c r="AF270" s="308"/>
      <c r="AG270" s="308"/>
      <c r="AH270" s="308"/>
      <c r="AI270" s="308"/>
      <c r="AJ270" s="308"/>
      <c r="AK270" s="308"/>
      <c r="AL270" s="308"/>
      <c r="AM270" s="308"/>
      <c r="AN270" s="308"/>
      <c r="AO270" s="308"/>
      <c r="AP270" s="308"/>
      <c r="AQ270" s="308"/>
      <c r="AR270" s="308"/>
      <c r="AS270" s="308"/>
      <c r="AT270" s="308"/>
      <c r="AU270" s="308"/>
      <c r="AV270" s="308"/>
      <c r="AW270" s="308"/>
      <c r="AX270" s="308"/>
    </row>
    <row r="271" spans="16:50">
      <c r="P271" s="388"/>
      <c r="Q271" s="308"/>
      <c r="R271" s="308"/>
      <c r="S271" s="308"/>
      <c r="T271" s="308"/>
      <c r="U271" s="308"/>
      <c r="V271" s="308"/>
      <c r="W271" s="308"/>
      <c r="X271" s="308"/>
      <c r="Y271" s="308"/>
      <c r="Z271" s="308"/>
      <c r="AA271" s="308"/>
      <c r="AB271" s="308"/>
      <c r="AC271" s="308"/>
      <c r="AD271" s="308"/>
      <c r="AE271" s="308"/>
      <c r="AF271" s="308"/>
      <c r="AG271" s="308"/>
      <c r="AH271" s="308"/>
      <c r="AI271" s="308"/>
      <c r="AJ271" s="308"/>
      <c r="AK271" s="308"/>
      <c r="AL271" s="308"/>
      <c r="AM271" s="308"/>
      <c r="AN271" s="308"/>
      <c r="AO271" s="308"/>
      <c r="AP271" s="308"/>
      <c r="AQ271" s="308"/>
      <c r="AR271" s="308"/>
      <c r="AS271" s="308"/>
      <c r="AT271" s="308"/>
      <c r="AU271" s="308"/>
      <c r="AV271" s="308"/>
      <c r="AW271" s="308"/>
      <c r="AX271" s="308"/>
    </row>
    <row r="272" spans="16:50">
      <c r="P272" s="388"/>
      <c r="Q272" s="308"/>
      <c r="R272" s="308"/>
      <c r="S272" s="308"/>
      <c r="T272" s="308"/>
      <c r="U272" s="308"/>
      <c r="V272" s="308"/>
      <c r="W272" s="308"/>
      <c r="X272" s="308"/>
      <c r="Y272" s="308"/>
      <c r="Z272" s="308"/>
      <c r="AA272" s="308"/>
      <c r="AB272" s="308"/>
      <c r="AC272" s="308"/>
      <c r="AD272" s="308"/>
      <c r="AE272" s="308"/>
      <c r="AF272" s="308"/>
      <c r="AG272" s="308"/>
      <c r="AH272" s="308"/>
      <c r="AI272" s="308"/>
      <c r="AJ272" s="308"/>
      <c r="AK272" s="308"/>
      <c r="AL272" s="308"/>
      <c r="AM272" s="308"/>
      <c r="AN272" s="308"/>
      <c r="AO272" s="308"/>
      <c r="AP272" s="308"/>
      <c r="AQ272" s="308"/>
      <c r="AR272" s="308"/>
      <c r="AS272" s="308"/>
      <c r="AT272" s="308"/>
      <c r="AU272" s="308"/>
      <c r="AV272" s="308"/>
      <c r="AW272" s="308"/>
      <c r="AX272" s="308"/>
    </row>
    <row r="273" spans="16:50">
      <c r="P273" s="388"/>
      <c r="Q273" s="308"/>
      <c r="R273" s="308"/>
      <c r="S273" s="308"/>
      <c r="T273" s="308"/>
      <c r="U273" s="308"/>
      <c r="V273" s="308"/>
      <c r="W273" s="308"/>
      <c r="X273" s="308"/>
      <c r="Y273" s="308"/>
      <c r="Z273" s="308"/>
      <c r="AA273" s="308"/>
      <c r="AB273" s="308"/>
      <c r="AC273" s="308"/>
      <c r="AD273" s="308"/>
      <c r="AE273" s="308"/>
      <c r="AF273" s="308"/>
      <c r="AG273" s="308"/>
      <c r="AH273" s="308"/>
      <c r="AI273" s="308"/>
      <c r="AJ273" s="308"/>
      <c r="AK273" s="308"/>
      <c r="AL273" s="308"/>
      <c r="AM273" s="308"/>
      <c r="AN273" s="308"/>
      <c r="AO273" s="308"/>
      <c r="AP273" s="308"/>
      <c r="AQ273" s="308"/>
      <c r="AR273" s="308"/>
      <c r="AS273" s="308"/>
      <c r="AT273" s="308"/>
      <c r="AU273" s="308"/>
      <c r="AV273" s="308"/>
      <c r="AW273" s="308"/>
      <c r="AX273" s="308"/>
    </row>
    <row r="274" spans="16:50">
      <c r="P274" s="388"/>
      <c r="Q274" s="308"/>
      <c r="R274" s="308"/>
      <c r="S274" s="308"/>
      <c r="T274" s="308"/>
      <c r="U274" s="308"/>
      <c r="V274" s="308"/>
      <c r="W274" s="308"/>
      <c r="X274" s="308"/>
      <c r="Y274" s="308"/>
      <c r="Z274" s="308"/>
      <c r="AA274" s="308"/>
      <c r="AB274" s="308"/>
      <c r="AC274" s="308"/>
      <c r="AD274" s="308"/>
      <c r="AE274" s="308"/>
      <c r="AF274" s="308"/>
      <c r="AG274" s="308"/>
      <c r="AH274" s="308"/>
      <c r="AI274" s="308"/>
      <c r="AJ274" s="308"/>
      <c r="AK274" s="308"/>
      <c r="AL274" s="308"/>
      <c r="AM274" s="308"/>
      <c r="AN274" s="308"/>
      <c r="AO274" s="308"/>
      <c r="AP274" s="308"/>
      <c r="AQ274" s="308"/>
      <c r="AR274" s="308"/>
      <c r="AS274" s="308"/>
      <c r="AT274" s="308"/>
      <c r="AU274" s="308"/>
      <c r="AV274" s="308"/>
      <c r="AW274" s="308"/>
      <c r="AX274" s="308"/>
    </row>
    <row r="275" spans="16:50">
      <c r="P275" s="388"/>
      <c r="Q275" s="308"/>
      <c r="R275" s="308"/>
      <c r="S275" s="308"/>
      <c r="T275" s="308"/>
      <c r="U275" s="308"/>
      <c r="V275" s="308"/>
      <c r="W275" s="308"/>
      <c r="X275" s="308"/>
      <c r="Y275" s="308"/>
      <c r="Z275" s="308"/>
      <c r="AA275" s="308"/>
      <c r="AB275" s="308"/>
      <c r="AC275" s="308"/>
      <c r="AD275" s="308"/>
      <c r="AE275" s="308"/>
      <c r="AF275" s="308"/>
      <c r="AG275" s="308"/>
      <c r="AH275" s="308"/>
      <c r="AI275" s="308"/>
      <c r="AJ275" s="308"/>
      <c r="AK275" s="308"/>
      <c r="AL275" s="308"/>
      <c r="AM275" s="308"/>
      <c r="AN275" s="308"/>
      <c r="AO275" s="308"/>
      <c r="AP275" s="308"/>
      <c r="AQ275" s="308"/>
      <c r="AR275" s="308"/>
      <c r="AS275" s="308"/>
      <c r="AT275" s="308"/>
      <c r="AU275" s="308"/>
      <c r="AV275" s="308"/>
      <c r="AW275" s="308"/>
      <c r="AX275" s="308"/>
    </row>
    <row r="276" spans="16:50">
      <c r="P276" s="388"/>
      <c r="Q276" s="308"/>
      <c r="R276" s="308"/>
      <c r="S276" s="308"/>
      <c r="T276" s="308"/>
      <c r="U276" s="308"/>
      <c r="V276" s="308"/>
      <c r="W276" s="308"/>
      <c r="X276" s="308"/>
      <c r="Y276" s="308"/>
      <c r="Z276" s="308"/>
      <c r="AA276" s="308"/>
      <c r="AB276" s="308"/>
      <c r="AC276" s="308"/>
      <c r="AD276" s="308"/>
      <c r="AE276" s="308"/>
      <c r="AF276" s="308"/>
      <c r="AG276" s="308"/>
      <c r="AH276" s="308"/>
      <c r="AI276" s="308"/>
      <c r="AJ276" s="308"/>
      <c r="AK276" s="308"/>
      <c r="AL276" s="308"/>
      <c r="AM276" s="308"/>
      <c r="AN276" s="308"/>
      <c r="AO276" s="308"/>
      <c r="AP276" s="308"/>
      <c r="AQ276" s="308"/>
      <c r="AR276" s="308"/>
      <c r="AS276" s="308"/>
      <c r="AT276" s="308"/>
      <c r="AU276" s="308"/>
      <c r="AV276" s="308"/>
      <c r="AW276" s="308"/>
      <c r="AX276" s="308"/>
    </row>
    <row r="277" spans="16:50">
      <c r="P277" s="388"/>
      <c r="Q277" s="308"/>
      <c r="R277" s="308"/>
      <c r="S277" s="308"/>
      <c r="T277" s="308"/>
      <c r="U277" s="308"/>
      <c r="V277" s="308"/>
      <c r="W277" s="308"/>
      <c r="X277" s="308"/>
      <c r="Y277" s="308"/>
      <c r="Z277" s="308"/>
      <c r="AA277" s="308"/>
      <c r="AB277" s="308"/>
      <c r="AC277" s="308"/>
      <c r="AD277" s="308"/>
      <c r="AE277" s="308"/>
      <c r="AF277" s="308"/>
      <c r="AG277" s="308"/>
      <c r="AH277" s="308"/>
      <c r="AI277" s="308"/>
      <c r="AJ277" s="308"/>
      <c r="AK277" s="308"/>
      <c r="AL277" s="308"/>
      <c r="AM277" s="308"/>
      <c r="AN277" s="308"/>
      <c r="AO277" s="308"/>
      <c r="AP277" s="308"/>
      <c r="AQ277" s="308"/>
      <c r="AR277" s="308"/>
      <c r="AS277" s="308"/>
      <c r="AT277" s="308"/>
      <c r="AU277" s="308"/>
      <c r="AV277" s="308"/>
      <c r="AW277" s="308"/>
      <c r="AX277" s="308"/>
    </row>
    <row r="278" spans="16:50">
      <c r="P278" s="388"/>
      <c r="Q278" s="308"/>
      <c r="R278" s="308"/>
      <c r="S278" s="308"/>
      <c r="T278" s="308"/>
      <c r="U278" s="308"/>
      <c r="V278" s="308"/>
      <c r="W278" s="308"/>
      <c r="X278" s="308"/>
      <c r="Y278" s="308"/>
      <c r="Z278" s="308"/>
      <c r="AA278" s="308"/>
      <c r="AB278" s="308"/>
      <c r="AC278" s="308"/>
      <c r="AD278" s="308"/>
      <c r="AE278" s="308"/>
      <c r="AF278" s="308"/>
      <c r="AG278" s="308"/>
      <c r="AH278" s="308"/>
      <c r="AI278" s="308"/>
      <c r="AJ278" s="308"/>
      <c r="AK278" s="308"/>
      <c r="AL278" s="308"/>
      <c r="AM278" s="308"/>
      <c r="AN278" s="308"/>
      <c r="AO278" s="308"/>
      <c r="AP278" s="308"/>
      <c r="AQ278" s="308"/>
      <c r="AR278" s="308"/>
      <c r="AS278" s="308"/>
      <c r="AT278" s="308"/>
      <c r="AU278" s="308"/>
      <c r="AV278" s="308"/>
      <c r="AW278" s="308"/>
      <c r="AX278" s="308"/>
    </row>
    <row r="279" spans="16:50">
      <c r="P279" s="388"/>
      <c r="Q279" s="308"/>
      <c r="R279" s="308"/>
      <c r="S279" s="308"/>
      <c r="T279" s="308"/>
      <c r="U279" s="308"/>
      <c r="V279" s="308"/>
      <c r="W279" s="308"/>
      <c r="X279" s="308"/>
      <c r="Y279" s="308"/>
      <c r="Z279" s="308"/>
      <c r="AA279" s="308"/>
      <c r="AB279" s="308"/>
      <c r="AC279" s="308"/>
      <c r="AD279" s="308"/>
      <c r="AE279" s="308"/>
      <c r="AF279" s="308"/>
      <c r="AG279" s="308"/>
      <c r="AH279" s="308"/>
      <c r="AI279" s="308"/>
      <c r="AJ279" s="308"/>
      <c r="AK279" s="308"/>
      <c r="AL279" s="308"/>
      <c r="AM279" s="308"/>
      <c r="AN279" s="308"/>
      <c r="AO279" s="308"/>
      <c r="AP279" s="308"/>
      <c r="AQ279" s="308"/>
      <c r="AR279" s="308"/>
      <c r="AS279" s="308"/>
      <c r="AT279" s="308"/>
      <c r="AU279" s="308"/>
      <c r="AV279" s="308"/>
      <c r="AW279" s="308"/>
      <c r="AX279" s="308"/>
    </row>
    <row r="280" spans="16:50">
      <c r="P280" s="388"/>
      <c r="Q280" s="308"/>
      <c r="R280" s="308"/>
      <c r="S280" s="308"/>
      <c r="T280" s="308"/>
      <c r="U280" s="308"/>
      <c r="V280" s="308"/>
      <c r="W280" s="308"/>
      <c r="X280" s="308"/>
      <c r="Y280" s="308"/>
      <c r="Z280" s="308"/>
      <c r="AA280" s="308"/>
      <c r="AB280" s="308"/>
      <c r="AC280" s="308"/>
      <c r="AD280" s="308"/>
      <c r="AE280" s="308"/>
      <c r="AF280" s="308"/>
      <c r="AG280" s="308"/>
      <c r="AH280" s="308"/>
      <c r="AI280" s="308"/>
      <c r="AJ280" s="308"/>
      <c r="AK280" s="308"/>
      <c r="AL280" s="308"/>
      <c r="AM280" s="308"/>
      <c r="AN280" s="308"/>
      <c r="AO280" s="308"/>
      <c r="AP280" s="308"/>
      <c r="AQ280" s="308"/>
      <c r="AR280" s="308"/>
      <c r="AS280" s="308"/>
      <c r="AT280" s="308"/>
      <c r="AU280" s="308"/>
      <c r="AV280" s="308"/>
      <c r="AW280" s="308"/>
      <c r="AX280" s="308"/>
    </row>
    <row r="281" spans="16:50">
      <c r="P281" s="388"/>
      <c r="Q281" s="308"/>
      <c r="R281" s="308"/>
      <c r="S281" s="308"/>
      <c r="T281" s="308"/>
      <c r="U281" s="308"/>
      <c r="V281" s="308"/>
      <c r="W281" s="308"/>
      <c r="X281" s="308"/>
      <c r="Y281" s="308"/>
      <c r="Z281" s="308"/>
      <c r="AA281" s="308"/>
      <c r="AB281" s="308"/>
      <c r="AC281" s="308"/>
      <c r="AD281" s="308"/>
      <c r="AE281" s="308"/>
      <c r="AF281" s="308"/>
      <c r="AG281" s="308"/>
      <c r="AH281" s="308"/>
      <c r="AI281" s="308"/>
      <c r="AJ281" s="308"/>
      <c r="AK281" s="308"/>
      <c r="AL281" s="308"/>
      <c r="AM281" s="308"/>
      <c r="AN281" s="308"/>
      <c r="AO281" s="308"/>
      <c r="AP281" s="308"/>
      <c r="AQ281" s="308"/>
      <c r="AR281" s="308"/>
      <c r="AS281" s="308"/>
      <c r="AT281" s="308"/>
      <c r="AU281" s="308"/>
      <c r="AV281" s="308"/>
      <c r="AW281" s="308"/>
      <c r="AX281" s="308"/>
    </row>
    <row r="282" spans="16:50">
      <c r="P282" s="388"/>
      <c r="Q282" s="308"/>
      <c r="R282" s="308"/>
      <c r="S282" s="308"/>
      <c r="T282" s="308"/>
      <c r="U282" s="308"/>
      <c r="V282" s="308"/>
      <c r="W282" s="308"/>
      <c r="X282" s="308"/>
      <c r="Y282" s="308"/>
      <c r="Z282" s="308"/>
      <c r="AA282" s="308"/>
      <c r="AB282" s="308"/>
      <c r="AC282" s="308"/>
      <c r="AD282" s="308"/>
      <c r="AE282" s="308"/>
      <c r="AF282" s="308"/>
      <c r="AG282" s="308"/>
      <c r="AH282" s="308"/>
      <c r="AI282" s="308"/>
      <c r="AJ282" s="308"/>
      <c r="AK282" s="308"/>
      <c r="AL282" s="308"/>
      <c r="AM282" s="308"/>
      <c r="AN282" s="308"/>
      <c r="AO282" s="308"/>
      <c r="AP282" s="308"/>
      <c r="AQ282" s="308"/>
      <c r="AR282" s="308"/>
      <c r="AS282" s="308"/>
      <c r="AT282" s="308"/>
      <c r="AU282" s="308"/>
      <c r="AV282" s="308"/>
      <c r="AW282" s="308"/>
      <c r="AX282" s="308"/>
    </row>
    <row r="283" spans="16:50">
      <c r="P283" s="388"/>
      <c r="Q283" s="308"/>
      <c r="R283" s="308"/>
      <c r="S283" s="308"/>
      <c r="T283" s="308"/>
      <c r="U283" s="308"/>
      <c r="V283" s="308"/>
      <c r="W283" s="308"/>
      <c r="X283" s="308"/>
      <c r="Y283" s="308"/>
      <c r="Z283" s="308"/>
      <c r="AA283" s="308"/>
      <c r="AB283" s="308"/>
      <c r="AC283" s="308"/>
      <c r="AD283" s="308"/>
      <c r="AE283" s="308"/>
      <c r="AF283" s="308"/>
      <c r="AG283" s="308"/>
      <c r="AH283" s="308"/>
      <c r="AI283" s="308"/>
      <c r="AJ283" s="308"/>
      <c r="AK283" s="308"/>
      <c r="AL283" s="308"/>
      <c r="AM283" s="308"/>
      <c r="AN283" s="308"/>
      <c r="AO283" s="308"/>
      <c r="AP283" s="308"/>
      <c r="AQ283" s="308"/>
      <c r="AR283" s="308"/>
      <c r="AS283" s="308"/>
      <c r="AT283" s="308"/>
      <c r="AU283" s="308"/>
      <c r="AV283" s="308"/>
      <c r="AW283" s="308"/>
      <c r="AX283" s="308"/>
    </row>
    <row r="284" spans="16:50">
      <c r="P284" s="388"/>
      <c r="Q284" s="308"/>
      <c r="R284" s="308"/>
      <c r="S284" s="308"/>
      <c r="T284" s="308"/>
      <c r="U284" s="308"/>
      <c r="V284" s="308"/>
      <c r="W284" s="308"/>
      <c r="X284" s="308"/>
      <c r="Y284" s="308"/>
      <c r="Z284" s="308"/>
      <c r="AA284" s="308"/>
      <c r="AB284" s="308"/>
      <c r="AC284" s="308"/>
      <c r="AD284" s="308"/>
      <c r="AE284" s="308"/>
      <c r="AF284" s="308"/>
      <c r="AG284" s="308"/>
      <c r="AH284" s="308"/>
      <c r="AI284" s="308"/>
      <c r="AJ284" s="308"/>
      <c r="AK284" s="308"/>
      <c r="AL284" s="308"/>
      <c r="AM284" s="308"/>
      <c r="AN284" s="308"/>
      <c r="AO284" s="308"/>
      <c r="AP284" s="308"/>
      <c r="AQ284" s="308"/>
      <c r="AR284" s="308"/>
      <c r="AS284" s="308"/>
      <c r="AT284" s="308"/>
      <c r="AU284" s="308"/>
      <c r="AV284" s="308"/>
      <c r="AW284" s="308"/>
      <c r="AX284" s="308"/>
    </row>
    <row r="285" spans="16:50">
      <c r="P285" s="388"/>
      <c r="Q285" s="308"/>
      <c r="R285" s="308"/>
      <c r="S285" s="308"/>
      <c r="T285" s="308"/>
      <c r="U285" s="308"/>
      <c r="V285" s="308"/>
      <c r="W285" s="308"/>
      <c r="X285" s="308"/>
      <c r="Y285" s="308"/>
      <c r="Z285" s="308"/>
      <c r="AA285" s="308"/>
      <c r="AB285" s="308"/>
      <c r="AC285" s="308"/>
      <c r="AD285" s="308"/>
      <c r="AE285" s="308"/>
      <c r="AF285" s="308"/>
      <c r="AG285" s="308"/>
      <c r="AH285" s="308"/>
      <c r="AI285" s="308"/>
      <c r="AJ285" s="308"/>
      <c r="AK285" s="308"/>
      <c r="AL285" s="308"/>
      <c r="AM285" s="308"/>
      <c r="AN285" s="308"/>
      <c r="AO285" s="308"/>
      <c r="AP285" s="308"/>
      <c r="AQ285" s="308"/>
      <c r="AR285" s="308"/>
      <c r="AS285" s="308"/>
      <c r="AT285" s="308"/>
      <c r="AU285" s="308"/>
      <c r="AV285" s="308"/>
      <c r="AW285" s="308"/>
      <c r="AX285" s="308"/>
    </row>
    <row r="286" spans="16:50">
      <c r="P286" s="388"/>
      <c r="Q286" s="308"/>
      <c r="R286" s="308"/>
      <c r="S286" s="308"/>
      <c r="T286" s="308"/>
      <c r="U286" s="308"/>
      <c r="V286" s="308"/>
      <c r="W286" s="308"/>
      <c r="X286" s="308"/>
      <c r="Y286" s="308"/>
      <c r="Z286" s="308"/>
      <c r="AA286" s="308"/>
      <c r="AB286" s="308"/>
      <c r="AC286" s="308"/>
      <c r="AD286" s="308"/>
      <c r="AE286" s="308"/>
      <c r="AF286" s="308"/>
      <c r="AG286" s="308"/>
      <c r="AH286" s="308"/>
      <c r="AI286" s="308"/>
      <c r="AJ286" s="308"/>
      <c r="AK286" s="308"/>
      <c r="AL286" s="308"/>
      <c r="AM286" s="308"/>
      <c r="AN286" s="308"/>
      <c r="AO286" s="308"/>
      <c r="AP286" s="308"/>
      <c r="AQ286" s="308"/>
      <c r="AR286" s="308"/>
      <c r="AS286" s="308"/>
      <c r="AT286" s="308"/>
      <c r="AU286" s="308"/>
      <c r="AV286" s="308"/>
      <c r="AW286" s="308"/>
      <c r="AX286" s="308"/>
    </row>
    <row r="287" spans="16:50">
      <c r="P287" s="388"/>
      <c r="Q287" s="308"/>
      <c r="R287" s="308"/>
      <c r="S287" s="308"/>
      <c r="T287" s="308"/>
      <c r="U287" s="308"/>
      <c r="V287" s="308"/>
      <c r="W287" s="308"/>
      <c r="X287" s="308"/>
      <c r="Y287" s="308"/>
      <c r="Z287" s="308"/>
      <c r="AA287" s="308"/>
      <c r="AB287" s="308"/>
      <c r="AC287" s="308"/>
      <c r="AD287" s="308"/>
      <c r="AE287" s="308"/>
      <c r="AF287" s="308"/>
      <c r="AG287" s="308"/>
      <c r="AH287" s="308"/>
      <c r="AI287" s="308"/>
      <c r="AJ287" s="308"/>
      <c r="AK287" s="308"/>
      <c r="AL287" s="308"/>
      <c r="AM287" s="308"/>
      <c r="AN287" s="308"/>
      <c r="AO287" s="308"/>
      <c r="AP287" s="308"/>
      <c r="AQ287" s="308"/>
      <c r="AR287" s="308"/>
      <c r="AS287" s="308"/>
      <c r="AT287" s="308"/>
      <c r="AU287" s="308"/>
      <c r="AV287" s="308"/>
      <c r="AW287" s="308"/>
      <c r="AX287" s="308"/>
    </row>
    <row r="288" spans="16:50">
      <c r="P288" s="388"/>
      <c r="Q288" s="308"/>
      <c r="R288" s="308"/>
      <c r="S288" s="308"/>
      <c r="T288" s="308"/>
      <c r="U288" s="308"/>
      <c r="V288" s="308"/>
      <c r="W288" s="308"/>
      <c r="X288" s="308"/>
      <c r="Y288" s="308"/>
      <c r="Z288" s="308"/>
      <c r="AA288" s="308"/>
      <c r="AB288" s="308"/>
      <c r="AC288" s="308"/>
      <c r="AD288" s="308"/>
      <c r="AE288" s="308"/>
      <c r="AF288" s="308"/>
      <c r="AG288" s="308"/>
      <c r="AH288" s="308"/>
      <c r="AI288" s="308"/>
      <c r="AJ288" s="308"/>
      <c r="AK288" s="308"/>
      <c r="AL288" s="308"/>
      <c r="AM288" s="308"/>
      <c r="AN288" s="308"/>
      <c r="AO288" s="308"/>
      <c r="AP288" s="308"/>
      <c r="AQ288" s="308"/>
      <c r="AR288" s="308"/>
      <c r="AS288" s="308"/>
      <c r="AT288" s="308"/>
      <c r="AU288" s="308"/>
      <c r="AV288" s="308"/>
      <c r="AW288" s="308"/>
      <c r="AX288" s="308"/>
    </row>
    <row r="289" spans="16:50">
      <c r="P289" s="388"/>
      <c r="Q289" s="308"/>
      <c r="R289" s="308"/>
      <c r="S289" s="308"/>
      <c r="T289" s="308"/>
      <c r="U289" s="308"/>
      <c r="V289" s="308"/>
      <c r="W289" s="308"/>
      <c r="X289" s="308"/>
      <c r="Y289" s="308"/>
      <c r="Z289" s="308"/>
      <c r="AA289" s="308"/>
      <c r="AB289" s="308"/>
      <c r="AC289" s="308"/>
      <c r="AD289" s="308"/>
      <c r="AE289" s="308"/>
      <c r="AF289" s="308"/>
      <c r="AG289" s="308"/>
      <c r="AH289" s="308"/>
      <c r="AI289" s="308"/>
      <c r="AJ289" s="308"/>
      <c r="AK289" s="308"/>
      <c r="AL289" s="308"/>
      <c r="AM289" s="308"/>
      <c r="AN289" s="308"/>
      <c r="AO289" s="308"/>
      <c r="AP289" s="308"/>
      <c r="AQ289" s="308"/>
      <c r="AR289" s="308"/>
      <c r="AS289" s="308"/>
      <c r="AT289" s="308"/>
      <c r="AU289" s="308"/>
      <c r="AV289" s="308"/>
      <c r="AW289" s="308"/>
      <c r="AX289" s="308"/>
    </row>
    <row r="290" spans="16:50">
      <c r="P290" s="388"/>
      <c r="Q290" s="308"/>
      <c r="R290" s="308"/>
      <c r="S290" s="308"/>
      <c r="T290" s="308"/>
      <c r="U290" s="308"/>
      <c r="V290" s="308"/>
      <c r="W290" s="308"/>
      <c r="X290" s="308"/>
      <c r="Y290" s="308"/>
      <c r="Z290" s="308"/>
      <c r="AA290" s="308"/>
      <c r="AB290" s="308"/>
      <c r="AC290" s="308"/>
      <c r="AD290" s="308"/>
      <c r="AE290" s="308"/>
      <c r="AF290" s="308"/>
      <c r="AG290" s="308"/>
      <c r="AH290" s="308"/>
      <c r="AI290" s="308"/>
      <c r="AJ290" s="308"/>
      <c r="AK290" s="308"/>
      <c r="AL290" s="308"/>
      <c r="AM290" s="308"/>
      <c r="AN290" s="308"/>
      <c r="AO290" s="308"/>
      <c r="AP290" s="308"/>
      <c r="AQ290" s="308"/>
      <c r="AR290" s="308"/>
      <c r="AS290" s="308"/>
      <c r="AT290" s="308"/>
      <c r="AU290" s="308"/>
      <c r="AV290" s="308"/>
      <c r="AW290" s="308"/>
      <c r="AX290" s="308"/>
    </row>
    <row r="291" spans="16:50">
      <c r="P291" s="388"/>
      <c r="Q291" s="308"/>
      <c r="R291" s="308"/>
      <c r="S291" s="308"/>
      <c r="T291" s="308"/>
      <c r="U291" s="308"/>
      <c r="V291" s="308"/>
      <c r="W291" s="308"/>
      <c r="X291" s="308"/>
      <c r="Y291" s="308"/>
      <c r="Z291" s="308"/>
      <c r="AA291" s="308"/>
      <c r="AB291" s="308"/>
      <c r="AC291" s="308"/>
      <c r="AD291" s="308"/>
      <c r="AE291" s="308"/>
      <c r="AF291" s="308"/>
      <c r="AG291" s="308"/>
      <c r="AH291" s="308"/>
      <c r="AI291" s="308"/>
      <c r="AJ291" s="308"/>
      <c r="AK291" s="308"/>
      <c r="AL291" s="308"/>
      <c r="AM291" s="308"/>
      <c r="AN291" s="308"/>
      <c r="AO291" s="308"/>
      <c r="AP291" s="308"/>
      <c r="AQ291" s="308"/>
      <c r="AR291" s="308"/>
      <c r="AS291" s="308"/>
      <c r="AT291" s="308"/>
      <c r="AU291" s="308"/>
      <c r="AV291" s="308"/>
      <c r="AW291" s="308"/>
      <c r="AX291" s="308"/>
    </row>
    <row r="292" spans="16:50">
      <c r="P292" s="388"/>
      <c r="Q292" s="308"/>
      <c r="R292" s="308"/>
      <c r="S292" s="308"/>
      <c r="T292" s="308"/>
      <c r="U292" s="308"/>
      <c r="V292" s="308"/>
      <c r="W292" s="308"/>
      <c r="X292" s="308"/>
      <c r="Y292" s="308"/>
      <c r="Z292" s="308"/>
      <c r="AA292" s="308"/>
      <c r="AB292" s="308"/>
      <c r="AC292" s="308"/>
      <c r="AD292" s="308"/>
      <c r="AE292" s="308"/>
      <c r="AF292" s="308"/>
      <c r="AG292" s="308"/>
      <c r="AH292" s="308"/>
      <c r="AI292" s="308"/>
      <c r="AJ292" s="308"/>
      <c r="AK292" s="308"/>
      <c r="AL292" s="308"/>
      <c r="AM292" s="308"/>
      <c r="AN292" s="308"/>
      <c r="AO292" s="308"/>
      <c r="AP292" s="308"/>
      <c r="AQ292" s="308"/>
      <c r="AR292" s="308"/>
      <c r="AS292" s="308"/>
      <c r="AT292" s="308"/>
      <c r="AU292" s="308"/>
      <c r="AV292" s="308"/>
      <c r="AW292" s="308"/>
      <c r="AX292" s="308"/>
    </row>
    <row r="293" spans="16:50">
      <c r="P293" s="388"/>
      <c r="Q293" s="308"/>
      <c r="R293" s="308"/>
      <c r="S293" s="308"/>
      <c r="T293" s="308"/>
      <c r="U293" s="308"/>
      <c r="V293" s="308"/>
      <c r="W293" s="308"/>
      <c r="X293" s="308"/>
      <c r="Y293" s="308"/>
      <c r="Z293" s="308"/>
      <c r="AA293" s="308"/>
      <c r="AB293" s="308"/>
      <c r="AC293" s="308"/>
      <c r="AD293" s="308"/>
      <c r="AE293" s="308"/>
      <c r="AF293" s="308"/>
      <c r="AG293" s="308"/>
      <c r="AH293" s="308"/>
      <c r="AI293" s="308"/>
      <c r="AJ293" s="308"/>
      <c r="AK293" s="308"/>
      <c r="AL293" s="308"/>
      <c r="AM293" s="308"/>
      <c r="AN293" s="308"/>
      <c r="AO293" s="308"/>
      <c r="AP293" s="308"/>
      <c r="AQ293" s="308"/>
      <c r="AR293" s="308"/>
      <c r="AS293" s="308"/>
      <c r="AT293" s="308"/>
      <c r="AU293" s="308"/>
      <c r="AV293" s="308"/>
      <c r="AW293" s="308"/>
      <c r="AX293" s="308"/>
    </row>
    <row r="294" spans="16:50">
      <c r="P294" s="388"/>
      <c r="Q294" s="308"/>
      <c r="R294" s="308"/>
      <c r="S294" s="308"/>
      <c r="T294" s="308"/>
      <c r="U294" s="308"/>
      <c r="V294" s="308"/>
      <c r="W294" s="308"/>
      <c r="X294" s="308"/>
      <c r="Y294" s="308"/>
      <c r="Z294" s="308"/>
      <c r="AA294" s="308"/>
      <c r="AB294" s="308"/>
      <c r="AC294" s="308"/>
      <c r="AD294" s="308"/>
      <c r="AE294" s="308"/>
      <c r="AF294" s="308"/>
      <c r="AG294" s="308"/>
      <c r="AH294" s="308"/>
      <c r="AI294" s="308"/>
      <c r="AJ294" s="308"/>
      <c r="AK294" s="308"/>
      <c r="AL294" s="308"/>
      <c r="AM294" s="308"/>
      <c r="AN294" s="308"/>
      <c r="AO294" s="308"/>
      <c r="AP294" s="308"/>
      <c r="AQ294" s="308"/>
      <c r="AR294" s="308"/>
      <c r="AS294" s="308"/>
      <c r="AT294" s="308"/>
      <c r="AU294" s="308"/>
      <c r="AV294" s="308"/>
      <c r="AW294" s="308"/>
      <c r="AX294" s="308"/>
    </row>
    <row r="295" spans="16:50">
      <c r="P295" s="388"/>
      <c r="Q295" s="308"/>
      <c r="R295" s="308"/>
      <c r="S295" s="308"/>
      <c r="T295" s="308"/>
      <c r="U295" s="308"/>
      <c r="V295" s="308"/>
      <c r="W295" s="308"/>
      <c r="X295" s="308"/>
      <c r="Y295" s="308"/>
      <c r="Z295" s="308"/>
      <c r="AA295" s="308"/>
      <c r="AB295" s="308"/>
      <c r="AC295" s="308"/>
      <c r="AD295" s="308"/>
      <c r="AE295" s="308"/>
      <c r="AF295" s="308"/>
      <c r="AG295" s="308"/>
      <c r="AH295" s="308"/>
      <c r="AI295" s="308"/>
      <c r="AJ295" s="308"/>
      <c r="AK295" s="308"/>
      <c r="AL295" s="308"/>
      <c r="AM295" s="308"/>
      <c r="AN295" s="308"/>
      <c r="AO295" s="308"/>
      <c r="AP295" s="308"/>
      <c r="AQ295" s="308"/>
      <c r="AR295" s="308"/>
      <c r="AS295" s="308"/>
      <c r="AT295" s="308"/>
      <c r="AU295" s="308"/>
      <c r="AV295" s="308"/>
      <c r="AW295" s="308"/>
      <c r="AX295" s="308"/>
    </row>
    <row r="296" spans="16:50">
      <c r="P296" s="388"/>
      <c r="Q296" s="308"/>
      <c r="R296" s="308"/>
      <c r="S296" s="308"/>
      <c r="T296" s="308"/>
      <c r="U296" s="308"/>
      <c r="V296" s="308"/>
      <c r="W296" s="308"/>
      <c r="X296" s="308"/>
      <c r="Y296" s="308"/>
      <c r="Z296" s="308"/>
      <c r="AA296" s="308"/>
      <c r="AB296" s="308"/>
      <c r="AC296" s="308"/>
      <c r="AD296" s="308"/>
      <c r="AE296" s="308"/>
      <c r="AF296" s="308"/>
      <c r="AG296" s="308"/>
      <c r="AH296" s="308"/>
      <c r="AI296" s="308"/>
      <c r="AJ296" s="308"/>
      <c r="AK296" s="308"/>
      <c r="AL296" s="308"/>
      <c r="AM296" s="308"/>
      <c r="AN296" s="308"/>
      <c r="AO296" s="308"/>
      <c r="AP296" s="308"/>
      <c r="AQ296" s="308"/>
      <c r="AR296" s="308"/>
      <c r="AS296" s="308"/>
      <c r="AT296" s="308"/>
      <c r="AU296" s="308"/>
      <c r="AV296" s="308"/>
      <c r="AW296" s="308"/>
      <c r="AX296" s="308"/>
    </row>
    <row r="297" spans="16:50">
      <c r="P297" s="388"/>
      <c r="Q297" s="308"/>
      <c r="R297" s="308"/>
      <c r="S297" s="308"/>
      <c r="T297" s="308"/>
      <c r="U297" s="308"/>
      <c r="V297" s="308"/>
      <c r="W297" s="308"/>
      <c r="X297" s="308"/>
      <c r="Y297" s="308"/>
      <c r="Z297" s="308"/>
      <c r="AA297" s="308"/>
      <c r="AB297" s="308"/>
      <c r="AC297" s="308"/>
      <c r="AD297" s="308"/>
      <c r="AE297" s="308"/>
      <c r="AF297" s="308"/>
      <c r="AG297" s="308"/>
      <c r="AH297" s="308"/>
      <c r="AI297" s="308"/>
      <c r="AJ297" s="308"/>
      <c r="AK297" s="308"/>
      <c r="AL297" s="308"/>
      <c r="AM297" s="308"/>
      <c r="AN297" s="308"/>
      <c r="AO297" s="308"/>
      <c r="AP297" s="308"/>
      <c r="AQ297" s="308"/>
      <c r="AR297" s="308"/>
      <c r="AS297" s="308"/>
      <c r="AT297" s="308"/>
      <c r="AU297" s="308"/>
      <c r="AV297" s="308"/>
      <c r="AW297" s="308"/>
      <c r="AX297" s="308"/>
    </row>
    <row r="298" spans="16:50">
      <c r="P298" s="388"/>
      <c r="Q298" s="308"/>
      <c r="R298" s="308"/>
      <c r="S298" s="308"/>
      <c r="T298" s="308"/>
      <c r="U298" s="308"/>
      <c r="V298" s="308"/>
      <c r="W298" s="308"/>
      <c r="X298" s="308"/>
      <c r="Y298" s="308"/>
      <c r="Z298" s="308"/>
      <c r="AA298" s="308"/>
      <c r="AB298" s="308"/>
      <c r="AC298" s="308"/>
      <c r="AD298" s="308"/>
      <c r="AE298" s="308"/>
      <c r="AF298" s="308"/>
      <c r="AG298" s="308"/>
      <c r="AH298" s="308"/>
      <c r="AI298" s="308"/>
      <c r="AJ298" s="308"/>
      <c r="AK298" s="308"/>
      <c r="AL298" s="308"/>
      <c r="AM298" s="308"/>
      <c r="AN298" s="308"/>
      <c r="AO298" s="308"/>
      <c r="AP298" s="308"/>
      <c r="AQ298" s="308"/>
      <c r="AR298" s="308"/>
      <c r="AS298" s="308"/>
      <c r="AT298" s="308"/>
      <c r="AU298" s="308"/>
      <c r="AV298" s="308"/>
      <c r="AW298" s="308"/>
      <c r="AX298" s="308"/>
    </row>
    <row r="299" spans="16:50">
      <c r="P299" s="388"/>
      <c r="Q299" s="308"/>
      <c r="R299" s="308"/>
      <c r="S299" s="308"/>
      <c r="T299" s="308"/>
      <c r="U299" s="308"/>
      <c r="V299" s="308"/>
      <c r="W299" s="308"/>
      <c r="X299" s="308"/>
      <c r="Y299" s="308"/>
      <c r="Z299" s="308"/>
      <c r="AA299" s="308"/>
      <c r="AB299" s="308"/>
      <c r="AC299" s="308"/>
      <c r="AD299" s="308"/>
      <c r="AE299" s="308"/>
      <c r="AF299" s="308"/>
      <c r="AG299" s="308"/>
      <c r="AH299" s="308"/>
      <c r="AI299" s="308"/>
      <c r="AJ299" s="308"/>
      <c r="AK299" s="308"/>
      <c r="AL299" s="308"/>
      <c r="AM299" s="308"/>
      <c r="AN299" s="308"/>
      <c r="AO299" s="308"/>
      <c r="AP299" s="308"/>
      <c r="AQ299" s="308"/>
      <c r="AR299" s="308"/>
      <c r="AS299" s="308"/>
      <c r="AT299" s="308"/>
      <c r="AU299" s="308"/>
      <c r="AV299" s="308"/>
      <c r="AW299" s="308"/>
      <c r="AX299" s="308"/>
    </row>
    <row r="300" spans="16:50">
      <c r="P300" s="388"/>
      <c r="Q300" s="308"/>
      <c r="R300" s="308"/>
      <c r="S300" s="308"/>
      <c r="T300" s="308"/>
      <c r="U300" s="308"/>
      <c r="V300" s="308"/>
      <c r="W300" s="308"/>
      <c r="X300" s="308"/>
      <c r="Y300" s="308"/>
      <c r="Z300" s="308"/>
      <c r="AA300" s="308"/>
      <c r="AB300" s="308"/>
      <c r="AC300" s="308"/>
      <c r="AD300" s="308"/>
      <c r="AE300" s="308"/>
      <c r="AF300" s="308"/>
      <c r="AG300" s="308"/>
      <c r="AH300" s="308"/>
      <c r="AI300" s="308"/>
      <c r="AJ300" s="308"/>
      <c r="AK300" s="308"/>
      <c r="AL300" s="308"/>
      <c r="AM300" s="308"/>
      <c r="AN300" s="308"/>
      <c r="AO300" s="308"/>
      <c r="AP300" s="308"/>
      <c r="AQ300" s="308"/>
      <c r="AR300" s="308"/>
      <c r="AS300" s="308"/>
      <c r="AT300" s="308"/>
      <c r="AU300" s="308"/>
      <c r="AV300" s="308"/>
      <c r="AW300" s="308"/>
      <c r="AX300" s="308"/>
    </row>
    <row r="301" spans="16:50">
      <c r="P301" s="388"/>
      <c r="Q301" s="308"/>
      <c r="R301" s="308"/>
      <c r="S301" s="308"/>
      <c r="T301" s="308"/>
      <c r="U301" s="308"/>
      <c r="V301" s="308"/>
      <c r="W301" s="308"/>
      <c r="X301" s="308"/>
      <c r="Y301" s="308"/>
      <c r="Z301" s="308"/>
      <c r="AA301" s="308"/>
      <c r="AB301" s="308"/>
      <c r="AC301" s="308"/>
      <c r="AD301" s="308"/>
      <c r="AE301" s="308"/>
      <c r="AF301" s="308"/>
      <c r="AG301" s="308"/>
      <c r="AH301" s="308"/>
      <c r="AI301" s="308"/>
      <c r="AJ301" s="308"/>
      <c r="AK301" s="308"/>
      <c r="AL301" s="308"/>
      <c r="AM301" s="308"/>
      <c r="AN301" s="308"/>
      <c r="AO301" s="308"/>
      <c r="AP301" s="308"/>
      <c r="AQ301" s="308"/>
      <c r="AR301" s="308"/>
      <c r="AS301" s="308"/>
      <c r="AT301" s="308"/>
      <c r="AU301" s="308"/>
      <c r="AV301" s="308"/>
      <c r="AW301" s="308"/>
      <c r="AX301" s="308"/>
    </row>
    <row r="302" spans="16:50">
      <c r="P302" s="388"/>
      <c r="Q302" s="308"/>
      <c r="R302" s="308"/>
      <c r="S302" s="308"/>
      <c r="T302" s="308"/>
      <c r="U302" s="308"/>
      <c r="V302" s="308"/>
      <c r="W302" s="308"/>
      <c r="X302" s="308"/>
      <c r="Y302" s="308"/>
      <c r="Z302" s="308"/>
      <c r="AA302" s="308"/>
      <c r="AB302" s="308"/>
      <c r="AC302" s="308"/>
      <c r="AD302" s="308"/>
      <c r="AE302" s="308"/>
      <c r="AF302" s="308"/>
      <c r="AG302" s="308"/>
      <c r="AH302" s="308"/>
      <c r="AI302" s="308"/>
      <c r="AJ302" s="308"/>
      <c r="AK302" s="308"/>
      <c r="AL302" s="308"/>
      <c r="AM302" s="308"/>
      <c r="AN302" s="308"/>
      <c r="AO302" s="308"/>
      <c r="AP302" s="308"/>
      <c r="AQ302" s="308"/>
      <c r="AR302" s="308"/>
      <c r="AS302" s="308"/>
      <c r="AT302" s="308"/>
      <c r="AU302" s="308"/>
      <c r="AV302" s="308"/>
      <c r="AW302" s="308"/>
      <c r="AX302" s="308"/>
    </row>
    <row r="303" spans="16:50">
      <c r="P303" s="388"/>
      <c r="Q303" s="308"/>
      <c r="R303" s="308"/>
      <c r="S303" s="308"/>
      <c r="T303" s="308"/>
      <c r="U303" s="308"/>
      <c r="V303" s="308"/>
      <c r="W303" s="308"/>
      <c r="X303" s="308"/>
      <c r="Y303" s="308"/>
      <c r="Z303" s="308"/>
      <c r="AA303" s="308"/>
      <c r="AB303" s="308"/>
      <c r="AC303" s="308"/>
      <c r="AD303" s="308"/>
      <c r="AE303" s="308"/>
      <c r="AF303" s="308"/>
      <c r="AG303" s="308"/>
      <c r="AH303" s="308"/>
      <c r="AI303" s="308"/>
      <c r="AJ303" s="308"/>
      <c r="AK303" s="308"/>
      <c r="AL303" s="308"/>
      <c r="AM303" s="308"/>
      <c r="AN303" s="308"/>
      <c r="AO303" s="308"/>
      <c r="AP303" s="308"/>
      <c r="AQ303" s="308"/>
      <c r="AR303" s="308"/>
      <c r="AS303" s="308"/>
      <c r="AT303" s="308"/>
      <c r="AU303" s="308"/>
      <c r="AV303" s="308"/>
      <c r="AW303" s="308"/>
      <c r="AX303" s="308"/>
    </row>
    <row r="304" spans="16:50">
      <c r="P304" s="388"/>
      <c r="Q304" s="308"/>
      <c r="R304" s="308"/>
      <c r="S304" s="308"/>
      <c r="T304" s="308"/>
      <c r="U304" s="308"/>
      <c r="V304" s="308"/>
      <c r="W304" s="308"/>
      <c r="X304" s="308"/>
      <c r="Y304" s="308"/>
      <c r="Z304" s="308"/>
      <c r="AA304" s="308"/>
      <c r="AB304" s="308"/>
      <c r="AC304" s="308"/>
      <c r="AD304" s="308"/>
      <c r="AE304" s="308"/>
      <c r="AF304" s="308"/>
      <c r="AG304" s="308"/>
      <c r="AH304" s="308"/>
      <c r="AI304" s="308"/>
      <c r="AJ304" s="308"/>
      <c r="AK304" s="308"/>
      <c r="AL304" s="308"/>
      <c r="AM304" s="308"/>
      <c r="AN304" s="308"/>
      <c r="AO304" s="308"/>
      <c r="AP304" s="308"/>
      <c r="AQ304" s="308"/>
      <c r="AR304" s="308"/>
      <c r="AS304" s="308"/>
      <c r="AT304" s="308"/>
      <c r="AU304" s="308"/>
      <c r="AV304" s="308"/>
      <c r="AW304" s="308"/>
      <c r="AX304" s="308"/>
    </row>
    <row r="305" spans="16:50">
      <c r="P305" s="388"/>
      <c r="Q305" s="308"/>
      <c r="R305" s="308"/>
      <c r="S305" s="308"/>
      <c r="T305" s="308"/>
      <c r="U305" s="308"/>
      <c r="V305" s="308"/>
      <c r="W305" s="308"/>
      <c r="X305" s="308"/>
      <c r="Y305" s="308"/>
      <c r="Z305" s="308"/>
      <c r="AA305" s="308"/>
      <c r="AB305" s="308"/>
      <c r="AC305" s="308"/>
      <c r="AD305" s="308"/>
      <c r="AE305" s="308"/>
      <c r="AF305" s="308"/>
      <c r="AG305" s="308"/>
      <c r="AH305" s="308"/>
      <c r="AI305" s="308"/>
      <c r="AJ305" s="308"/>
      <c r="AK305" s="308"/>
      <c r="AL305" s="308"/>
      <c r="AM305" s="308"/>
      <c r="AN305" s="308"/>
      <c r="AO305" s="308"/>
      <c r="AP305" s="308"/>
      <c r="AQ305" s="308"/>
      <c r="AR305" s="308"/>
      <c r="AS305" s="308"/>
      <c r="AT305" s="308"/>
      <c r="AU305" s="308"/>
      <c r="AV305" s="308"/>
      <c r="AW305" s="308"/>
      <c r="AX305" s="308"/>
    </row>
    <row r="306" spans="16:50">
      <c r="P306" s="388"/>
      <c r="Q306" s="308"/>
      <c r="R306" s="308"/>
      <c r="S306" s="308"/>
      <c r="T306" s="308"/>
      <c r="U306" s="308"/>
      <c r="V306" s="308"/>
      <c r="W306" s="308"/>
      <c r="X306" s="308"/>
      <c r="Y306" s="308"/>
      <c r="Z306" s="308"/>
      <c r="AA306" s="308"/>
      <c r="AB306" s="308"/>
      <c r="AC306" s="308"/>
      <c r="AD306" s="308"/>
      <c r="AE306" s="308"/>
      <c r="AF306" s="308"/>
      <c r="AG306" s="308"/>
      <c r="AH306" s="308"/>
      <c r="AI306" s="308"/>
      <c r="AJ306" s="308"/>
      <c r="AK306" s="308"/>
      <c r="AL306" s="308"/>
      <c r="AM306" s="308"/>
      <c r="AN306" s="308"/>
      <c r="AO306" s="308"/>
      <c r="AP306" s="308"/>
      <c r="AQ306" s="308"/>
      <c r="AR306" s="308"/>
      <c r="AS306" s="308"/>
      <c r="AT306" s="308"/>
      <c r="AU306" s="308"/>
      <c r="AV306" s="308"/>
      <c r="AW306" s="308"/>
      <c r="AX306" s="308"/>
    </row>
    <row r="307" spans="16:50">
      <c r="P307" s="388"/>
      <c r="Q307" s="308"/>
      <c r="R307" s="308"/>
      <c r="S307" s="308"/>
      <c r="T307" s="308"/>
      <c r="U307" s="308"/>
      <c r="V307" s="308"/>
      <c r="W307" s="308"/>
      <c r="X307" s="308"/>
      <c r="Y307" s="308"/>
      <c r="Z307" s="308"/>
      <c r="AA307" s="308"/>
      <c r="AB307" s="308"/>
      <c r="AC307" s="308"/>
      <c r="AD307" s="308"/>
      <c r="AE307" s="308"/>
      <c r="AF307" s="308"/>
      <c r="AG307" s="308"/>
      <c r="AH307" s="308"/>
      <c r="AI307" s="308"/>
      <c r="AJ307" s="308"/>
      <c r="AK307" s="308"/>
      <c r="AL307" s="308"/>
      <c r="AM307" s="308"/>
      <c r="AN307" s="308"/>
      <c r="AO307" s="308"/>
      <c r="AP307" s="308"/>
      <c r="AQ307" s="308"/>
      <c r="AR307" s="308"/>
      <c r="AS307" s="308"/>
      <c r="AT307" s="308"/>
      <c r="AU307" s="308"/>
      <c r="AV307" s="308"/>
      <c r="AW307" s="308"/>
      <c r="AX307" s="308"/>
    </row>
    <row r="308" spans="16:50">
      <c r="P308" s="388"/>
      <c r="Q308" s="308"/>
      <c r="R308" s="308"/>
      <c r="S308" s="308"/>
      <c r="T308" s="308"/>
      <c r="U308" s="308"/>
      <c r="V308" s="308"/>
      <c r="W308" s="308"/>
      <c r="X308" s="308"/>
      <c r="Y308" s="308"/>
      <c r="Z308" s="308"/>
      <c r="AA308" s="308"/>
      <c r="AB308" s="308"/>
      <c r="AC308" s="308"/>
      <c r="AD308" s="308"/>
      <c r="AE308" s="308"/>
      <c r="AF308" s="308"/>
      <c r="AG308" s="308"/>
      <c r="AH308" s="308"/>
      <c r="AI308" s="308"/>
      <c r="AJ308" s="308"/>
      <c r="AK308" s="308"/>
      <c r="AL308" s="308"/>
      <c r="AM308" s="308"/>
      <c r="AN308" s="308"/>
      <c r="AO308" s="308"/>
      <c r="AP308" s="308"/>
      <c r="AQ308" s="308"/>
      <c r="AR308" s="308"/>
      <c r="AS308" s="308"/>
      <c r="AT308" s="308"/>
      <c r="AU308" s="308"/>
      <c r="AV308" s="308"/>
      <c r="AW308" s="308"/>
      <c r="AX308" s="308"/>
    </row>
    <row r="309" spans="16:50">
      <c r="P309" s="388"/>
      <c r="Q309" s="308"/>
      <c r="R309" s="308"/>
      <c r="S309" s="308"/>
      <c r="T309" s="308"/>
      <c r="U309" s="308"/>
      <c r="V309" s="308"/>
      <c r="W309" s="308"/>
      <c r="X309" s="308"/>
      <c r="Y309" s="308"/>
      <c r="Z309" s="308"/>
      <c r="AA309" s="308"/>
      <c r="AB309" s="308"/>
      <c r="AC309" s="308"/>
      <c r="AD309" s="308"/>
      <c r="AE309" s="308"/>
      <c r="AF309" s="308"/>
      <c r="AG309" s="308"/>
      <c r="AH309" s="308"/>
      <c r="AI309" s="308"/>
      <c r="AJ309" s="308"/>
      <c r="AK309" s="308"/>
      <c r="AL309" s="308"/>
      <c r="AM309" s="308"/>
      <c r="AN309" s="308"/>
      <c r="AO309" s="308"/>
      <c r="AP309" s="308"/>
      <c r="AQ309" s="308"/>
      <c r="AR309" s="308"/>
      <c r="AS309" s="308"/>
      <c r="AT309" s="308"/>
      <c r="AU309" s="308"/>
      <c r="AV309" s="308"/>
      <c r="AW309" s="308"/>
      <c r="AX309" s="308"/>
    </row>
    <row r="310" spans="16:50">
      <c r="P310" s="388"/>
      <c r="Q310" s="308"/>
      <c r="R310" s="308"/>
      <c r="S310" s="308"/>
      <c r="T310" s="308"/>
      <c r="U310" s="308"/>
      <c r="V310" s="308"/>
      <c r="W310" s="308"/>
      <c r="X310" s="308"/>
      <c r="Y310" s="308"/>
      <c r="Z310" s="308"/>
      <c r="AA310" s="308"/>
      <c r="AB310" s="308"/>
      <c r="AC310" s="308"/>
      <c r="AD310" s="308"/>
      <c r="AE310" s="308"/>
      <c r="AF310" s="308"/>
      <c r="AG310" s="308"/>
      <c r="AH310" s="308"/>
      <c r="AI310" s="308"/>
      <c r="AJ310" s="308"/>
      <c r="AK310" s="308"/>
      <c r="AL310" s="308"/>
      <c r="AM310" s="308"/>
      <c r="AN310" s="308"/>
      <c r="AO310" s="308"/>
      <c r="AP310" s="308"/>
      <c r="AQ310" s="308"/>
      <c r="AR310" s="308"/>
      <c r="AS310" s="308"/>
      <c r="AT310" s="308"/>
      <c r="AU310" s="308"/>
      <c r="AV310" s="308"/>
      <c r="AW310" s="308"/>
      <c r="AX310" s="308"/>
    </row>
    <row r="311" spans="16:50">
      <c r="P311" s="388"/>
      <c r="Q311" s="308"/>
      <c r="R311" s="308"/>
      <c r="S311" s="308"/>
      <c r="T311" s="308"/>
      <c r="U311" s="308"/>
      <c r="V311" s="308"/>
      <c r="W311" s="308"/>
      <c r="X311" s="308"/>
      <c r="Y311" s="308"/>
      <c r="Z311" s="308"/>
      <c r="AA311" s="308"/>
      <c r="AB311" s="308"/>
      <c r="AC311" s="308"/>
      <c r="AD311" s="308"/>
      <c r="AE311" s="308"/>
      <c r="AF311" s="308"/>
      <c r="AG311" s="308"/>
      <c r="AH311" s="308"/>
      <c r="AI311" s="308"/>
      <c r="AJ311" s="308"/>
      <c r="AK311" s="308"/>
      <c r="AL311" s="308"/>
      <c r="AM311" s="308"/>
      <c r="AN311" s="308"/>
      <c r="AO311" s="308"/>
      <c r="AP311" s="308"/>
      <c r="AQ311" s="308"/>
      <c r="AR311" s="308"/>
      <c r="AS311" s="308"/>
      <c r="AT311" s="308"/>
      <c r="AU311" s="308"/>
      <c r="AV311" s="308"/>
      <c r="AW311" s="308"/>
      <c r="AX311" s="308"/>
    </row>
    <row r="312" spans="16:50">
      <c r="P312" s="388"/>
      <c r="Q312" s="308"/>
      <c r="R312" s="308"/>
      <c r="S312" s="308"/>
      <c r="T312" s="308"/>
      <c r="U312" s="308"/>
      <c r="V312" s="308"/>
      <c r="W312" s="308"/>
      <c r="X312" s="308"/>
      <c r="Y312" s="308"/>
      <c r="Z312" s="308"/>
      <c r="AA312" s="308"/>
      <c r="AB312" s="308"/>
      <c r="AC312" s="308"/>
      <c r="AD312" s="308"/>
      <c r="AE312" s="308"/>
      <c r="AF312" s="308"/>
      <c r="AG312" s="308"/>
      <c r="AH312" s="308"/>
      <c r="AI312" s="308"/>
      <c r="AJ312" s="308"/>
      <c r="AK312" s="308"/>
      <c r="AL312" s="308"/>
      <c r="AM312" s="308"/>
      <c r="AN312" s="308"/>
      <c r="AO312" s="308"/>
      <c r="AP312" s="308"/>
      <c r="AQ312" s="308"/>
      <c r="AR312" s="308"/>
      <c r="AS312" s="308"/>
      <c r="AT312" s="308"/>
      <c r="AU312" s="308"/>
      <c r="AV312" s="308"/>
      <c r="AW312" s="308"/>
      <c r="AX312" s="308"/>
    </row>
    <row r="313" spans="16:50">
      <c r="P313" s="388"/>
      <c r="Q313" s="308"/>
      <c r="R313" s="308"/>
      <c r="S313" s="308"/>
      <c r="T313" s="308"/>
      <c r="U313" s="308"/>
      <c r="V313" s="308"/>
      <c r="W313" s="308"/>
      <c r="X313" s="308"/>
      <c r="Y313" s="308"/>
      <c r="Z313" s="308"/>
      <c r="AA313" s="308"/>
      <c r="AB313" s="308"/>
      <c r="AC313" s="308"/>
      <c r="AD313" s="308"/>
      <c r="AE313" s="308"/>
      <c r="AF313" s="308"/>
      <c r="AG313" s="308"/>
      <c r="AH313" s="308"/>
      <c r="AI313" s="308"/>
      <c r="AJ313" s="308"/>
      <c r="AK313" s="308"/>
      <c r="AL313" s="308"/>
      <c r="AM313" s="308"/>
      <c r="AN313" s="308"/>
      <c r="AO313" s="308"/>
      <c r="AP313" s="308"/>
      <c r="AQ313" s="308"/>
      <c r="AR313" s="308"/>
      <c r="AS313" s="308"/>
      <c r="AT313" s="308"/>
      <c r="AU313" s="308"/>
      <c r="AV313" s="308"/>
      <c r="AW313" s="308"/>
      <c r="AX313" s="308"/>
    </row>
    <row r="314" spans="16:50">
      <c r="P314" s="388"/>
      <c r="Q314" s="308"/>
      <c r="R314" s="308"/>
      <c r="S314" s="308"/>
      <c r="T314" s="308"/>
      <c r="U314" s="308"/>
      <c r="V314" s="308"/>
      <c r="W314" s="308"/>
      <c r="X314" s="308"/>
      <c r="Y314" s="308"/>
      <c r="Z314" s="308"/>
      <c r="AA314" s="308"/>
      <c r="AB314" s="308"/>
      <c r="AC314" s="308"/>
      <c r="AD314" s="308"/>
      <c r="AE314" s="308"/>
      <c r="AF314" s="308"/>
      <c r="AG314" s="308"/>
      <c r="AH314" s="308"/>
      <c r="AI314" s="308"/>
      <c r="AJ314" s="308"/>
      <c r="AK314" s="308"/>
      <c r="AL314" s="308"/>
      <c r="AM314" s="308"/>
      <c r="AN314" s="308"/>
      <c r="AO314" s="308"/>
      <c r="AP314" s="308"/>
      <c r="AQ314" s="308"/>
      <c r="AR314" s="308"/>
      <c r="AS314" s="308"/>
      <c r="AT314" s="308"/>
      <c r="AU314" s="308"/>
      <c r="AV314" s="308"/>
      <c r="AW314" s="308"/>
      <c r="AX314" s="308"/>
    </row>
    <row r="315" spans="16:50">
      <c r="P315" s="388"/>
      <c r="Q315" s="308"/>
      <c r="R315" s="308"/>
      <c r="S315" s="308"/>
      <c r="T315" s="308"/>
      <c r="U315" s="308"/>
      <c r="V315" s="308"/>
      <c r="W315" s="308"/>
      <c r="X315" s="308"/>
      <c r="Y315" s="308"/>
      <c r="Z315" s="308"/>
      <c r="AA315" s="308"/>
      <c r="AB315" s="308"/>
      <c r="AC315" s="308"/>
      <c r="AD315" s="308"/>
      <c r="AE315" s="308"/>
      <c r="AF315" s="308"/>
      <c r="AG315" s="308"/>
      <c r="AH315" s="308"/>
      <c r="AI315" s="308"/>
      <c r="AJ315" s="308"/>
      <c r="AK315" s="308"/>
      <c r="AL315" s="308"/>
      <c r="AM315" s="308"/>
      <c r="AN315" s="308"/>
      <c r="AO315" s="308"/>
      <c r="AP315" s="308"/>
      <c r="AQ315" s="308"/>
      <c r="AR315" s="308"/>
      <c r="AS315" s="308"/>
      <c r="AT315" s="308"/>
      <c r="AU315" s="308"/>
      <c r="AV315" s="308"/>
      <c r="AW315" s="308"/>
      <c r="AX315" s="308"/>
    </row>
    <row r="316" spans="16:50">
      <c r="P316" s="388"/>
      <c r="Q316" s="308"/>
      <c r="R316" s="308"/>
      <c r="S316" s="308"/>
      <c r="T316" s="308"/>
      <c r="U316" s="308"/>
      <c r="V316" s="308"/>
      <c r="W316" s="308"/>
      <c r="X316" s="308"/>
      <c r="Y316" s="308"/>
      <c r="Z316" s="308"/>
      <c r="AA316" s="308"/>
      <c r="AB316" s="308"/>
      <c r="AC316" s="308"/>
      <c r="AD316" s="308"/>
      <c r="AE316" s="308"/>
      <c r="AF316" s="308"/>
      <c r="AG316" s="308"/>
      <c r="AH316" s="308"/>
      <c r="AI316" s="308"/>
      <c r="AJ316" s="308"/>
      <c r="AK316" s="308"/>
      <c r="AL316" s="308"/>
      <c r="AM316" s="308"/>
      <c r="AN316" s="308"/>
      <c r="AO316" s="308"/>
      <c r="AP316" s="308"/>
      <c r="AQ316" s="308"/>
      <c r="AR316" s="308"/>
      <c r="AS316" s="308"/>
      <c r="AT316" s="308"/>
      <c r="AU316" s="308"/>
      <c r="AV316" s="308"/>
      <c r="AW316" s="308"/>
      <c r="AX316" s="308"/>
    </row>
    <row r="317" spans="16:50">
      <c r="P317" s="388"/>
      <c r="Q317" s="308"/>
      <c r="R317" s="308"/>
      <c r="S317" s="308"/>
      <c r="T317" s="308"/>
      <c r="U317" s="308"/>
      <c r="V317" s="308"/>
      <c r="W317" s="308"/>
      <c r="X317" s="308"/>
      <c r="Y317" s="308"/>
      <c r="Z317" s="308"/>
      <c r="AA317" s="308"/>
      <c r="AB317" s="308"/>
      <c r="AC317" s="308"/>
      <c r="AD317" s="308"/>
      <c r="AE317" s="308"/>
      <c r="AF317" s="308"/>
      <c r="AG317" s="308"/>
      <c r="AH317" s="308"/>
      <c r="AI317" s="308"/>
      <c r="AJ317" s="308"/>
      <c r="AK317" s="308"/>
      <c r="AL317" s="308"/>
      <c r="AM317" s="308"/>
      <c r="AN317" s="308"/>
      <c r="AO317" s="308"/>
      <c r="AP317" s="308"/>
      <c r="AQ317" s="308"/>
      <c r="AR317" s="308"/>
      <c r="AS317" s="308"/>
      <c r="AT317" s="308"/>
      <c r="AU317" s="308"/>
      <c r="AV317" s="308"/>
      <c r="AW317" s="308"/>
      <c r="AX317" s="308"/>
    </row>
    <row r="318" spans="16:50">
      <c r="P318" s="388"/>
      <c r="Q318" s="308"/>
      <c r="R318" s="308"/>
      <c r="S318" s="308"/>
      <c r="T318" s="308"/>
      <c r="U318" s="308"/>
      <c r="V318" s="308"/>
      <c r="W318" s="308"/>
      <c r="X318" s="308"/>
      <c r="Y318" s="308"/>
      <c r="Z318" s="308"/>
      <c r="AA318" s="308"/>
      <c r="AB318" s="308"/>
      <c r="AC318" s="308"/>
      <c r="AD318" s="308"/>
      <c r="AE318" s="308"/>
      <c r="AF318" s="308"/>
      <c r="AG318" s="308"/>
      <c r="AH318" s="308"/>
      <c r="AI318" s="308"/>
      <c r="AJ318" s="308"/>
      <c r="AK318" s="308"/>
      <c r="AL318" s="308"/>
      <c r="AM318" s="308"/>
      <c r="AN318" s="308"/>
      <c r="AO318" s="308"/>
      <c r="AP318" s="308"/>
      <c r="AQ318" s="308"/>
      <c r="AR318" s="308"/>
      <c r="AS318" s="308"/>
      <c r="AT318" s="308"/>
      <c r="AU318" s="308"/>
      <c r="AV318" s="308"/>
      <c r="AW318" s="308"/>
      <c r="AX318" s="308"/>
    </row>
    <row r="319" spans="16:50">
      <c r="P319" s="388"/>
      <c r="Q319" s="308"/>
      <c r="R319" s="308"/>
      <c r="S319" s="308"/>
      <c r="T319" s="308"/>
      <c r="U319" s="308"/>
      <c r="V319" s="308"/>
      <c r="W319" s="308"/>
      <c r="X319" s="308"/>
      <c r="Y319" s="308"/>
      <c r="Z319" s="308"/>
      <c r="AA319" s="308"/>
      <c r="AB319" s="308"/>
      <c r="AC319" s="308"/>
      <c r="AD319" s="308"/>
      <c r="AE319" s="308"/>
      <c r="AF319" s="308"/>
      <c r="AG319" s="308"/>
      <c r="AH319" s="308"/>
      <c r="AI319" s="308"/>
      <c r="AJ319" s="308"/>
      <c r="AK319" s="308"/>
      <c r="AL319" s="308"/>
      <c r="AM319" s="308"/>
      <c r="AN319" s="308"/>
      <c r="AO319" s="308"/>
      <c r="AP319" s="308"/>
      <c r="AQ319" s="308"/>
      <c r="AR319" s="308"/>
      <c r="AS319" s="308"/>
      <c r="AT319" s="308"/>
      <c r="AU319" s="308"/>
      <c r="AV319" s="308"/>
      <c r="AW319" s="308"/>
      <c r="AX319" s="308"/>
    </row>
    <row r="320" spans="16:50">
      <c r="P320" s="388"/>
      <c r="Q320" s="308"/>
      <c r="R320" s="308"/>
      <c r="S320" s="308"/>
      <c r="T320" s="308"/>
      <c r="U320" s="308"/>
      <c r="V320" s="308"/>
      <c r="W320" s="308"/>
      <c r="X320" s="308"/>
      <c r="Y320" s="308"/>
      <c r="Z320" s="308"/>
      <c r="AA320" s="308"/>
      <c r="AB320" s="308"/>
      <c r="AC320" s="308"/>
      <c r="AD320" s="308"/>
      <c r="AE320" s="308"/>
      <c r="AF320" s="308"/>
      <c r="AG320" s="308"/>
      <c r="AH320" s="308"/>
      <c r="AI320" s="308"/>
      <c r="AJ320" s="308"/>
      <c r="AK320" s="308"/>
      <c r="AL320" s="308"/>
      <c r="AM320" s="308"/>
      <c r="AN320" s="308"/>
      <c r="AO320" s="308"/>
      <c r="AP320" s="308"/>
      <c r="AQ320" s="308"/>
      <c r="AR320" s="308"/>
      <c r="AS320" s="308"/>
      <c r="AT320" s="308"/>
      <c r="AU320" s="308"/>
      <c r="AV320" s="308"/>
      <c r="AW320" s="308"/>
      <c r="AX320" s="308"/>
    </row>
    <row r="321" spans="16:50">
      <c r="P321" s="388"/>
      <c r="Q321" s="308"/>
      <c r="R321" s="308"/>
      <c r="S321" s="308"/>
      <c r="T321" s="308"/>
      <c r="U321" s="308"/>
      <c r="V321" s="308"/>
      <c r="W321" s="308"/>
      <c r="X321" s="308"/>
      <c r="Y321" s="308"/>
      <c r="Z321" s="308"/>
      <c r="AA321" s="308"/>
      <c r="AB321" s="308"/>
      <c r="AC321" s="308"/>
      <c r="AD321" s="308"/>
      <c r="AE321" s="308"/>
      <c r="AF321" s="308"/>
      <c r="AG321" s="308"/>
      <c r="AH321" s="308"/>
      <c r="AI321" s="308"/>
      <c r="AJ321" s="308"/>
      <c r="AK321" s="308"/>
      <c r="AL321" s="308"/>
      <c r="AM321" s="308"/>
      <c r="AN321" s="308"/>
      <c r="AO321" s="308"/>
      <c r="AP321" s="308"/>
      <c r="AQ321" s="308"/>
      <c r="AR321" s="308"/>
      <c r="AS321" s="308"/>
      <c r="AT321" s="308"/>
      <c r="AU321" s="308"/>
      <c r="AV321" s="308"/>
      <c r="AW321" s="308"/>
      <c r="AX321" s="308"/>
    </row>
    <row r="322" spans="16:50">
      <c r="P322" s="388"/>
      <c r="Q322" s="308"/>
      <c r="R322" s="308"/>
      <c r="S322" s="308"/>
      <c r="T322" s="308"/>
      <c r="U322" s="308"/>
      <c r="V322" s="308"/>
      <c r="W322" s="308"/>
      <c r="X322" s="308"/>
      <c r="Y322" s="308"/>
      <c r="Z322" s="308"/>
      <c r="AA322" s="308"/>
      <c r="AB322" s="308"/>
      <c r="AC322" s="308"/>
      <c r="AD322" s="308"/>
      <c r="AE322" s="308"/>
      <c r="AF322" s="308"/>
      <c r="AG322" s="308"/>
      <c r="AH322" s="308"/>
      <c r="AI322" s="308"/>
      <c r="AJ322" s="308"/>
      <c r="AK322" s="308"/>
      <c r="AL322" s="308"/>
      <c r="AM322" s="308"/>
      <c r="AN322" s="308"/>
      <c r="AO322" s="308"/>
      <c r="AP322" s="308"/>
      <c r="AQ322" s="308"/>
      <c r="AR322" s="308"/>
      <c r="AS322" s="308"/>
      <c r="AT322" s="308"/>
      <c r="AU322" s="308"/>
      <c r="AV322" s="308"/>
      <c r="AW322" s="308"/>
      <c r="AX322" s="308"/>
    </row>
    <row r="323" spans="16:50">
      <c r="P323" s="388"/>
      <c r="Q323" s="308"/>
      <c r="R323" s="308"/>
      <c r="S323" s="308"/>
      <c r="T323" s="308"/>
      <c r="U323" s="308"/>
      <c r="V323" s="308"/>
      <c r="W323" s="308"/>
      <c r="X323" s="308"/>
      <c r="Y323" s="308"/>
      <c r="Z323" s="308"/>
      <c r="AA323" s="308"/>
      <c r="AB323" s="308"/>
      <c r="AC323" s="308"/>
      <c r="AD323" s="308"/>
      <c r="AE323" s="308"/>
      <c r="AF323" s="308"/>
      <c r="AG323" s="308"/>
      <c r="AH323" s="308"/>
      <c r="AI323" s="308"/>
      <c r="AJ323" s="308"/>
      <c r="AK323" s="308"/>
      <c r="AL323" s="308"/>
      <c r="AM323" s="308"/>
      <c r="AN323" s="308"/>
      <c r="AO323" s="308"/>
      <c r="AP323" s="308"/>
      <c r="AQ323" s="308"/>
      <c r="AR323" s="308"/>
      <c r="AS323" s="308"/>
      <c r="AT323" s="308"/>
      <c r="AU323" s="308"/>
      <c r="AV323" s="308"/>
      <c r="AW323" s="308"/>
      <c r="AX323" s="308"/>
    </row>
    <row r="324" spans="16:50">
      <c r="P324" s="388"/>
      <c r="Q324" s="308"/>
      <c r="R324" s="308"/>
      <c r="S324" s="308"/>
      <c r="T324" s="308"/>
      <c r="U324" s="308"/>
      <c r="V324" s="308"/>
      <c r="W324" s="308"/>
      <c r="X324" s="308"/>
      <c r="Y324" s="308"/>
      <c r="Z324" s="308"/>
      <c r="AA324" s="308"/>
      <c r="AB324" s="308"/>
      <c r="AC324" s="308"/>
      <c r="AD324" s="308"/>
      <c r="AE324" s="308"/>
      <c r="AF324" s="308"/>
      <c r="AG324" s="308"/>
      <c r="AH324" s="308"/>
      <c r="AI324" s="308"/>
      <c r="AJ324" s="308"/>
      <c r="AK324" s="308"/>
      <c r="AL324" s="308"/>
      <c r="AM324" s="308"/>
      <c r="AN324" s="308"/>
      <c r="AO324" s="308"/>
      <c r="AP324" s="308"/>
      <c r="AQ324" s="308"/>
      <c r="AR324" s="308"/>
      <c r="AS324" s="308"/>
      <c r="AT324" s="308"/>
      <c r="AU324" s="308"/>
      <c r="AV324" s="308"/>
      <c r="AW324" s="308"/>
      <c r="AX324" s="308"/>
    </row>
    <row r="325" spans="16:50">
      <c r="P325" s="388"/>
      <c r="Q325" s="308"/>
      <c r="R325" s="308"/>
      <c r="S325" s="308"/>
      <c r="T325" s="308"/>
      <c r="U325" s="308"/>
      <c r="V325" s="308"/>
      <c r="W325" s="308"/>
      <c r="X325" s="308"/>
      <c r="Y325" s="308"/>
      <c r="Z325" s="308"/>
      <c r="AA325" s="308"/>
      <c r="AB325" s="308"/>
      <c r="AC325" s="308"/>
      <c r="AD325" s="308"/>
      <c r="AE325" s="308"/>
      <c r="AF325" s="308"/>
      <c r="AG325" s="308"/>
      <c r="AH325" s="308"/>
      <c r="AI325" s="308"/>
      <c r="AJ325" s="308"/>
      <c r="AK325" s="308"/>
      <c r="AL325" s="308"/>
      <c r="AM325" s="308"/>
      <c r="AN325" s="308"/>
      <c r="AO325" s="308"/>
      <c r="AP325" s="308"/>
      <c r="AQ325" s="308"/>
      <c r="AR325" s="308"/>
      <c r="AS325" s="308"/>
      <c r="AT325" s="308"/>
      <c r="AU325" s="308"/>
      <c r="AV325" s="308"/>
      <c r="AW325" s="308"/>
      <c r="AX325" s="308"/>
    </row>
    <row r="326" spans="16:50">
      <c r="P326" s="388"/>
      <c r="Q326" s="308"/>
      <c r="R326" s="308"/>
      <c r="S326" s="308"/>
      <c r="T326" s="308"/>
      <c r="U326" s="308"/>
      <c r="V326" s="308"/>
      <c r="W326" s="308"/>
      <c r="X326" s="308"/>
      <c r="Y326" s="308"/>
      <c r="Z326" s="308"/>
      <c r="AA326" s="308"/>
      <c r="AB326" s="308"/>
      <c r="AC326" s="308"/>
      <c r="AD326" s="308"/>
      <c r="AE326" s="308"/>
      <c r="AF326" s="308"/>
      <c r="AG326" s="308"/>
      <c r="AH326" s="308"/>
      <c r="AI326" s="308"/>
      <c r="AJ326" s="308"/>
      <c r="AK326" s="308"/>
      <c r="AL326" s="308"/>
      <c r="AM326" s="308"/>
      <c r="AN326" s="308"/>
      <c r="AO326" s="308"/>
      <c r="AP326" s="308"/>
      <c r="AQ326" s="308"/>
      <c r="AR326" s="308"/>
      <c r="AS326" s="308"/>
      <c r="AT326" s="308"/>
      <c r="AU326" s="308"/>
      <c r="AV326" s="308"/>
      <c r="AW326" s="308"/>
      <c r="AX326" s="308"/>
    </row>
    <row r="327" spans="16:50">
      <c r="P327" s="388"/>
      <c r="Q327" s="308"/>
      <c r="R327" s="308"/>
      <c r="S327" s="308"/>
      <c r="T327" s="308"/>
      <c r="U327" s="308"/>
      <c r="V327" s="308"/>
      <c r="W327" s="308"/>
      <c r="X327" s="308"/>
      <c r="Y327" s="308"/>
      <c r="Z327" s="308"/>
      <c r="AA327" s="308"/>
      <c r="AB327" s="308"/>
      <c r="AC327" s="308"/>
      <c r="AD327" s="308"/>
      <c r="AE327" s="308"/>
      <c r="AF327" s="308"/>
      <c r="AG327" s="308"/>
      <c r="AH327" s="308"/>
      <c r="AI327" s="308"/>
      <c r="AJ327" s="308"/>
      <c r="AK327" s="308"/>
      <c r="AL327" s="308"/>
      <c r="AM327" s="308"/>
      <c r="AN327" s="308"/>
      <c r="AO327" s="308"/>
      <c r="AP327" s="308"/>
      <c r="AQ327" s="308"/>
      <c r="AR327" s="308"/>
      <c r="AS327" s="308"/>
      <c r="AT327" s="308"/>
      <c r="AU327" s="308"/>
      <c r="AV327" s="308"/>
      <c r="AW327" s="308"/>
      <c r="AX327" s="308"/>
    </row>
    <row r="328" spans="16:50">
      <c r="P328" s="388"/>
      <c r="Q328" s="308"/>
      <c r="R328" s="308"/>
      <c r="S328" s="308"/>
      <c r="T328" s="308"/>
      <c r="U328" s="308"/>
      <c r="V328" s="308"/>
      <c r="W328" s="308"/>
      <c r="X328" s="308"/>
      <c r="Y328" s="308"/>
      <c r="Z328" s="308"/>
      <c r="AA328" s="308"/>
      <c r="AB328" s="308"/>
      <c r="AC328" s="308"/>
      <c r="AD328" s="308"/>
      <c r="AE328" s="308"/>
      <c r="AF328" s="308"/>
      <c r="AG328" s="308"/>
      <c r="AH328" s="308"/>
      <c r="AI328" s="308"/>
      <c r="AJ328" s="308"/>
      <c r="AK328" s="308"/>
      <c r="AL328" s="308"/>
      <c r="AM328" s="308"/>
      <c r="AN328" s="308"/>
      <c r="AO328" s="308"/>
      <c r="AP328" s="308"/>
      <c r="AQ328" s="308"/>
      <c r="AR328" s="308"/>
      <c r="AS328" s="308"/>
      <c r="AT328" s="308"/>
      <c r="AU328" s="308"/>
      <c r="AV328" s="308"/>
      <c r="AW328" s="308"/>
      <c r="AX328" s="308"/>
    </row>
    <row r="329" spans="16:50">
      <c r="P329" s="388"/>
      <c r="Q329" s="308"/>
      <c r="R329" s="308"/>
      <c r="S329" s="308"/>
      <c r="T329" s="308"/>
      <c r="U329" s="308"/>
      <c r="V329" s="308"/>
      <c r="W329" s="308"/>
      <c r="X329" s="308"/>
      <c r="Y329" s="308"/>
      <c r="Z329" s="308"/>
      <c r="AA329" s="308"/>
      <c r="AB329" s="308"/>
      <c r="AC329" s="308"/>
      <c r="AD329" s="308"/>
      <c r="AE329" s="308"/>
      <c r="AF329" s="308"/>
      <c r="AG329" s="308"/>
      <c r="AH329" s="308"/>
      <c r="AI329" s="308"/>
      <c r="AJ329" s="308"/>
      <c r="AK329" s="308"/>
      <c r="AL329" s="308"/>
      <c r="AM329" s="308"/>
      <c r="AN329" s="308"/>
      <c r="AO329" s="308"/>
      <c r="AP329" s="308"/>
      <c r="AQ329" s="308"/>
      <c r="AR329" s="308"/>
      <c r="AS329" s="308"/>
      <c r="AT329" s="308"/>
      <c r="AU329" s="308"/>
      <c r="AV329" s="308"/>
      <c r="AW329" s="308"/>
      <c r="AX329" s="308"/>
    </row>
    <row r="330" spans="16:50">
      <c r="P330" s="388"/>
      <c r="Q330" s="308"/>
      <c r="R330" s="308"/>
      <c r="S330" s="308"/>
      <c r="T330" s="308"/>
      <c r="U330" s="308"/>
      <c r="V330" s="308"/>
      <c r="W330" s="308"/>
      <c r="X330" s="308"/>
      <c r="Y330" s="308"/>
      <c r="Z330" s="308"/>
      <c r="AA330" s="308"/>
      <c r="AB330" s="308"/>
      <c r="AC330" s="308"/>
      <c r="AD330" s="308"/>
      <c r="AE330" s="308"/>
      <c r="AF330" s="308"/>
      <c r="AG330" s="308"/>
      <c r="AH330" s="308"/>
      <c r="AI330" s="308"/>
      <c r="AJ330" s="308"/>
      <c r="AK330" s="308"/>
      <c r="AL330" s="308"/>
      <c r="AM330" s="308"/>
      <c r="AN330" s="308"/>
      <c r="AO330" s="308"/>
      <c r="AP330" s="308"/>
      <c r="AQ330" s="308"/>
      <c r="AR330" s="308"/>
      <c r="AS330" s="308"/>
      <c r="AT330" s="308"/>
      <c r="AU330" s="308"/>
      <c r="AV330" s="308"/>
      <c r="AW330" s="308"/>
      <c r="AX330" s="308"/>
    </row>
    <row r="331" spans="16:50">
      <c r="P331" s="388"/>
      <c r="Q331" s="308"/>
      <c r="R331" s="308"/>
      <c r="S331" s="308"/>
      <c r="T331" s="308"/>
      <c r="U331" s="308"/>
      <c r="V331" s="308"/>
      <c r="W331" s="308"/>
      <c r="X331" s="308"/>
      <c r="Y331" s="308"/>
      <c r="Z331" s="308"/>
      <c r="AA331" s="308"/>
      <c r="AB331" s="308"/>
      <c r="AC331" s="308"/>
      <c r="AD331" s="308"/>
      <c r="AE331" s="308"/>
      <c r="AF331" s="308"/>
      <c r="AG331" s="308"/>
      <c r="AH331" s="308"/>
      <c r="AI331" s="308"/>
      <c r="AJ331" s="308"/>
      <c r="AK331" s="308"/>
      <c r="AL331" s="308"/>
      <c r="AM331" s="308"/>
      <c r="AN331" s="308"/>
      <c r="AO331" s="308"/>
      <c r="AP331" s="308"/>
      <c r="AQ331" s="308"/>
      <c r="AR331" s="308"/>
      <c r="AS331" s="308"/>
      <c r="AT331" s="308"/>
      <c r="AU331" s="308"/>
      <c r="AV331" s="308"/>
      <c r="AW331" s="308"/>
      <c r="AX331" s="308"/>
    </row>
    <row r="332" spans="16:50">
      <c r="P332" s="388"/>
      <c r="Q332" s="308"/>
      <c r="R332" s="308"/>
      <c r="S332" s="308"/>
      <c r="T332" s="308"/>
      <c r="U332" s="308"/>
      <c r="V332" s="308"/>
      <c r="W332" s="308"/>
      <c r="X332" s="308"/>
      <c r="Y332" s="308"/>
      <c r="Z332" s="308"/>
      <c r="AA332" s="308"/>
      <c r="AB332" s="308"/>
      <c r="AC332" s="308"/>
      <c r="AD332" s="308"/>
      <c r="AE332" s="308"/>
      <c r="AF332" s="308"/>
      <c r="AG332" s="308"/>
      <c r="AH332" s="308"/>
      <c r="AI332" s="308"/>
      <c r="AJ332" s="308"/>
      <c r="AK332" s="308"/>
      <c r="AL332" s="308"/>
      <c r="AM332" s="308"/>
      <c r="AN332" s="308"/>
      <c r="AO332" s="308"/>
      <c r="AP332" s="308"/>
      <c r="AQ332" s="308"/>
      <c r="AR332" s="308"/>
      <c r="AS332" s="308"/>
      <c r="AT332" s="308"/>
      <c r="AU332" s="308"/>
      <c r="AV332" s="308"/>
      <c r="AW332" s="308"/>
      <c r="AX332" s="308"/>
    </row>
    <row r="333" spans="16:50">
      <c r="P333" s="388"/>
      <c r="Q333" s="308"/>
      <c r="R333" s="308"/>
      <c r="S333" s="308"/>
      <c r="T333" s="308"/>
      <c r="U333" s="308"/>
      <c r="V333" s="308"/>
      <c r="W333" s="308"/>
      <c r="X333" s="308"/>
      <c r="Y333" s="308"/>
      <c r="Z333" s="308"/>
      <c r="AA333" s="308"/>
      <c r="AB333" s="308"/>
      <c r="AC333" s="308"/>
      <c r="AD333" s="308"/>
      <c r="AE333" s="308"/>
      <c r="AF333" s="308"/>
      <c r="AG333" s="308"/>
      <c r="AH333" s="308"/>
      <c r="AI333" s="308"/>
      <c r="AJ333" s="308"/>
      <c r="AK333" s="308"/>
      <c r="AL333" s="308"/>
      <c r="AM333" s="308"/>
      <c r="AN333" s="308"/>
      <c r="AO333" s="308"/>
      <c r="AP333" s="308"/>
      <c r="AQ333" s="308"/>
      <c r="AR333" s="308"/>
      <c r="AS333" s="308"/>
      <c r="AT333" s="308"/>
      <c r="AU333" s="308"/>
      <c r="AV333" s="308"/>
      <c r="AW333" s="308"/>
      <c r="AX333" s="308"/>
    </row>
    <row r="334" spans="16:50">
      <c r="P334" s="388"/>
      <c r="Q334" s="308"/>
      <c r="R334" s="308"/>
      <c r="S334" s="308"/>
      <c r="T334" s="308"/>
      <c r="U334" s="308"/>
      <c r="V334" s="308"/>
      <c r="W334" s="308"/>
      <c r="X334" s="308"/>
      <c r="Y334" s="308"/>
      <c r="Z334" s="308"/>
      <c r="AA334" s="308"/>
      <c r="AB334" s="308"/>
      <c r="AC334" s="308"/>
      <c r="AD334" s="308"/>
      <c r="AE334" s="308"/>
      <c r="AF334" s="308"/>
      <c r="AG334" s="308"/>
      <c r="AH334" s="308"/>
      <c r="AI334" s="308"/>
      <c r="AJ334" s="308"/>
      <c r="AK334" s="308"/>
      <c r="AL334" s="308"/>
      <c r="AM334" s="308"/>
      <c r="AN334" s="308"/>
      <c r="AO334" s="308"/>
      <c r="AP334" s="308"/>
      <c r="AQ334" s="308"/>
      <c r="AR334" s="308"/>
      <c r="AS334" s="308"/>
      <c r="AT334" s="308"/>
      <c r="AU334" s="308"/>
      <c r="AV334" s="308"/>
      <c r="AW334" s="308"/>
      <c r="AX334" s="308"/>
    </row>
    <row r="335" spans="16:50">
      <c r="P335" s="388"/>
      <c r="Q335" s="308"/>
      <c r="R335" s="308"/>
      <c r="S335" s="308"/>
      <c r="T335" s="308"/>
      <c r="U335" s="308"/>
      <c r="V335" s="308"/>
      <c r="W335" s="308"/>
      <c r="X335" s="308"/>
      <c r="Y335" s="308"/>
      <c r="Z335" s="308"/>
      <c r="AA335" s="308"/>
      <c r="AB335" s="308"/>
      <c r="AC335" s="308"/>
      <c r="AD335" s="308"/>
      <c r="AE335" s="308"/>
      <c r="AF335" s="308"/>
      <c r="AG335" s="308"/>
      <c r="AH335" s="308"/>
      <c r="AI335" s="308"/>
      <c r="AJ335" s="308"/>
      <c r="AK335" s="308"/>
      <c r="AL335" s="308"/>
      <c r="AM335" s="308"/>
      <c r="AN335" s="308"/>
      <c r="AO335" s="308"/>
      <c r="AP335" s="308"/>
      <c r="AQ335" s="308"/>
      <c r="AR335" s="308"/>
      <c r="AS335" s="308"/>
      <c r="AT335" s="308"/>
      <c r="AU335" s="308"/>
      <c r="AV335" s="308"/>
      <c r="AW335" s="308"/>
      <c r="AX335" s="308"/>
    </row>
    <row r="336" spans="16:50">
      <c r="P336" s="388"/>
      <c r="Q336" s="308"/>
      <c r="R336" s="308"/>
      <c r="S336" s="308"/>
      <c r="T336" s="308"/>
      <c r="U336" s="308"/>
      <c r="V336" s="308"/>
      <c r="W336" s="308"/>
      <c r="X336" s="308"/>
      <c r="Y336" s="308"/>
      <c r="Z336" s="308"/>
      <c r="AA336" s="308"/>
      <c r="AB336" s="308"/>
      <c r="AC336" s="308"/>
      <c r="AD336" s="308"/>
      <c r="AE336" s="308"/>
      <c r="AF336" s="308"/>
      <c r="AG336" s="308"/>
      <c r="AH336" s="308"/>
      <c r="AI336" s="308"/>
      <c r="AJ336" s="308"/>
      <c r="AK336" s="308"/>
      <c r="AL336" s="308"/>
      <c r="AM336" s="308"/>
      <c r="AN336" s="308"/>
      <c r="AO336" s="308"/>
      <c r="AP336" s="308"/>
      <c r="AQ336" s="308"/>
      <c r="AR336" s="308"/>
      <c r="AS336" s="308"/>
      <c r="AT336" s="308"/>
      <c r="AU336" s="308"/>
      <c r="AV336" s="308"/>
      <c r="AW336" s="308"/>
      <c r="AX336" s="308"/>
    </row>
    <row r="337" spans="16:50">
      <c r="P337" s="388"/>
      <c r="Q337" s="308"/>
      <c r="R337" s="308"/>
      <c r="S337" s="308"/>
      <c r="T337" s="308"/>
      <c r="U337" s="308"/>
      <c r="V337" s="308"/>
      <c r="W337" s="308"/>
      <c r="X337" s="308"/>
      <c r="Y337" s="308"/>
      <c r="Z337" s="308"/>
      <c r="AA337" s="308"/>
      <c r="AB337" s="308"/>
      <c r="AC337" s="308"/>
      <c r="AD337" s="308"/>
      <c r="AE337" s="308"/>
      <c r="AF337" s="308"/>
      <c r="AG337" s="308"/>
      <c r="AH337" s="308"/>
      <c r="AI337" s="308"/>
      <c r="AJ337" s="308"/>
      <c r="AK337" s="308"/>
      <c r="AL337" s="308"/>
      <c r="AM337" s="308"/>
      <c r="AN337" s="308"/>
      <c r="AO337" s="308"/>
      <c r="AP337" s="308"/>
      <c r="AQ337" s="308"/>
      <c r="AR337" s="308"/>
      <c r="AS337" s="308"/>
      <c r="AT337" s="308"/>
      <c r="AU337" s="308"/>
      <c r="AV337" s="308"/>
      <c r="AW337" s="308"/>
      <c r="AX337" s="308"/>
    </row>
    <row r="338" spans="16:50">
      <c r="P338" s="388"/>
      <c r="Q338" s="308"/>
      <c r="R338" s="308"/>
      <c r="S338" s="308"/>
      <c r="T338" s="308"/>
      <c r="U338" s="308"/>
      <c r="V338" s="308"/>
      <c r="W338" s="308"/>
      <c r="X338" s="308"/>
      <c r="Y338" s="308"/>
      <c r="Z338" s="308"/>
      <c r="AA338" s="308"/>
      <c r="AB338" s="308"/>
      <c r="AC338" s="308"/>
      <c r="AD338" s="308"/>
      <c r="AE338" s="308"/>
      <c r="AF338" s="308"/>
      <c r="AG338" s="308"/>
      <c r="AH338" s="308"/>
      <c r="AI338" s="308"/>
      <c r="AJ338" s="308"/>
      <c r="AK338" s="308"/>
      <c r="AL338" s="308"/>
      <c r="AM338" s="308"/>
      <c r="AN338" s="308"/>
      <c r="AO338" s="308"/>
      <c r="AP338" s="308"/>
      <c r="AQ338" s="308"/>
      <c r="AR338" s="308"/>
      <c r="AS338" s="308"/>
      <c r="AT338" s="308"/>
      <c r="AU338" s="308"/>
      <c r="AV338" s="308"/>
      <c r="AW338" s="308"/>
      <c r="AX338" s="308"/>
    </row>
    <row r="339" spans="16:50">
      <c r="P339" s="388"/>
      <c r="Q339" s="308"/>
      <c r="R339" s="308"/>
      <c r="S339" s="308"/>
      <c r="T339" s="308"/>
      <c r="U339" s="308"/>
      <c r="V339" s="308"/>
      <c r="W339" s="308"/>
      <c r="X339" s="308"/>
      <c r="Y339" s="308"/>
      <c r="Z339" s="308"/>
      <c r="AA339" s="308"/>
      <c r="AB339" s="308"/>
      <c r="AC339" s="308"/>
      <c r="AD339" s="308"/>
      <c r="AE339" s="308"/>
      <c r="AF339" s="308"/>
      <c r="AG339" s="308"/>
      <c r="AH339" s="308"/>
      <c r="AI339" s="308"/>
      <c r="AJ339" s="308"/>
      <c r="AK339" s="308"/>
      <c r="AL339" s="308"/>
      <c r="AM339" s="308"/>
      <c r="AN339" s="308"/>
      <c r="AO339" s="308"/>
      <c r="AP339" s="308"/>
      <c r="AQ339" s="308"/>
      <c r="AR339" s="308"/>
      <c r="AS339" s="308"/>
      <c r="AT339" s="308"/>
      <c r="AU339" s="308"/>
      <c r="AV339" s="308"/>
      <c r="AW339" s="308"/>
      <c r="AX339" s="308"/>
    </row>
    <row r="340" spans="16:50">
      <c r="P340" s="388"/>
      <c r="Q340" s="308"/>
      <c r="R340" s="308"/>
      <c r="S340" s="308"/>
      <c r="T340" s="308"/>
      <c r="U340" s="308"/>
      <c r="V340" s="308"/>
      <c r="W340" s="308"/>
      <c r="X340" s="308"/>
      <c r="Y340" s="308"/>
      <c r="Z340" s="308"/>
      <c r="AA340" s="308"/>
      <c r="AB340" s="308"/>
      <c r="AC340" s="308"/>
      <c r="AD340" s="308"/>
      <c r="AE340" s="308"/>
      <c r="AF340" s="308"/>
      <c r="AG340" s="308"/>
      <c r="AH340" s="308"/>
      <c r="AI340" s="308"/>
      <c r="AJ340" s="308"/>
      <c r="AK340" s="308"/>
      <c r="AL340" s="308"/>
      <c r="AM340" s="308"/>
      <c r="AN340" s="308"/>
      <c r="AO340" s="308"/>
      <c r="AP340" s="308"/>
      <c r="AQ340" s="308"/>
      <c r="AR340" s="308"/>
      <c r="AS340" s="308"/>
      <c r="AT340" s="308"/>
      <c r="AU340" s="308"/>
      <c r="AV340" s="308"/>
      <c r="AW340" s="308"/>
      <c r="AX340" s="308"/>
    </row>
    <row r="341" spans="16:50">
      <c r="P341" s="388"/>
      <c r="Q341" s="308"/>
      <c r="R341" s="308"/>
      <c r="S341" s="308"/>
      <c r="T341" s="308"/>
      <c r="U341" s="308"/>
      <c r="V341" s="308"/>
      <c r="W341" s="308"/>
      <c r="X341" s="308"/>
      <c r="Y341" s="308"/>
      <c r="Z341" s="308"/>
      <c r="AA341" s="308"/>
      <c r="AB341" s="308"/>
      <c r="AC341" s="308"/>
      <c r="AD341" s="308"/>
      <c r="AE341" s="308"/>
      <c r="AF341" s="308"/>
      <c r="AG341" s="308"/>
      <c r="AH341" s="308"/>
      <c r="AI341" s="308"/>
      <c r="AJ341" s="308"/>
      <c r="AK341" s="308"/>
      <c r="AL341" s="308"/>
      <c r="AM341" s="308"/>
      <c r="AN341" s="308"/>
      <c r="AO341" s="308"/>
      <c r="AP341" s="308"/>
      <c r="AQ341" s="308"/>
      <c r="AR341" s="308"/>
      <c r="AS341" s="308"/>
      <c r="AT341" s="308"/>
      <c r="AU341" s="308"/>
      <c r="AV341" s="308"/>
      <c r="AW341" s="308"/>
      <c r="AX341" s="308"/>
    </row>
    <row r="342" spans="16:50">
      <c r="P342" s="388"/>
      <c r="Q342" s="308"/>
      <c r="R342" s="308"/>
      <c r="S342" s="308"/>
      <c r="T342" s="308"/>
      <c r="U342" s="308"/>
      <c r="V342" s="308"/>
      <c r="W342" s="308"/>
      <c r="X342" s="308"/>
      <c r="Y342" s="308"/>
      <c r="Z342" s="308"/>
      <c r="AA342" s="308"/>
      <c r="AB342" s="308"/>
      <c r="AC342" s="308"/>
      <c r="AD342" s="308"/>
      <c r="AE342" s="308"/>
      <c r="AF342" s="308"/>
      <c r="AG342" s="308"/>
      <c r="AH342" s="308"/>
      <c r="AI342" s="308"/>
      <c r="AJ342" s="308"/>
      <c r="AK342" s="308"/>
      <c r="AL342" s="308"/>
      <c r="AM342" s="308"/>
      <c r="AN342" s="308"/>
      <c r="AO342" s="308"/>
      <c r="AP342" s="308"/>
      <c r="AQ342" s="308"/>
      <c r="AR342" s="308"/>
      <c r="AS342" s="308"/>
      <c r="AT342" s="308"/>
      <c r="AU342" s="308"/>
      <c r="AV342" s="308"/>
      <c r="AW342" s="308"/>
      <c r="AX342" s="308"/>
    </row>
    <row r="343" spans="16:50">
      <c r="P343" s="388"/>
      <c r="Q343" s="308"/>
      <c r="R343" s="308"/>
      <c r="S343" s="308"/>
      <c r="T343" s="308"/>
      <c r="U343" s="308"/>
      <c r="V343" s="308"/>
      <c r="W343" s="308"/>
      <c r="X343" s="308"/>
      <c r="Y343" s="308"/>
      <c r="Z343" s="308"/>
      <c r="AA343" s="308"/>
      <c r="AB343" s="308"/>
      <c r="AC343" s="308"/>
      <c r="AD343" s="308"/>
      <c r="AE343" s="308"/>
      <c r="AF343" s="308"/>
      <c r="AG343" s="308"/>
      <c r="AH343" s="308"/>
      <c r="AI343" s="308"/>
      <c r="AJ343" s="308"/>
      <c r="AK343" s="308"/>
      <c r="AL343" s="308"/>
      <c r="AM343" s="308"/>
      <c r="AN343" s="308"/>
      <c r="AO343" s="308"/>
      <c r="AP343" s="308"/>
      <c r="AQ343" s="308"/>
      <c r="AR343" s="308"/>
      <c r="AS343" s="308"/>
      <c r="AT343" s="308"/>
      <c r="AU343" s="308"/>
      <c r="AV343" s="308"/>
      <c r="AW343" s="308"/>
      <c r="AX343" s="308"/>
    </row>
    <row r="344" spans="16:50">
      <c r="P344" s="388"/>
      <c r="Q344" s="308"/>
      <c r="R344" s="308"/>
      <c r="S344" s="308"/>
      <c r="T344" s="308"/>
      <c r="U344" s="308"/>
      <c r="V344" s="308"/>
      <c r="W344" s="308"/>
      <c r="X344" s="308"/>
      <c r="Y344" s="308"/>
      <c r="Z344" s="308"/>
      <c r="AA344" s="308"/>
      <c r="AB344" s="308"/>
      <c r="AC344" s="308"/>
      <c r="AD344" s="308"/>
      <c r="AE344" s="308"/>
      <c r="AF344" s="308"/>
      <c r="AG344" s="308"/>
      <c r="AH344" s="308"/>
      <c r="AI344" s="308"/>
      <c r="AJ344" s="308"/>
      <c r="AK344" s="308"/>
      <c r="AL344" s="308"/>
      <c r="AM344" s="308"/>
      <c r="AN344" s="308"/>
      <c r="AO344" s="308"/>
      <c r="AP344" s="308"/>
      <c r="AQ344" s="308"/>
      <c r="AR344" s="308"/>
      <c r="AS344" s="308"/>
      <c r="AT344" s="308"/>
      <c r="AU344" s="308"/>
      <c r="AV344" s="308"/>
      <c r="AW344" s="308"/>
      <c r="AX344" s="308"/>
    </row>
    <row r="345" spans="16:50">
      <c r="P345" s="388"/>
      <c r="Q345" s="308"/>
      <c r="R345" s="308"/>
      <c r="S345" s="308"/>
      <c r="T345" s="308"/>
      <c r="U345" s="308"/>
      <c r="V345" s="308"/>
      <c r="W345" s="308"/>
      <c r="X345" s="308"/>
      <c r="Y345" s="308"/>
      <c r="Z345" s="308"/>
      <c r="AA345" s="308"/>
      <c r="AB345" s="308"/>
      <c r="AC345" s="308"/>
      <c r="AD345" s="308"/>
      <c r="AE345" s="308"/>
      <c r="AF345" s="308"/>
      <c r="AG345" s="308"/>
      <c r="AH345" s="308"/>
      <c r="AI345" s="308"/>
      <c r="AJ345" s="308"/>
      <c r="AK345" s="308"/>
      <c r="AL345" s="308"/>
      <c r="AM345" s="308"/>
      <c r="AN345" s="308"/>
      <c r="AO345" s="308"/>
      <c r="AP345" s="308"/>
      <c r="AQ345" s="308"/>
      <c r="AR345" s="308"/>
      <c r="AS345" s="308"/>
      <c r="AT345" s="308"/>
      <c r="AU345" s="308"/>
      <c r="AV345" s="308"/>
      <c r="AW345" s="308"/>
      <c r="AX345" s="308"/>
    </row>
  </sheetData>
  <mergeCells count="8">
    <mergeCell ref="AK1:AK2"/>
    <mergeCell ref="B1:D1"/>
    <mergeCell ref="Q1:Q2"/>
    <mergeCell ref="B4:B5"/>
    <mergeCell ref="C4:C5"/>
    <mergeCell ref="D4:D5"/>
    <mergeCell ref="E4:E5"/>
    <mergeCell ref="F4:G4"/>
  </mergeCells>
  <pageMargins left="0.59055118110236215" right="0.62992125984251968" top="1.5748031496062993" bottom="1.9685039370078741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6" tint="0.39997558519241921"/>
  </sheetPr>
  <dimension ref="A1:BF65"/>
  <sheetViews>
    <sheetView workbookViewId="0">
      <selection activeCell="B2" sqref="B2"/>
    </sheetView>
  </sheetViews>
  <sheetFormatPr defaultRowHeight="12.75"/>
  <cols>
    <col min="1" max="1" width="1.710937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style="54" customWidth="1"/>
    <col min="9" max="15" width="0.85546875" style="71" customWidth="1"/>
    <col min="16" max="16" width="9.42578125" style="54" customWidth="1"/>
    <col min="17" max="17" width="38.42578125" bestFit="1" customWidth="1"/>
    <col min="18" max="18" width="9.140625" bestFit="1" customWidth="1"/>
    <col min="19" max="23" width="7.140625" bestFit="1" customWidth="1"/>
    <col min="24" max="24" width="8" bestFit="1" customWidth="1"/>
    <col min="25" max="30" width="8.140625" bestFit="1" customWidth="1"/>
    <col min="31" max="33" width="9.140625" bestFit="1" customWidth="1"/>
    <col min="34" max="36" width="8.140625" bestFit="1" customWidth="1"/>
    <col min="37" max="37" width="38.42578125" bestFit="1" customWidth="1"/>
    <col min="38" max="56" width="9.28515625" bestFit="1" customWidth="1"/>
  </cols>
  <sheetData>
    <row r="1" spans="1:58" ht="15">
      <c r="A1" s="65"/>
      <c r="B1" s="483" t="s">
        <v>401</v>
      </c>
      <c r="C1" s="483"/>
      <c r="D1" s="483"/>
      <c r="E1" s="484"/>
      <c r="F1" s="485"/>
      <c r="G1" s="485"/>
      <c r="H1" s="486"/>
      <c r="I1" s="486"/>
      <c r="J1" s="486"/>
      <c r="K1" s="486"/>
      <c r="L1" s="486"/>
      <c r="M1" s="486"/>
      <c r="N1" s="486"/>
      <c r="O1" s="68"/>
      <c r="P1" s="259"/>
      <c r="Q1" s="413" t="s">
        <v>413</v>
      </c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  <c r="AY1" s="341"/>
      <c r="AZ1" s="341"/>
      <c r="BA1" s="341"/>
      <c r="BB1" s="341"/>
      <c r="BC1" s="341"/>
      <c r="BD1" s="341"/>
    </row>
    <row r="2" spans="1:58" ht="12.75" customHeight="1">
      <c r="A2" s="64"/>
      <c r="B2" s="485" t="str">
        <f>"Diagnozuotų onkologinių susirgimų skaičius ir sergamumo rodikliai Lietuvoje pagal lokalizaciją  " &amp; GrafikaiSerg!A1 &amp; " metais. Moterys"</f>
        <v>Diagnozuotų onkologinių susirgimų skaičius ir sergamumo rodikliai Lietuvoje pagal lokalizaciją  2013 metais. Moterys</v>
      </c>
      <c r="C2" s="485"/>
      <c r="D2" s="485"/>
      <c r="E2" s="487"/>
      <c r="F2" s="485"/>
      <c r="G2" s="485"/>
      <c r="H2" s="486"/>
      <c r="I2" s="486"/>
      <c r="J2" s="486"/>
      <c r="K2" s="486"/>
      <c r="L2" s="486"/>
      <c r="M2" s="486"/>
      <c r="N2" s="486"/>
      <c r="O2" s="68"/>
      <c r="P2" s="259"/>
      <c r="Q2" s="413"/>
      <c r="R2" s="342" t="s">
        <v>353</v>
      </c>
      <c r="S2" s="421" t="s">
        <v>357</v>
      </c>
      <c r="T2" s="421"/>
      <c r="U2" s="421"/>
      <c r="V2" s="343">
        <f>GrafikaiSerg!A1</f>
        <v>2013</v>
      </c>
      <c r="W2" s="341" t="s">
        <v>356</v>
      </c>
      <c r="X2" s="341" t="str">
        <f>CONCATENATE("pop",RIGHT(V2,2),"m")</f>
        <v>pop13m</v>
      </c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4" t="s">
        <v>414</v>
      </c>
      <c r="AL2" s="342" t="s">
        <v>353</v>
      </c>
      <c r="AM2" s="421" t="s">
        <v>357</v>
      </c>
      <c r="AN2" s="421"/>
      <c r="AO2" s="421"/>
      <c r="AP2" s="343" t="e">
        <f>#REF!</f>
        <v>#REF!</v>
      </c>
      <c r="AQ2" s="341" t="s">
        <v>356</v>
      </c>
      <c r="AR2" s="341" t="e">
        <f>CONCATENATE("pop",RIGHT(AP2,2),"m")</f>
        <v>#REF!</v>
      </c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/>
    </row>
    <row r="3" spans="1:58" ht="12.75" customHeight="1">
      <c r="A3" s="64"/>
      <c r="B3" s="70" t="s">
        <v>638</v>
      </c>
      <c r="C3" s="64"/>
      <c r="D3" s="64"/>
      <c r="E3" s="64"/>
      <c r="F3" s="65"/>
      <c r="G3" s="65"/>
      <c r="H3" s="68"/>
      <c r="I3" s="68"/>
      <c r="J3" s="68"/>
      <c r="K3" s="68"/>
      <c r="L3" s="68"/>
      <c r="M3" s="68"/>
      <c r="N3" s="68"/>
      <c r="O3" s="68"/>
      <c r="P3" s="261"/>
      <c r="Q3" s="473" t="s">
        <v>407</v>
      </c>
      <c r="R3" s="474">
        <f>SUM(S3:AJ3)</f>
        <v>100000</v>
      </c>
      <c r="S3" s="475">
        <v>8000</v>
      </c>
      <c r="T3" s="475">
        <v>7000</v>
      </c>
      <c r="U3" s="475">
        <v>7000</v>
      </c>
      <c r="V3" s="475">
        <v>7000</v>
      </c>
      <c r="W3" s="475">
        <v>7000</v>
      </c>
      <c r="X3" s="475">
        <v>7000</v>
      </c>
      <c r="Y3" s="475">
        <v>7000</v>
      </c>
      <c r="Z3" s="475">
        <v>7000</v>
      </c>
      <c r="AA3" s="475">
        <v>7000</v>
      </c>
      <c r="AB3" s="475">
        <v>7000</v>
      </c>
      <c r="AC3" s="475">
        <v>7000</v>
      </c>
      <c r="AD3" s="475">
        <v>6000</v>
      </c>
      <c r="AE3" s="475">
        <v>5000</v>
      </c>
      <c r="AF3" s="475">
        <v>4000</v>
      </c>
      <c r="AG3" s="475">
        <v>3000</v>
      </c>
      <c r="AH3" s="475">
        <v>2000</v>
      </c>
      <c r="AI3" s="475">
        <v>1000</v>
      </c>
      <c r="AJ3" s="475">
        <v>1000</v>
      </c>
      <c r="AK3" s="473" t="s">
        <v>408</v>
      </c>
      <c r="AL3" s="474">
        <f>SUM(AM3:BD3)</f>
        <v>100000</v>
      </c>
      <c r="AM3" s="476">
        <v>12000</v>
      </c>
      <c r="AN3" s="476">
        <v>10000</v>
      </c>
      <c r="AO3" s="476">
        <v>9000</v>
      </c>
      <c r="AP3" s="476">
        <v>9000</v>
      </c>
      <c r="AQ3" s="476">
        <v>8000</v>
      </c>
      <c r="AR3" s="476">
        <v>8000</v>
      </c>
      <c r="AS3" s="476">
        <v>6000</v>
      </c>
      <c r="AT3" s="476">
        <v>6000</v>
      </c>
      <c r="AU3" s="476">
        <v>6000</v>
      </c>
      <c r="AV3" s="476">
        <v>6000</v>
      </c>
      <c r="AW3" s="476">
        <v>5000</v>
      </c>
      <c r="AX3" s="476">
        <v>4000</v>
      </c>
      <c r="AY3" s="476">
        <v>4000</v>
      </c>
      <c r="AZ3" s="476">
        <v>3000</v>
      </c>
      <c r="BA3" s="476">
        <v>2000</v>
      </c>
      <c r="BB3" s="476">
        <v>1000</v>
      </c>
      <c r="BC3" s="476">
        <v>500</v>
      </c>
      <c r="BD3" s="476">
        <v>500</v>
      </c>
      <c r="BE3" s="477"/>
      <c r="BF3" s="477"/>
    </row>
    <row r="4" spans="1:58" ht="12.95" customHeight="1">
      <c r="A4" s="64"/>
      <c r="B4" s="414" t="s">
        <v>350</v>
      </c>
      <c r="C4" s="414" t="s">
        <v>243</v>
      </c>
      <c r="D4" s="417" t="s">
        <v>267</v>
      </c>
      <c r="E4" s="419" t="s">
        <v>354</v>
      </c>
      <c r="F4" s="422" t="s">
        <v>358</v>
      </c>
      <c r="G4" s="423"/>
      <c r="H4" s="68"/>
      <c r="I4" s="68"/>
      <c r="J4" s="68"/>
      <c r="K4" s="68"/>
      <c r="L4" s="68"/>
      <c r="M4" s="68"/>
      <c r="N4" s="68"/>
      <c r="O4" s="68"/>
      <c r="P4" s="262"/>
      <c r="Q4" s="476" t="s">
        <v>452</v>
      </c>
      <c r="R4" s="474">
        <f>SUM(S4:AJ4)</f>
        <v>1595246</v>
      </c>
      <c r="S4" s="478">
        <f>HLOOKUP($X$2,Populiacija!$B$1:$BB$40,23,FALSE)</f>
        <v>73612</v>
      </c>
      <c r="T4" s="478">
        <f>HLOOKUP($X$2,Populiacija!$B$1:$BB$40,24,FALSE)</f>
        <v>65974</v>
      </c>
      <c r="U4" s="478">
        <f>HLOOKUP($X$2,Populiacija!$B$1:$BB$40,25,FALSE)</f>
        <v>71497</v>
      </c>
      <c r="V4" s="478">
        <f>HLOOKUP($X$2,Populiacija!$B$1:$BB$40,26,FALSE)</f>
        <v>88846</v>
      </c>
      <c r="W4" s="478">
        <f>HLOOKUP($X$2,Populiacija!$B$1:$BB$40,27,FALSE)</f>
        <v>103926</v>
      </c>
      <c r="X4" s="478">
        <f>HLOOKUP($X$2,Populiacija!$B$1:$BB$40,28,FALSE)</f>
        <v>95057</v>
      </c>
      <c r="Y4" s="478">
        <f>HLOOKUP($X$2,Populiacija!$B$1:$BB$40,29,FALSE)</f>
        <v>87387</v>
      </c>
      <c r="Z4" s="478">
        <f>HLOOKUP($X$2,Populiacija!$B$1:$BB$40,30,FALSE)</f>
        <v>95336</v>
      </c>
      <c r="AA4" s="478">
        <f>HLOOKUP($X$2,Populiacija!$B$1:$BB$40,31,FALSE)</f>
        <v>108432</v>
      </c>
      <c r="AB4" s="478">
        <f>HLOOKUP($X$2,Populiacija!$B$1:$BB$40,32,FALSE)</f>
        <v>112259</v>
      </c>
      <c r="AC4" s="478">
        <f>HLOOKUP($X$2,Populiacija!$B$1:$BB$40,33,FALSE)</f>
        <v>126113</v>
      </c>
      <c r="AD4" s="478">
        <f>HLOOKUP($X$2,Populiacija!$B$1:$BB$40,34,FALSE)</f>
        <v>107867</v>
      </c>
      <c r="AE4" s="478">
        <f>HLOOKUP($X$2,Populiacija!$B$1:$BB$40,35,FALSE)</f>
        <v>98916</v>
      </c>
      <c r="AF4" s="478">
        <f>HLOOKUP($X$2,Populiacija!$B$1:$BB$40,36,FALSE)</f>
        <v>83247</v>
      </c>
      <c r="AG4" s="478">
        <f>HLOOKUP($X$2,Populiacija!$B$1:$BB$40,37,FALSE)</f>
        <v>90066</v>
      </c>
      <c r="AH4" s="478">
        <f>HLOOKUP($X$2,Populiacija!$B$1:$BB$40,38,FALSE)</f>
        <v>80494</v>
      </c>
      <c r="AI4" s="478">
        <f>HLOOKUP($X$2,Populiacija!$B$1:$BB$40,39,FALSE)</f>
        <v>60795</v>
      </c>
      <c r="AJ4" s="478">
        <f>HLOOKUP($X$2,Populiacija!$B$1:$BB$40,40,FALSE)</f>
        <v>45422</v>
      </c>
      <c r="AK4" s="476" t="s">
        <v>452</v>
      </c>
      <c r="AL4" s="474">
        <f>SUM(AM4:BD4)</f>
        <v>1595246</v>
      </c>
      <c r="AM4" s="478">
        <f>HLOOKUP($X$2,Populiacija!$B$1:$BB$40,23,FALSE)</f>
        <v>73612</v>
      </c>
      <c r="AN4" s="478">
        <f>HLOOKUP($X$2,Populiacija!$B$1:$BB$40,24,FALSE)</f>
        <v>65974</v>
      </c>
      <c r="AO4" s="478">
        <f>HLOOKUP($X$2,Populiacija!$B$1:$BB$40,25,FALSE)</f>
        <v>71497</v>
      </c>
      <c r="AP4" s="478">
        <f>HLOOKUP($X$2,Populiacija!$B$1:$BB$40,26,FALSE)</f>
        <v>88846</v>
      </c>
      <c r="AQ4" s="478">
        <f>HLOOKUP($X$2,Populiacija!$B$1:$BB$40,27,FALSE)</f>
        <v>103926</v>
      </c>
      <c r="AR4" s="478">
        <f>HLOOKUP($X$2,Populiacija!$B$1:$BB$40,28,FALSE)</f>
        <v>95057</v>
      </c>
      <c r="AS4" s="478">
        <f>HLOOKUP($X$2,Populiacija!$B$1:$BB$40,29,FALSE)</f>
        <v>87387</v>
      </c>
      <c r="AT4" s="478">
        <f>HLOOKUP($X$2,Populiacija!$B$1:$BB$40,30,FALSE)</f>
        <v>95336</v>
      </c>
      <c r="AU4" s="478">
        <f>HLOOKUP($X$2,Populiacija!$B$1:$BB$40,31,FALSE)</f>
        <v>108432</v>
      </c>
      <c r="AV4" s="478">
        <f>HLOOKUP($X$2,Populiacija!$B$1:$BB$40,32,FALSE)</f>
        <v>112259</v>
      </c>
      <c r="AW4" s="478">
        <f>HLOOKUP($X$2,Populiacija!$B$1:$BB$40,33,FALSE)</f>
        <v>126113</v>
      </c>
      <c r="AX4" s="478">
        <f>HLOOKUP($X$2,Populiacija!$B$1:$BB$40,34,FALSE)</f>
        <v>107867</v>
      </c>
      <c r="AY4" s="478">
        <f>HLOOKUP($X$2,Populiacija!$B$1:$BB$40,35,FALSE)</f>
        <v>98916</v>
      </c>
      <c r="AZ4" s="478">
        <f>HLOOKUP($X$2,Populiacija!$B$1:$BB$40,36,FALSE)</f>
        <v>83247</v>
      </c>
      <c r="BA4" s="478">
        <f>HLOOKUP($X$2,Populiacija!$B$1:$BB$40,37,FALSE)</f>
        <v>90066</v>
      </c>
      <c r="BB4" s="478">
        <f>HLOOKUP($X$2,Populiacija!$B$1:$BB$40,38,FALSE)</f>
        <v>80494</v>
      </c>
      <c r="BC4" s="478">
        <f>HLOOKUP($X$2,Populiacija!$B$1:$BB$40,39,FALSE)</f>
        <v>60795</v>
      </c>
      <c r="BD4" s="478">
        <f>HLOOKUP($X$2,Populiacija!$B$1:$BB$40,40,FALSE)</f>
        <v>45422</v>
      </c>
      <c r="BE4" s="477"/>
      <c r="BF4" s="477"/>
    </row>
    <row r="5" spans="1:58" ht="12.95" customHeight="1" thickBot="1">
      <c r="A5" s="64"/>
      <c r="B5" s="415"/>
      <c r="C5" s="415"/>
      <c r="D5" s="418"/>
      <c r="E5" s="420"/>
      <c r="F5" s="272" t="s">
        <v>426</v>
      </c>
      <c r="G5" s="272" t="s">
        <v>427</v>
      </c>
      <c r="H5" s="69"/>
      <c r="I5" s="69"/>
      <c r="J5" s="69"/>
      <c r="K5" s="69"/>
      <c r="L5" s="69"/>
      <c r="M5" s="69"/>
      <c r="N5" s="69"/>
      <c r="O5" s="69"/>
      <c r="P5" s="263"/>
      <c r="Q5" s="476" t="s">
        <v>351</v>
      </c>
      <c r="R5" s="479"/>
      <c r="S5" s="480" t="s">
        <v>13</v>
      </c>
      <c r="T5" s="481" t="s">
        <v>11</v>
      </c>
      <c r="U5" s="481" t="s">
        <v>12</v>
      </c>
      <c r="V5" s="480" t="s">
        <v>14</v>
      </c>
      <c r="W5" s="480" t="s">
        <v>15</v>
      </c>
      <c r="X5" s="480" t="s">
        <v>16</v>
      </c>
      <c r="Y5" s="480" t="s">
        <v>158</v>
      </c>
      <c r="Z5" s="480" t="s">
        <v>17</v>
      </c>
      <c r="AA5" s="480" t="s">
        <v>18</v>
      </c>
      <c r="AB5" s="480" t="s">
        <v>19</v>
      </c>
      <c r="AC5" s="480" t="s">
        <v>20</v>
      </c>
      <c r="AD5" s="480" t="s">
        <v>21</v>
      </c>
      <c r="AE5" s="480" t="s">
        <v>159</v>
      </c>
      <c r="AF5" s="480" t="s">
        <v>160</v>
      </c>
      <c r="AG5" s="480" t="s">
        <v>161</v>
      </c>
      <c r="AH5" s="480" t="s">
        <v>162</v>
      </c>
      <c r="AI5" s="480" t="s">
        <v>22</v>
      </c>
      <c r="AJ5" s="480" t="s">
        <v>23</v>
      </c>
      <c r="AK5" s="476" t="s">
        <v>351</v>
      </c>
      <c r="AL5" s="479"/>
      <c r="AM5" s="480" t="s">
        <v>13</v>
      </c>
      <c r="AN5" s="481" t="s">
        <v>11</v>
      </c>
      <c r="AO5" s="481" t="s">
        <v>12</v>
      </c>
      <c r="AP5" s="480" t="s">
        <v>14</v>
      </c>
      <c r="AQ5" s="480" t="s">
        <v>15</v>
      </c>
      <c r="AR5" s="480" t="s">
        <v>16</v>
      </c>
      <c r="AS5" s="480" t="s">
        <v>158</v>
      </c>
      <c r="AT5" s="480" t="s">
        <v>17</v>
      </c>
      <c r="AU5" s="480" t="s">
        <v>18</v>
      </c>
      <c r="AV5" s="480" t="s">
        <v>19</v>
      </c>
      <c r="AW5" s="480" t="s">
        <v>20</v>
      </c>
      <c r="AX5" s="480" t="s">
        <v>21</v>
      </c>
      <c r="AY5" s="480" t="s">
        <v>159</v>
      </c>
      <c r="AZ5" s="480" t="s">
        <v>160</v>
      </c>
      <c r="BA5" s="480" t="s">
        <v>161</v>
      </c>
      <c r="BB5" s="480" t="s">
        <v>162</v>
      </c>
      <c r="BC5" s="480" t="s">
        <v>22</v>
      </c>
      <c r="BD5" s="480" t="s">
        <v>23</v>
      </c>
      <c r="BE5" s="477"/>
      <c r="BF5" s="477"/>
    </row>
    <row r="6" spans="1:58" ht="12" customHeight="1" thickTop="1">
      <c r="A6" s="64"/>
      <c r="B6" s="144" t="str">
        <f>UPPER(LEFT(TRIM(Data!B5),1)) &amp; MID(TRIM(Data!B5),2,50)</f>
        <v>Piktybiniai navikai</v>
      </c>
      <c r="C6" s="123" t="str">
        <f>UPPER(LEFT(TRIM(Data!C5),1)) &amp; MID(TRIM(Data!C5),2,50)</f>
        <v>C00-C96</v>
      </c>
      <c r="D6" s="124">
        <f>Data!BQ5</f>
        <v>8306</v>
      </c>
      <c r="E6" s="125">
        <f t="shared" ref="E6:E7" si="0">D6/$R$4*100000</f>
        <v>520.6720468191113</v>
      </c>
      <c r="F6" s="126">
        <f>R6/$R$3</f>
        <v>347.12623817747743</v>
      </c>
      <c r="G6" s="126">
        <f t="shared" ref="G6:G7" si="1">AL6/$AL$3</f>
        <v>252.46505065278276</v>
      </c>
      <c r="H6" s="69"/>
      <c r="I6" s="69"/>
      <c r="J6" s="69"/>
      <c r="K6" s="69"/>
      <c r="L6" s="69"/>
      <c r="M6" s="69"/>
      <c r="N6" s="69"/>
      <c r="O6" s="69"/>
      <c r="P6" s="264"/>
      <c r="Q6" s="482" t="s">
        <v>352</v>
      </c>
      <c r="R6" s="474">
        <f t="shared" ref="R6:R51" si="2">SUM(S6:AJ6)</f>
        <v>34712623.817747742</v>
      </c>
      <c r="S6" s="474">
        <f>Data!CD5/S$4*100000*S$3</f>
        <v>173884.69271314461</v>
      </c>
      <c r="T6" s="474">
        <f>Data!CE5/T$4*100000*T$3</f>
        <v>74271.682784127086</v>
      </c>
      <c r="U6" s="474">
        <f>Data!CF5/U$4*100000*U$3</f>
        <v>97906.205854791115</v>
      </c>
      <c r="V6" s="474">
        <f>Data!CG5/V$4*100000*V$3</f>
        <v>63030.412173873898</v>
      </c>
      <c r="W6" s="474">
        <f>Data!CH5/W$4*100000*W$3</f>
        <v>175124.60789407845</v>
      </c>
      <c r="X6" s="474">
        <f>Data!CI5/X$4*100000*X$3</f>
        <v>449204.16171349824</v>
      </c>
      <c r="Y6" s="474">
        <f>Data!CJ5/Y$4*100000*Y$3</f>
        <v>897158.6162701546</v>
      </c>
      <c r="Z6" s="474">
        <f>Data!CK5/Z$4*100000*Z$3</f>
        <v>1101367.7939078629</v>
      </c>
      <c r="AA6" s="474">
        <f>Data!CL5/AA$4*100000*AA$3</f>
        <v>1988342.9245979046</v>
      </c>
      <c r="AB6" s="474">
        <f>Data!CM5/AB$4*100000*AB$3</f>
        <v>2837189.0004364904</v>
      </c>
      <c r="AC6" s="474">
        <f>Data!CN5/AC$4*100000*AC$3</f>
        <v>3990865.335056656</v>
      </c>
      <c r="AD6" s="474">
        <f>Data!CO5/AD$4*100000*AD$3</f>
        <v>4444362.0384362219</v>
      </c>
      <c r="AE6" s="474">
        <f>Data!CP5/AE$4*100000*AE$3</f>
        <v>4508876.2182053467</v>
      </c>
      <c r="AF6" s="474">
        <f>Data!CQ5/AF$4*100000*AF$3</f>
        <v>4579143.9931769306</v>
      </c>
      <c r="AG6" s="474">
        <f>Data!CR5/AG$4*100000*AG$3</f>
        <v>3534075.0116581172</v>
      </c>
      <c r="AH6" s="474">
        <f>Data!CS5/AH$4*100000*AH$3</f>
        <v>2713245.7077546152</v>
      </c>
      <c r="AI6" s="474">
        <f>Data!CT5/AI$4*100000*AI$3</f>
        <v>1534665.6797434001</v>
      </c>
      <c r="AJ6" s="474">
        <f>Data!CU5/AJ$4*100000*AJ$3</f>
        <v>1549909.7353705252</v>
      </c>
      <c r="AK6" s="482" t="s">
        <v>352</v>
      </c>
      <c r="AL6" s="474">
        <f t="shared" ref="AL6:AL51" si="3">SUM(AM6:BD6)</f>
        <v>25246505.065278277</v>
      </c>
      <c r="AM6" s="474">
        <f>Data!CD5/AM$4*100000*AM$3</f>
        <v>260827.03906971691</v>
      </c>
      <c r="AN6" s="474">
        <f>Data!CE5/AN$4*100000*AN$3</f>
        <v>106102.4039773244</v>
      </c>
      <c r="AO6" s="474">
        <f>Data!CF5/AO$4*100000*AO$3</f>
        <v>125879.40752758858</v>
      </c>
      <c r="AP6" s="474">
        <f>Data!CG5/AP$4*100000*AP$3</f>
        <v>81039.101366409304</v>
      </c>
      <c r="AQ6" s="474">
        <f>Data!CH5/AQ$4*100000*AQ$3</f>
        <v>200142.40902180396</v>
      </c>
      <c r="AR6" s="474">
        <f>Data!CI5/AR$4*100000*AR$3</f>
        <v>513376.18481542653</v>
      </c>
      <c r="AS6" s="474">
        <f>Data!CJ5/AS$4*100000*AS$3</f>
        <v>768993.09966013243</v>
      </c>
      <c r="AT6" s="474">
        <f>Data!CK5/AT$4*100000*AT$3</f>
        <v>944029.53763531102</v>
      </c>
      <c r="AU6" s="474">
        <f>Data!CL5/AU$4*100000*AU$3</f>
        <v>1704293.9353696324</v>
      </c>
      <c r="AV6" s="474">
        <f>Data!CM5/AV$4*100000*AV$3</f>
        <v>2431876.2860884205</v>
      </c>
      <c r="AW6" s="474">
        <f>Data!CN5/AW$4*100000*AW$3</f>
        <v>2850618.09646904</v>
      </c>
      <c r="AX6" s="474">
        <f>Data!CO5/AX$4*100000*AX$3</f>
        <v>2962908.0256241481</v>
      </c>
      <c r="AY6" s="474">
        <f>Data!CP5/AY$4*100000*AY$3</f>
        <v>3607100.9745642771</v>
      </c>
      <c r="AZ6" s="474">
        <f>Data!CQ5/AZ$4*100000*AZ$3</f>
        <v>3434357.9948826982</v>
      </c>
      <c r="BA6" s="474">
        <f>Data!CR5/BA$4*100000*BA$3</f>
        <v>2356050.0077720783</v>
      </c>
      <c r="BB6" s="474">
        <f>Data!CS5/BB$4*100000*BB$3</f>
        <v>1356622.8538773076</v>
      </c>
      <c r="BC6" s="474">
        <f>Data!CT5/BC$4*100000*BC$3</f>
        <v>767332.83987170004</v>
      </c>
      <c r="BD6" s="474">
        <f>Data!CU5/BD$4*100000*BD$3</f>
        <v>774954.86768526258</v>
      </c>
      <c r="BE6" s="477"/>
      <c r="BF6" s="477"/>
    </row>
    <row r="7" spans="1:58" ht="12" customHeight="1">
      <c r="A7" s="64"/>
      <c r="B7" s="283" t="str">
        <f>UPPER(LEFT(TRIM(Data!B6),1)) &amp; MID(TRIM(Data!B6),2,50)</f>
        <v>Lūpos</v>
      </c>
      <c r="C7" s="284" t="str">
        <f>UPPER(LEFT(TRIM(Data!C6),1)) &amp; MID(TRIM(Data!C6),2,50)</f>
        <v>C00</v>
      </c>
      <c r="D7" s="285">
        <f>Data!BQ6</f>
        <v>17</v>
      </c>
      <c r="E7" s="286">
        <f t="shared" si="0"/>
        <v>1.0656663611756432</v>
      </c>
      <c r="F7" s="287">
        <f>R7/$R$3</f>
        <v>0.36441714131168262</v>
      </c>
      <c r="G7" s="287">
        <f t="shared" si="1"/>
        <v>0.19977250001569682</v>
      </c>
      <c r="H7" s="69"/>
      <c r="I7" s="69"/>
      <c r="J7" s="69"/>
      <c r="K7" s="69"/>
      <c r="L7" s="69"/>
      <c r="M7" s="69"/>
      <c r="N7" s="69"/>
      <c r="O7" s="69"/>
      <c r="P7" s="264"/>
      <c r="Q7" s="482" t="s">
        <v>352</v>
      </c>
      <c r="R7" s="474">
        <f t="shared" si="2"/>
        <v>36441.714131168264</v>
      </c>
      <c r="S7" s="474">
        <f>Data!CD6/S$4*100000*S$3</f>
        <v>0</v>
      </c>
      <c r="T7" s="474">
        <f>Data!CE6/T$4*100000*T$3</f>
        <v>0</v>
      </c>
      <c r="U7" s="474">
        <f>Data!CF6/U$4*100000*U$3</f>
        <v>0</v>
      </c>
      <c r="V7" s="474">
        <f>Data!CG6/V$4*100000*V$3</f>
        <v>0</v>
      </c>
      <c r="W7" s="474">
        <f>Data!CH6/W$4*100000*W$3</f>
        <v>0</v>
      </c>
      <c r="X7" s="474">
        <f>Data!CI6/X$4*100000*X$3</f>
        <v>0</v>
      </c>
      <c r="Y7" s="474">
        <f>Data!CJ6/Y$4*100000*Y$3</f>
        <v>0</v>
      </c>
      <c r="Z7" s="474">
        <f>Data!CK6/Z$4*100000*Z$3</f>
        <v>0</v>
      </c>
      <c r="AA7" s="474">
        <f>Data!CL6/AA$4*100000*AA$3</f>
        <v>0</v>
      </c>
      <c r="AB7" s="474">
        <f>Data!CM6/AB$4*100000*AB$3</f>
        <v>0</v>
      </c>
      <c r="AC7" s="474">
        <f>Data!CN6/AC$4*100000*AC$3</f>
        <v>0</v>
      </c>
      <c r="AD7" s="474">
        <f>Data!CO6/AD$4*100000*AD$3</f>
        <v>0</v>
      </c>
      <c r="AE7" s="474">
        <f>Data!CP6/AE$4*100000*AE$3</f>
        <v>0</v>
      </c>
      <c r="AF7" s="474">
        <f>Data!CQ6/AF$4*100000*AF$3</f>
        <v>4804.9779571636209</v>
      </c>
      <c r="AG7" s="474">
        <f>Data!CR6/AG$4*100000*AG$3</f>
        <v>3330.8906801678768</v>
      </c>
      <c r="AH7" s="474">
        <f>Data!CS6/AH$4*100000*AH$3</f>
        <v>7453.9717246005912</v>
      </c>
      <c r="AI7" s="474">
        <f>Data!CT6/AI$4*100000*AI$3</f>
        <v>16448.721111933548</v>
      </c>
      <c r="AJ7" s="474">
        <f>Data!CU6/AJ$4*100000*AJ$3</f>
        <v>4403.1526573026285</v>
      </c>
      <c r="AK7" s="482" t="s">
        <v>352</v>
      </c>
      <c r="AL7" s="474">
        <f t="shared" si="3"/>
        <v>19977.250001569682</v>
      </c>
      <c r="AM7" s="474">
        <f>Data!CD6/AM$4*100000*AM$3</f>
        <v>0</v>
      </c>
      <c r="AN7" s="474">
        <f>Data!CE6/AN$4*100000*AN$3</f>
        <v>0</v>
      </c>
      <c r="AO7" s="474">
        <f>Data!CF6/AO$4*100000*AO$3</f>
        <v>0</v>
      </c>
      <c r="AP7" s="474">
        <f>Data!CG6/AP$4*100000*AP$3</f>
        <v>0</v>
      </c>
      <c r="AQ7" s="474">
        <f>Data!CH6/AQ$4*100000*AQ$3</f>
        <v>0</v>
      </c>
      <c r="AR7" s="474">
        <f>Data!CI6/AR$4*100000*AR$3</f>
        <v>0</v>
      </c>
      <c r="AS7" s="474">
        <f>Data!CJ6/AS$4*100000*AS$3</f>
        <v>0</v>
      </c>
      <c r="AT7" s="474">
        <f>Data!CK6/AT$4*100000*AT$3</f>
        <v>0</v>
      </c>
      <c r="AU7" s="474">
        <f>Data!CL6/AU$4*100000*AU$3</f>
        <v>0</v>
      </c>
      <c r="AV7" s="474">
        <f>Data!CM6/AV$4*100000*AV$3</f>
        <v>0</v>
      </c>
      <c r="AW7" s="474">
        <f>Data!CN6/AW$4*100000*AW$3</f>
        <v>0</v>
      </c>
      <c r="AX7" s="474">
        <f>Data!CO6/AX$4*100000*AX$3</f>
        <v>0</v>
      </c>
      <c r="AY7" s="474">
        <f>Data!CP6/AY$4*100000*AY$3</f>
        <v>0</v>
      </c>
      <c r="AZ7" s="474">
        <f>Data!CQ6/AZ$4*100000*AZ$3</f>
        <v>3603.7334678727161</v>
      </c>
      <c r="BA7" s="474">
        <f>Data!CR6/BA$4*100000*BA$3</f>
        <v>2220.5937867785847</v>
      </c>
      <c r="BB7" s="474">
        <f>Data!CS6/BB$4*100000*BB$3</f>
        <v>3726.9858623002956</v>
      </c>
      <c r="BC7" s="474">
        <f>Data!CT6/BC$4*100000*BC$3</f>
        <v>8224.360555966774</v>
      </c>
      <c r="BD7" s="474">
        <f>Data!CU6/BD$4*100000*BD$3</f>
        <v>2201.5763286513143</v>
      </c>
      <c r="BE7" s="477"/>
      <c r="BF7" s="477"/>
    </row>
    <row r="8" spans="1:58" ht="12" customHeight="1">
      <c r="A8" s="64"/>
      <c r="B8" s="144" t="str">
        <f>UPPER(LEFT(TRIM(Data!B7),1)) &amp; MID(TRIM(Data!B7),2,50)</f>
        <v>Burnos ertmės ir ryklės</v>
      </c>
      <c r="C8" s="123" t="str">
        <f>UPPER(LEFT(TRIM(Data!C7),1)) &amp; MID(TRIM(Data!C7),2,50)</f>
        <v>C01-C14</v>
      </c>
      <c r="D8" s="124">
        <f>Data!BQ7</f>
        <v>64</v>
      </c>
      <c r="E8" s="125">
        <f t="shared" ref="E8:E51" si="4">D8/$R$4*100000</f>
        <v>4.011920418543597</v>
      </c>
      <c r="F8" s="126">
        <f t="shared" ref="F8:F51" si="5">R8/$R$3</f>
        <v>2.8580619191742533</v>
      </c>
      <c r="G8" s="126">
        <f t="shared" ref="G8:G51" si="6">AL8/$AL$3</f>
        <v>2.0649288981745113</v>
      </c>
      <c r="H8" s="69"/>
      <c r="I8" s="69"/>
      <c r="J8" s="69"/>
      <c r="K8" s="69"/>
      <c r="L8" s="69"/>
      <c r="M8" s="69"/>
      <c r="N8" s="69"/>
      <c r="O8" s="69"/>
      <c r="P8" s="259"/>
      <c r="Q8" s="482" t="s">
        <v>352</v>
      </c>
      <c r="R8" s="474">
        <f t="shared" si="2"/>
        <v>285806.19191742531</v>
      </c>
      <c r="S8" s="474">
        <f>Data!CD7/S$4*100000*S$3</f>
        <v>0</v>
      </c>
      <c r="T8" s="474">
        <f>Data!CE7/T$4*100000*T$3</f>
        <v>0</v>
      </c>
      <c r="U8" s="474">
        <f>Data!CF7/U$4*100000*U$3</f>
        <v>0</v>
      </c>
      <c r="V8" s="474">
        <f>Data!CG7/V$4*100000*V$3</f>
        <v>0</v>
      </c>
      <c r="W8" s="474">
        <f>Data!CH7/W$4*100000*W$3</f>
        <v>0</v>
      </c>
      <c r="X8" s="474">
        <f>Data!CI7/X$4*100000*X$3</f>
        <v>0</v>
      </c>
      <c r="Y8" s="474">
        <f>Data!CJ7/Y$4*100000*Y$3</f>
        <v>0</v>
      </c>
      <c r="Z8" s="474">
        <f>Data!CK7/Z$4*100000*Z$3</f>
        <v>22027.355878157254</v>
      </c>
      <c r="AA8" s="474">
        <f>Data!CL7/AA$4*100000*AA$3</f>
        <v>19366.976538291281</v>
      </c>
      <c r="AB8" s="474">
        <f>Data!CM7/AB$4*100000*AB$3</f>
        <v>31177.901103697703</v>
      </c>
      <c r="AC8" s="474">
        <f>Data!CN7/AC$4*100000*AC$3</f>
        <v>55505.776565461128</v>
      </c>
      <c r="AD8" s="474">
        <f>Data!CO7/AD$4*100000*AD$3</f>
        <v>44499.244439912116</v>
      </c>
      <c r="AE8" s="474">
        <f>Data!CP7/AE$4*100000*AE$3</f>
        <v>20219.175866391684</v>
      </c>
      <c r="AF8" s="474">
        <f>Data!CQ7/AF$4*100000*AF$3</f>
        <v>33634.84570014535</v>
      </c>
      <c r="AG8" s="474">
        <f>Data!CR7/AG$4*100000*AG$3</f>
        <v>23316.234761175139</v>
      </c>
      <c r="AH8" s="474">
        <f>Data!CS7/AH$4*100000*AH$3</f>
        <v>12423.286207667652</v>
      </c>
      <c r="AI8" s="474">
        <f>Data!CT7/AI$4*100000*AI$3</f>
        <v>8224.360555966774</v>
      </c>
      <c r="AJ8" s="474">
        <f>Data!CU7/AJ$4*100000*AJ$3</f>
        <v>15411.0343005592</v>
      </c>
      <c r="AK8" s="482" t="s">
        <v>352</v>
      </c>
      <c r="AL8" s="474">
        <f t="shared" si="3"/>
        <v>206492.88981745113</v>
      </c>
      <c r="AM8" s="474">
        <f>Data!CD7/AM$4*100000*AM$3</f>
        <v>0</v>
      </c>
      <c r="AN8" s="474">
        <f>Data!CE7/AN$4*100000*AN$3</f>
        <v>0</v>
      </c>
      <c r="AO8" s="474">
        <f>Data!CF7/AO$4*100000*AO$3</f>
        <v>0</v>
      </c>
      <c r="AP8" s="474">
        <f>Data!CG7/AP$4*100000*AP$3</f>
        <v>0</v>
      </c>
      <c r="AQ8" s="474">
        <f>Data!CH7/AQ$4*100000*AQ$3</f>
        <v>0</v>
      </c>
      <c r="AR8" s="474">
        <f>Data!CI7/AR$4*100000*AR$3</f>
        <v>0</v>
      </c>
      <c r="AS8" s="474">
        <f>Data!CJ7/AS$4*100000*AS$3</f>
        <v>0</v>
      </c>
      <c r="AT8" s="474">
        <f>Data!CK7/AT$4*100000*AT$3</f>
        <v>18880.590752706219</v>
      </c>
      <c r="AU8" s="474">
        <f>Data!CL7/AU$4*100000*AU$3</f>
        <v>16600.265604249667</v>
      </c>
      <c r="AV8" s="474">
        <f>Data!CM7/AV$4*100000*AV$3</f>
        <v>26723.915231740888</v>
      </c>
      <c r="AW8" s="474">
        <f>Data!CN7/AW$4*100000*AW$3</f>
        <v>39646.983261043664</v>
      </c>
      <c r="AX8" s="474">
        <f>Data!CO7/AX$4*100000*AX$3</f>
        <v>29666.162959941408</v>
      </c>
      <c r="AY8" s="474">
        <f>Data!CP7/AY$4*100000*AY$3</f>
        <v>16175.340693113349</v>
      </c>
      <c r="AZ8" s="474">
        <f>Data!CQ7/AZ$4*100000*AZ$3</f>
        <v>25226.134275109012</v>
      </c>
      <c r="BA8" s="474">
        <f>Data!CR7/BA$4*100000*BA$3</f>
        <v>15544.156507450092</v>
      </c>
      <c r="BB8" s="474">
        <f>Data!CS7/BB$4*100000*BB$3</f>
        <v>6211.643103833826</v>
      </c>
      <c r="BC8" s="474">
        <f>Data!CT7/BC$4*100000*BC$3</f>
        <v>4112.180277983387</v>
      </c>
      <c r="BD8" s="474">
        <f>Data!CU7/BD$4*100000*BD$3</f>
        <v>7705.5171502796002</v>
      </c>
      <c r="BE8" s="477"/>
      <c r="BF8" s="477"/>
    </row>
    <row r="9" spans="1:58" ht="12" customHeight="1">
      <c r="A9" s="64"/>
      <c r="B9" s="283" t="str">
        <f>UPPER(LEFT(TRIM(Data!B8),1)) &amp; MID(TRIM(Data!B8),2,50)</f>
        <v>Stemplės</v>
      </c>
      <c r="C9" s="284" t="str">
        <f>UPPER(LEFT(TRIM(Data!C8),1)) &amp; MID(TRIM(Data!C8),2,50)</f>
        <v>C15</v>
      </c>
      <c r="D9" s="285">
        <f>Data!BQ8</f>
        <v>30</v>
      </c>
      <c r="E9" s="286">
        <f t="shared" si="4"/>
        <v>1.8805876961923114</v>
      </c>
      <c r="F9" s="287">
        <f t="shared" si="5"/>
        <v>1.1012093694593403</v>
      </c>
      <c r="G9" s="287">
        <f t="shared" si="6"/>
        <v>0.73423982816621725</v>
      </c>
      <c r="H9" s="69"/>
      <c r="I9" s="69"/>
      <c r="J9" s="69"/>
      <c r="K9" s="69"/>
      <c r="L9" s="69"/>
      <c r="M9" s="69"/>
      <c r="N9" s="69"/>
      <c r="O9" s="69"/>
      <c r="P9" s="259"/>
      <c r="Q9" s="482" t="s">
        <v>352</v>
      </c>
      <c r="R9" s="474">
        <f t="shared" si="2"/>
        <v>110120.93694593404</v>
      </c>
      <c r="S9" s="474">
        <f>Data!CD8/S$4*100000*S$3</f>
        <v>0</v>
      </c>
      <c r="T9" s="474">
        <f>Data!CE8/T$4*100000*T$3</f>
        <v>0</v>
      </c>
      <c r="U9" s="474">
        <f>Data!CF8/U$4*100000*U$3</f>
        <v>0</v>
      </c>
      <c r="V9" s="474">
        <f>Data!CG8/V$4*100000*V$3</f>
        <v>0</v>
      </c>
      <c r="W9" s="474">
        <f>Data!CH8/W$4*100000*W$3</f>
        <v>0</v>
      </c>
      <c r="X9" s="474">
        <f>Data!CI8/X$4*100000*X$3</f>
        <v>0</v>
      </c>
      <c r="Y9" s="474">
        <f>Data!CJ8/Y$4*100000*Y$3</f>
        <v>0</v>
      </c>
      <c r="Z9" s="474">
        <f>Data!CK8/Z$4*100000*Z$3</f>
        <v>0</v>
      </c>
      <c r="AA9" s="474">
        <f>Data!CL8/AA$4*100000*AA$3</f>
        <v>0</v>
      </c>
      <c r="AB9" s="474">
        <f>Data!CM8/AB$4*100000*AB$3</f>
        <v>0</v>
      </c>
      <c r="AC9" s="474">
        <f>Data!CN8/AC$4*100000*AC$3</f>
        <v>27752.888282730564</v>
      </c>
      <c r="AD9" s="474">
        <f>Data!CO8/AD$4*100000*AD$3</f>
        <v>22249.622219956058</v>
      </c>
      <c r="AE9" s="474">
        <f>Data!CP8/AE$4*100000*AE$3</f>
        <v>15164.381899793763</v>
      </c>
      <c r="AF9" s="474">
        <f>Data!CQ8/AF$4*100000*AF$3</f>
        <v>14414.933871490864</v>
      </c>
      <c r="AG9" s="474">
        <f>Data!CR8/AG$4*100000*AG$3</f>
        <v>3330.8906801678768</v>
      </c>
      <c r="AH9" s="474">
        <f>Data!CS8/AH$4*100000*AH$3</f>
        <v>2484.6572415335304</v>
      </c>
      <c r="AI9" s="474">
        <f>Data!CT8/AI$4*100000*AI$3</f>
        <v>11514.104778353483</v>
      </c>
      <c r="AJ9" s="474">
        <f>Data!CU8/AJ$4*100000*AJ$3</f>
        <v>13209.457971907887</v>
      </c>
      <c r="AK9" s="482" t="s">
        <v>352</v>
      </c>
      <c r="AL9" s="474">
        <f t="shared" si="3"/>
        <v>73423.982816621719</v>
      </c>
      <c r="AM9" s="474">
        <f>Data!CD8/AM$4*100000*AM$3</f>
        <v>0</v>
      </c>
      <c r="AN9" s="474">
        <f>Data!CE8/AN$4*100000*AN$3</f>
        <v>0</v>
      </c>
      <c r="AO9" s="474">
        <f>Data!CF8/AO$4*100000*AO$3</f>
        <v>0</v>
      </c>
      <c r="AP9" s="474">
        <f>Data!CG8/AP$4*100000*AP$3</f>
        <v>0</v>
      </c>
      <c r="AQ9" s="474">
        <f>Data!CH8/AQ$4*100000*AQ$3</f>
        <v>0</v>
      </c>
      <c r="AR9" s="474">
        <f>Data!CI8/AR$4*100000*AR$3</f>
        <v>0</v>
      </c>
      <c r="AS9" s="474">
        <f>Data!CJ8/AS$4*100000*AS$3</f>
        <v>0</v>
      </c>
      <c r="AT9" s="474">
        <f>Data!CK8/AT$4*100000*AT$3</f>
        <v>0</v>
      </c>
      <c r="AU9" s="474">
        <f>Data!CL8/AU$4*100000*AU$3</f>
        <v>0</v>
      </c>
      <c r="AV9" s="474">
        <f>Data!CM8/AV$4*100000*AV$3</f>
        <v>0</v>
      </c>
      <c r="AW9" s="474">
        <f>Data!CN8/AW$4*100000*AW$3</f>
        <v>19823.491630521832</v>
      </c>
      <c r="AX9" s="474">
        <f>Data!CO8/AX$4*100000*AX$3</f>
        <v>14833.081479970704</v>
      </c>
      <c r="AY9" s="474">
        <f>Data!CP8/AY$4*100000*AY$3</f>
        <v>12131.505519835011</v>
      </c>
      <c r="AZ9" s="474">
        <f>Data!CQ8/AZ$4*100000*AZ$3</f>
        <v>10811.200403618148</v>
      </c>
      <c r="BA9" s="474">
        <f>Data!CR8/BA$4*100000*BA$3</f>
        <v>2220.5937867785847</v>
      </c>
      <c r="BB9" s="474">
        <f>Data!CS8/BB$4*100000*BB$3</f>
        <v>1242.3286207667652</v>
      </c>
      <c r="BC9" s="474">
        <f>Data!CT8/BC$4*100000*BC$3</f>
        <v>5757.0523891767416</v>
      </c>
      <c r="BD9" s="474">
        <f>Data!CU8/BD$4*100000*BD$3</f>
        <v>6604.7289859539433</v>
      </c>
      <c r="BE9" s="477"/>
      <c r="BF9" s="477"/>
    </row>
    <row r="10" spans="1:58" ht="12" customHeight="1">
      <c r="A10" s="64"/>
      <c r="B10" s="144" t="str">
        <f>UPPER(LEFT(TRIM(Data!B9),1)) &amp; MID(TRIM(Data!B9),2,50)</f>
        <v>Skrandžio</v>
      </c>
      <c r="C10" s="123" t="str">
        <f>UPPER(LEFT(TRIM(Data!C9),1)) &amp; MID(TRIM(Data!C9),2,50)</f>
        <v>C16</v>
      </c>
      <c r="D10" s="124">
        <f>Data!BQ9</f>
        <v>334</v>
      </c>
      <c r="E10" s="125">
        <f t="shared" si="4"/>
        <v>20.9372096842744</v>
      </c>
      <c r="F10" s="126">
        <f t="shared" si="5"/>
        <v>11.773128676217189</v>
      </c>
      <c r="G10" s="126">
        <f t="shared" si="6"/>
        <v>7.9519823204242686</v>
      </c>
      <c r="H10" s="69"/>
      <c r="I10" s="69"/>
      <c r="J10" s="69"/>
      <c r="K10" s="69"/>
      <c r="L10" s="69"/>
      <c r="M10" s="69"/>
      <c r="N10" s="69"/>
      <c r="O10" s="69"/>
      <c r="P10" s="259"/>
      <c r="Q10" s="482" t="s">
        <v>352</v>
      </c>
      <c r="R10" s="474">
        <f t="shared" si="2"/>
        <v>1177312.8676217189</v>
      </c>
      <c r="S10" s="474">
        <f>Data!CD9/S$4*100000*S$3</f>
        <v>0</v>
      </c>
      <c r="T10" s="474">
        <f>Data!CE9/T$4*100000*T$3</f>
        <v>0</v>
      </c>
      <c r="U10" s="474">
        <f>Data!CF9/U$4*100000*U$3</f>
        <v>0</v>
      </c>
      <c r="V10" s="474">
        <f>Data!CG9/V$4*100000*V$3</f>
        <v>0</v>
      </c>
      <c r="W10" s="474">
        <f>Data!CH9/W$4*100000*W$3</f>
        <v>6735.561842079941</v>
      </c>
      <c r="X10" s="474">
        <f>Data!CI9/X$4*100000*X$3</f>
        <v>0</v>
      </c>
      <c r="Y10" s="474">
        <f>Data!CJ9/Y$4*100000*Y$3</f>
        <v>40051.723940631899</v>
      </c>
      <c r="Z10" s="474">
        <f>Data!CK9/Z$4*100000*Z$3</f>
        <v>14684.903918771504</v>
      </c>
      <c r="AA10" s="474">
        <f>Data!CL9/AA$4*100000*AA$3</f>
        <v>32278.294230485466</v>
      </c>
      <c r="AB10" s="474">
        <f>Data!CM9/AB$4*100000*AB$3</f>
        <v>62355.802207395405</v>
      </c>
      <c r="AC10" s="474">
        <f>Data!CN9/AC$4*100000*AC$3</f>
        <v>105460.97547437616</v>
      </c>
      <c r="AD10" s="474">
        <f>Data!CO9/AD$4*100000*AD$3</f>
        <v>122372.92220975831</v>
      </c>
      <c r="AE10" s="474">
        <f>Data!CP9/AE$4*100000*AE$3</f>
        <v>116260.26123175219</v>
      </c>
      <c r="AF10" s="474">
        <f>Data!CQ9/AF$4*100000*AF$3</f>
        <v>201809.07420087213</v>
      </c>
      <c r="AG10" s="474">
        <f>Data!CR9/AG$4*100000*AG$3</f>
        <v>123242.95516621144</v>
      </c>
      <c r="AH10" s="474">
        <f>Data!CS9/AH$4*100000*AH$3</f>
        <v>151564.09173354536</v>
      </c>
      <c r="AI10" s="474">
        <f>Data!CT9/AI$4*100000*AI$3</f>
        <v>103626.94300518134</v>
      </c>
      <c r="AJ10" s="474">
        <f>Data!CU9/AJ$4*100000*AJ$3</f>
        <v>96869.358460657822</v>
      </c>
      <c r="AK10" s="482" t="s">
        <v>352</v>
      </c>
      <c r="AL10" s="474">
        <f t="shared" si="3"/>
        <v>795198.23204242683</v>
      </c>
      <c r="AM10" s="474">
        <f>Data!CD9/AM$4*100000*AM$3</f>
        <v>0</v>
      </c>
      <c r="AN10" s="474">
        <f>Data!CE9/AN$4*100000*AN$3</f>
        <v>0</v>
      </c>
      <c r="AO10" s="474">
        <f>Data!CF9/AO$4*100000*AO$3</f>
        <v>0</v>
      </c>
      <c r="AP10" s="474">
        <f>Data!CG9/AP$4*100000*AP$3</f>
        <v>0</v>
      </c>
      <c r="AQ10" s="474">
        <f>Data!CH9/AQ$4*100000*AQ$3</f>
        <v>7697.7849623770753</v>
      </c>
      <c r="AR10" s="474">
        <f>Data!CI9/AR$4*100000*AR$3</f>
        <v>0</v>
      </c>
      <c r="AS10" s="474">
        <f>Data!CJ9/AS$4*100000*AS$3</f>
        <v>34330.049091970199</v>
      </c>
      <c r="AT10" s="474">
        <f>Data!CK9/AT$4*100000*AT$3</f>
        <v>12587.060501804146</v>
      </c>
      <c r="AU10" s="474">
        <f>Data!CL9/AU$4*100000*AU$3</f>
        <v>27667.109340416115</v>
      </c>
      <c r="AV10" s="474">
        <f>Data!CM9/AV$4*100000*AV$3</f>
        <v>53447.830463481776</v>
      </c>
      <c r="AW10" s="474">
        <f>Data!CN9/AW$4*100000*AW$3</f>
        <v>75329.268195982964</v>
      </c>
      <c r="AX10" s="474">
        <f>Data!CO9/AX$4*100000*AX$3</f>
        <v>81581.948139838874</v>
      </c>
      <c r="AY10" s="474">
        <f>Data!CP9/AY$4*100000*AY$3</f>
        <v>93008.208985401754</v>
      </c>
      <c r="AZ10" s="474">
        <f>Data!CQ9/AZ$4*100000*AZ$3</f>
        <v>151356.80565065407</v>
      </c>
      <c r="BA10" s="474">
        <f>Data!CR9/BA$4*100000*BA$3</f>
        <v>82161.970110807626</v>
      </c>
      <c r="BB10" s="474">
        <f>Data!CS9/BB$4*100000*BB$3</f>
        <v>75782.045866772678</v>
      </c>
      <c r="BC10" s="474">
        <f>Data!CT9/BC$4*100000*BC$3</f>
        <v>51813.47150259067</v>
      </c>
      <c r="BD10" s="474">
        <f>Data!CU9/BD$4*100000*BD$3</f>
        <v>48434.679230328911</v>
      </c>
      <c r="BE10" s="477"/>
      <c r="BF10" s="477"/>
    </row>
    <row r="11" spans="1:58" ht="12" customHeight="1">
      <c r="A11" s="64"/>
      <c r="B11" s="283" t="str">
        <f>UPPER(LEFT(TRIM(Data!B10),1)) &amp; MID(TRIM(Data!B10),2,50)</f>
        <v>Gaubtinės žarnos</v>
      </c>
      <c r="C11" s="284" t="str">
        <f>UPPER(LEFT(TRIM(Data!C10),1)) &amp; MID(TRIM(Data!C10),2,50)</f>
        <v>C18</v>
      </c>
      <c r="D11" s="285">
        <f>Data!BQ10</f>
        <v>470</v>
      </c>
      <c r="E11" s="286">
        <f t="shared" si="4"/>
        <v>29.462540573679547</v>
      </c>
      <c r="F11" s="287">
        <f t="shared" si="5"/>
        <v>16.547060707877026</v>
      </c>
      <c r="G11" s="287">
        <f t="shared" si="6"/>
        <v>11.100695951333122</v>
      </c>
      <c r="H11" s="69"/>
      <c r="I11" s="69"/>
      <c r="J11" s="69"/>
      <c r="K11" s="69"/>
      <c r="L11" s="69"/>
      <c r="M11" s="69"/>
      <c r="N11" s="69"/>
      <c r="O11" s="69"/>
      <c r="P11" s="259"/>
      <c r="Q11" s="482" t="s">
        <v>352</v>
      </c>
      <c r="R11" s="474">
        <f t="shared" si="2"/>
        <v>1654706.0707877027</v>
      </c>
      <c r="S11" s="474">
        <f>Data!CD10/S$4*100000*S$3</f>
        <v>0</v>
      </c>
      <c r="T11" s="474">
        <f>Data!CE10/T$4*100000*T$3</f>
        <v>0</v>
      </c>
      <c r="U11" s="474">
        <f>Data!CF10/U$4*100000*U$3</f>
        <v>0</v>
      </c>
      <c r="V11" s="474">
        <f>Data!CG10/V$4*100000*V$3</f>
        <v>0</v>
      </c>
      <c r="W11" s="474">
        <f>Data!CH10/W$4*100000*W$3</f>
        <v>6735.561842079941</v>
      </c>
      <c r="X11" s="474">
        <f>Data!CI10/X$4*100000*X$3</f>
        <v>0</v>
      </c>
      <c r="Y11" s="474">
        <f>Data!CJ10/Y$4*100000*Y$3</f>
        <v>16020.689576252762</v>
      </c>
      <c r="Z11" s="474">
        <f>Data!CK10/Z$4*100000*Z$3</f>
        <v>0</v>
      </c>
      <c r="AA11" s="474">
        <f>Data!CL10/AA$4*100000*AA$3</f>
        <v>51645.270768776747</v>
      </c>
      <c r="AB11" s="474">
        <f>Data!CM10/AB$4*100000*AB$3</f>
        <v>62355.802207395405</v>
      </c>
      <c r="AC11" s="474">
        <f>Data!CN10/AC$4*100000*AC$3</f>
        <v>183169.06266602175</v>
      </c>
      <c r="AD11" s="474">
        <f>Data!CO10/AD$4*100000*AD$3</f>
        <v>183559.38331463747</v>
      </c>
      <c r="AE11" s="474">
        <f>Data!CP10/AE$4*100000*AE$3</f>
        <v>207246.55263051478</v>
      </c>
      <c r="AF11" s="474">
        <f>Data!CQ10/AF$4*100000*AF$3</f>
        <v>264273.78764399921</v>
      </c>
      <c r="AG11" s="474">
        <f>Data!CR10/AG$4*100000*AG$3</f>
        <v>203184.33149024047</v>
      </c>
      <c r="AH11" s="474">
        <f>Data!CS10/AH$4*100000*AH$3</f>
        <v>206226.55104728305</v>
      </c>
      <c r="AI11" s="474">
        <f>Data!CT10/AI$4*100000*AI$3</f>
        <v>131589.76889546838</v>
      </c>
      <c r="AJ11" s="474">
        <f>Data!CU10/AJ$4*100000*AJ$3</f>
        <v>138699.30870503283</v>
      </c>
      <c r="AK11" s="482" t="s">
        <v>352</v>
      </c>
      <c r="AL11" s="474">
        <f t="shared" si="3"/>
        <v>1110069.5951333123</v>
      </c>
      <c r="AM11" s="474">
        <f>Data!CD10/AM$4*100000*AM$3</f>
        <v>0</v>
      </c>
      <c r="AN11" s="474">
        <f>Data!CE10/AN$4*100000*AN$3</f>
        <v>0</v>
      </c>
      <c r="AO11" s="474">
        <f>Data!CF10/AO$4*100000*AO$3</f>
        <v>0</v>
      </c>
      <c r="AP11" s="474">
        <f>Data!CG10/AP$4*100000*AP$3</f>
        <v>0</v>
      </c>
      <c r="AQ11" s="474">
        <f>Data!CH10/AQ$4*100000*AQ$3</f>
        <v>7697.7849623770753</v>
      </c>
      <c r="AR11" s="474">
        <f>Data!CI10/AR$4*100000*AR$3</f>
        <v>0</v>
      </c>
      <c r="AS11" s="474">
        <f>Data!CJ10/AS$4*100000*AS$3</f>
        <v>13732.019636788082</v>
      </c>
      <c r="AT11" s="474">
        <f>Data!CK10/AT$4*100000*AT$3</f>
        <v>0</v>
      </c>
      <c r="AU11" s="474">
        <f>Data!CL10/AU$4*100000*AU$3</f>
        <v>44267.374944665782</v>
      </c>
      <c r="AV11" s="474">
        <f>Data!CM10/AV$4*100000*AV$3</f>
        <v>53447.830463481776</v>
      </c>
      <c r="AW11" s="474">
        <f>Data!CN10/AW$4*100000*AW$3</f>
        <v>130835.04476144411</v>
      </c>
      <c r="AX11" s="474">
        <f>Data!CO10/AX$4*100000*AX$3</f>
        <v>122372.92220975831</v>
      </c>
      <c r="AY11" s="474">
        <f>Data!CP10/AY$4*100000*AY$3</f>
        <v>165797.24210441182</v>
      </c>
      <c r="AZ11" s="474">
        <f>Data!CQ10/AZ$4*100000*AZ$3</f>
        <v>198205.34073299938</v>
      </c>
      <c r="BA11" s="474">
        <f>Data!CR10/BA$4*100000*BA$3</f>
        <v>135456.22099349365</v>
      </c>
      <c r="BB11" s="474">
        <f>Data!CS10/BB$4*100000*BB$3</f>
        <v>103113.27552364153</v>
      </c>
      <c r="BC11" s="474">
        <f>Data!CT10/BC$4*100000*BC$3</f>
        <v>65794.884447734192</v>
      </c>
      <c r="BD11" s="474">
        <f>Data!CU10/BD$4*100000*BD$3</f>
        <v>69349.654352516416</v>
      </c>
      <c r="BE11" s="477"/>
      <c r="BF11" s="477"/>
    </row>
    <row r="12" spans="1:58" ht="12" customHeight="1">
      <c r="A12" s="64"/>
      <c r="B12" s="144" t="str">
        <f>UPPER(LEFT(TRIM(Data!B11),1)) &amp; MID(TRIM(Data!B11),2,50)</f>
        <v>Tiesiosios žarnos, išangės</v>
      </c>
      <c r="C12" s="123" t="str">
        <f>UPPER(LEFT(TRIM(Data!C11),1)) &amp; MID(TRIM(Data!C11),2,50)</f>
        <v>C19-C21</v>
      </c>
      <c r="D12" s="124">
        <f>Data!BQ11</f>
        <v>324</v>
      </c>
      <c r="E12" s="125">
        <f t="shared" si="4"/>
        <v>20.310347118876965</v>
      </c>
      <c r="F12" s="126">
        <f t="shared" si="5"/>
        <v>12.139739241423106</v>
      </c>
      <c r="G12" s="126">
        <f t="shared" si="6"/>
        <v>8.3066195240149856</v>
      </c>
      <c r="H12" s="69"/>
      <c r="I12" s="69"/>
      <c r="J12" s="69"/>
      <c r="K12" s="69"/>
      <c r="L12" s="69"/>
      <c r="M12" s="69"/>
      <c r="N12" s="69"/>
      <c r="O12" s="69"/>
      <c r="P12" s="259"/>
      <c r="Q12" s="482" t="s">
        <v>352</v>
      </c>
      <c r="R12" s="474">
        <f t="shared" si="2"/>
        <v>1213973.9241423106</v>
      </c>
      <c r="S12" s="474">
        <f>Data!CD11/S$4*100000*S$3</f>
        <v>0</v>
      </c>
      <c r="T12" s="474">
        <f>Data!CE11/T$4*100000*T$3</f>
        <v>0</v>
      </c>
      <c r="U12" s="474">
        <f>Data!CF11/U$4*100000*U$3</f>
        <v>0</v>
      </c>
      <c r="V12" s="474">
        <f>Data!CG11/V$4*100000*V$3</f>
        <v>0</v>
      </c>
      <c r="W12" s="474">
        <f>Data!CH11/W$4*100000*W$3</f>
        <v>0</v>
      </c>
      <c r="X12" s="474">
        <f>Data!CI11/X$4*100000*X$3</f>
        <v>7364.0026510409534</v>
      </c>
      <c r="Y12" s="474">
        <f>Data!CJ11/Y$4*100000*Y$3</f>
        <v>16020.689576252762</v>
      </c>
      <c r="Z12" s="474">
        <f>Data!CK11/Z$4*100000*Z$3</f>
        <v>14684.903918771504</v>
      </c>
      <c r="AA12" s="474">
        <f>Data!CL11/AA$4*100000*AA$3</f>
        <v>38733.953076582562</v>
      </c>
      <c r="AB12" s="474">
        <f>Data!CM11/AB$4*100000*AB$3</f>
        <v>56120.221986655852</v>
      </c>
      <c r="AC12" s="474">
        <f>Data!CN11/AC$4*100000*AC$3</f>
        <v>155416.17438329116</v>
      </c>
      <c r="AD12" s="474">
        <f>Data!CO11/AD$4*100000*AD$3</f>
        <v>172434.57220465943</v>
      </c>
      <c r="AE12" s="474">
        <f>Data!CP11/AE$4*100000*AE$3</f>
        <v>176917.78883092722</v>
      </c>
      <c r="AF12" s="474">
        <f>Data!CQ11/AF$4*100000*AF$3</f>
        <v>153759.29462923587</v>
      </c>
      <c r="AG12" s="474">
        <f>Data!CR11/AG$4*100000*AG$3</f>
        <v>123242.95516621144</v>
      </c>
      <c r="AH12" s="474">
        <f>Data!CS11/AH$4*100000*AH$3</f>
        <v>141625.46276741126</v>
      </c>
      <c r="AI12" s="474">
        <f>Data!CT11/AI$4*100000*AI$3</f>
        <v>80598.733448474377</v>
      </c>
      <c r="AJ12" s="474">
        <f>Data!CU11/AJ$4*100000*AJ$3</f>
        <v>77055.171502796002</v>
      </c>
      <c r="AK12" s="482" t="s">
        <v>352</v>
      </c>
      <c r="AL12" s="474">
        <f t="shared" si="3"/>
        <v>830661.95240149857</v>
      </c>
      <c r="AM12" s="474">
        <f>Data!CD11/AM$4*100000*AM$3</f>
        <v>0</v>
      </c>
      <c r="AN12" s="474">
        <f>Data!CE11/AN$4*100000*AN$3</f>
        <v>0</v>
      </c>
      <c r="AO12" s="474">
        <f>Data!CF11/AO$4*100000*AO$3</f>
        <v>0</v>
      </c>
      <c r="AP12" s="474">
        <f>Data!CG11/AP$4*100000*AP$3</f>
        <v>0</v>
      </c>
      <c r="AQ12" s="474">
        <f>Data!CH11/AQ$4*100000*AQ$3</f>
        <v>0</v>
      </c>
      <c r="AR12" s="474">
        <f>Data!CI11/AR$4*100000*AR$3</f>
        <v>8416.0030297610901</v>
      </c>
      <c r="AS12" s="474">
        <f>Data!CJ11/AS$4*100000*AS$3</f>
        <v>13732.019636788082</v>
      </c>
      <c r="AT12" s="474">
        <f>Data!CK11/AT$4*100000*AT$3</f>
        <v>12587.060501804146</v>
      </c>
      <c r="AU12" s="474">
        <f>Data!CL11/AU$4*100000*AU$3</f>
        <v>33200.531208499335</v>
      </c>
      <c r="AV12" s="474">
        <f>Data!CM11/AV$4*100000*AV$3</f>
        <v>48103.047417133588</v>
      </c>
      <c r="AW12" s="474">
        <f>Data!CN11/AW$4*100000*AW$3</f>
        <v>111011.55313092226</v>
      </c>
      <c r="AX12" s="474">
        <f>Data!CO11/AX$4*100000*AX$3</f>
        <v>114956.38146977295</v>
      </c>
      <c r="AY12" s="474">
        <f>Data!CP11/AY$4*100000*AY$3</f>
        <v>141534.23106474179</v>
      </c>
      <c r="AZ12" s="474">
        <f>Data!CQ11/AZ$4*100000*AZ$3</f>
        <v>115319.47097192692</v>
      </c>
      <c r="BA12" s="474">
        <f>Data!CR11/BA$4*100000*BA$3</f>
        <v>82161.970110807626</v>
      </c>
      <c r="BB12" s="474">
        <f>Data!CS11/BB$4*100000*BB$3</f>
        <v>70812.731383705628</v>
      </c>
      <c r="BC12" s="474">
        <f>Data!CT11/BC$4*100000*BC$3</f>
        <v>40299.366724237188</v>
      </c>
      <c r="BD12" s="474">
        <f>Data!CU11/BD$4*100000*BD$3</f>
        <v>38527.585751398001</v>
      </c>
      <c r="BE12" s="477"/>
      <c r="BF12" s="477"/>
    </row>
    <row r="13" spans="1:58" ht="12" customHeight="1">
      <c r="A13" s="64"/>
      <c r="B13" s="283" t="str">
        <f>UPPER(LEFT(TRIM(Data!B12),1)) &amp; MID(TRIM(Data!B12),2,50)</f>
        <v>Kepenų</v>
      </c>
      <c r="C13" s="284" t="str">
        <f>UPPER(LEFT(TRIM(Data!C12),1)) &amp; MID(TRIM(Data!C12),2,50)</f>
        <v>C22</v>
      </c>
      <c r="D13" s="285">
        <f>Data!BQ12</f>
        <v>60</v>
      </c>
      <c r="E13" s="286">
        <f t="shared" si="4"/>
        <v>3.7611753923846227</v>
      </c>
      <c r="F13" s="287">
        <f t="shared" si="5"/>
        <v>2.1391848251501653</v>
      </c>
      <c r="G13" s="287">
        <f t="shared" si="6"/>
        <v>1.5187229700305884</v>
      </c>
      <c r="H13" s="69"/>
      <c r="I13" s="69"/>
      <c r="J13" s="69"/>
      <c r="K13" s="69"/>
      <c r="L13" s="69"/>
      <c r="M13" s="69"/>
      <c r="N13" s="69"/>
      <c r="O13" s="69"/>
      <c r="P13" s="259"/>
      <c r="Q13" s="482" t="s">
        <v>352</v>
      </c>
      <c r="R13" s="474">
        <f t="shared" si="2"/>
        <v>213918.48251501654</v>
      </c>
      <c r="S13" s="474">
        <f>Data!CD12/S$4*100000*S$3</f>
        <v>10867.793294571538</v>
      </c>
      <c r="T13" s="474">
        <f>Data!CE12/T$4*100000*T$3</f>
        <v>0</v>
      </c>
      <c r="U13" s="474">
        <f>Data!CF12/U$4*100000*U$3</f>
        <v>0</v>
      </c>
      <c r="V13" s="474">
        <f>Data!CG12/V$4*100000*V$3</f>
        <v>0</v>
      </c>
      <c r="W13" s="474">
        <f>Data!CH12/W$4*100000*W$3</f>
        <v>0</v>
      </c>
      <c r="X13" s="474">
        <f>Data!CI12/X$4*100000*X$3</f>
        <v>0</v>
      </c>
      <c r="Y13" s="474">
        <f>Data!CJ12/Y$4*100000*Y$3</f>
        <v>0</v>
      </c>
      <c r="Z13" s="474">
        <f>Data!CK12/Z$4*100000*Z$3</f>
        <v>0</v>
      </c>
      <c r="AA13" s="474">
        <f>Data!CL12/AA$4*100000*AA$3</f>
        <v>6455.6588460970934</v>
      </c>
      <c r="AB13" s="474">
        <f>Data!CM12/AB$4*100000*AB$3</f>
        <v>6235.58022073954</v>
      </c>
      <c r="AC13" s="474">
        <f>Data!CN12/AC$4*100000*AC$3</f>
        <v>22202.310626184455</v>
      </c>
      <c r="AD13" s="474">
        <f>Data!CO12/AD$4*100000*AD$3</f>
        <v>22249.622219956058</v>
      </c>
      <c r="AE13" s="474">
        <f>Data!CP12/AE$4*100000*AE$3</f>
        <v>45493.145699381297</v>
      </c>
      <c r="AF13" s="474">
        <f>Data!CQ12/AF$4*100000*AF$3</f>
        <v>9609.9559143272418</v>
      </c>
      <c r="AG13" s="474">
        <f>Data!CR12/AG$4*100000*AG$3</f>
        <v>29978.016121510889</v>
      </c>
      <c r="AH13" s="474">
        <f>Data!CS12/AH$4*100000*AH$3</f>
        <v>22361.915173801772</v>
      </c>
      <c r="AI13" s="474">
        <f>Data!CT12/AI$4*100000*AI$3</f>
        <v>16448.721111933548</v>
      </c>
      <c r="AJ13" s="474">
        <f>Data!CU12/AJ$4*100000*AJ$3</f>
        <v>22015.763286513142</v>
      </c>
      <c r="AK13" s="482" t="s">
        <v>352</v>
      </c>
      <c r="AL13" s="474">
        <f t="shared" si="3"/>
        <v>151872.29700305883</v>
      </c>
      <c r="AM13" s="474">
        <f>Data!CD12/AM$4*100000*AM$3</f>
        <v>16301.689941857307</v>
      </c>
      <c r="AN13" s="474">
        <f>Data!CE12/AN$4*100000*AN$3</f>
        <v>0</v>
      </c>
      <c r="AO13" s="474">
        <f>Data!CF12/AO$4*100000*AO$3</f>
        <v>0</v>
      </c>
      <c r="AP13" s="474">
        <f>Data!CG12/AP$4*100000*AP$3</f>
        <v>0</v>
      </c>
      <c r="AQ13" s="474">
        <f>Data!CH12/AQ$4*100000*AQ$3</f>
        <v>0</v>
      </c>
      <c r="AR13" s="474">
        <f>Data!CI12/AR$4*100000*AR$3</f>
        <v>0</v>
      </c>
      <c r="AS13" s="474">
        <f>Data!CJ12/AS$4*100000*AS$3</f>
        <v>0</v>
      </c>
      <c r="AT13" s="474">
        <f>Data!CK12/AT$4*100000*AT$3</f>
        <v>0</v>
      </c>
      <c r="AU13" s="474">
        <f>Data!CL12/AU$4*100000*AU$3</f>
        <v>5533.4218680832228</v>
      </c>
      <c r="AV13" s="474">
        <f>Data!CM12/AV$4*100000*AV$3</f>
        <v>5344.7830463481769</v>
      </c>
      <c r="AW13" s="474">
        <f>Data!CN12/AW$4*100000*AW$3</f>
        <v>15858.793304417466</v>
      </c>
      <c r="AX13" s="474">
        <f>Data!CO12/AX$4*100000*AX$3</f>
        <v>14833.081479970704</v>
      </c>
      <c r="AY13" s="474">
        <f>Data!CP12/AY$4*100000*AY$3</f>
        <v>36394.516559505035</v>
      </c>
      <c r="AZ13" s="474">
        <f>Data!CQ12/AZ$4*100000*AZ$3</f>
        <v>7207.4669357454322</v>
      </c>
      <c r="BA13" s="474">
        <f>Data!CR12/BA$4*100000*BA$3</f>
        <v>19985.344081007261</v>
      </c>
      <c r="BB13" s="474">
        <f>Data!CS12/BB$4*100000*BB$3</f>
        <v>11180.957586900886</v>
      </c>
      <c r="BC13" s="474">
        <f>Data!CT12/BC$4*100000*BC$3</f>
        <v>8224.360555966774</v>
      </c>
      <c r="BD13" s="474">
        <f>Data!CU12/BD$4*100000*BD$3</f>
        <v>11007.881643256571</v>
      </c>
      <c r="BE13" s="477"/>
      <c r="BF13" s="477"/>
    </row>
    <row r="14" spans="1:58" ht="12" customHeight="1">
      <c r="A14" s="64"/>
      <c r="B14" s="144" t="str">
        <f>UPPER(LEFT(TRIM(Data!B13),1)) &amp; MID(TRIM(Data!B13),2,50)</f>
        <v>Tulžies pūslės, ekstrahepatinių takų</v>
      </c>
      <c r="C14" s="123" t="str">
        <f>UPPER(LEFT(TRIM(Data!C13),1)) &amp; MID(TRIM(Data!C13),2,50)</f>
        <v>C23, C24</v>
      </c>
      <c r="D14" s="124">
        <f>Data!BQ13</f>
        <v>70</v>
      </c>
      <c r="E14" s="125">
        <f t="shared" si="4"/>
        <v>4.3880379577820596</v>
      </c>
      <c r="F14" s="126">
        <f t="shared" si="5"/>
        <v>2.4629113201233794</v>
      </c>
      <c r="G14" s="126">
        <f t="shared" si="6"/>
        <v>1.6498189607156208</v>
      </c>
      <c r="H14" s="69"/>
      <c r="I14" s="69"/>
      <c r="J14" s="69"/>
      <c r="K14" s="69"/>
      <c r="L14" s="69"/>
      <c r="M14" s="69"/>
      <c r="N14" s="69"/>
      <c r="O14" s="69"/>
      <c r="P14" s="259"/>
      <c r="Q14" s="482" t="s">
        <v>352</v>
      </c>
      <c r="R14" s="474">
        <f t="shared" si="2"/>
        <v>246291.13201233794</v>
      </c>
      <c r="S14" s="474">
        <f>Data!CD13/S$4*100000*S$3</f>
        <v>0</v>
      </c>
      <c r="T14" s="474">
        <f>Data!CE13/T$4*100000*T$3</f>
        <v>0</v>
      </c>
      <c r="U14" s="474">
        <f>Data!CF13/U$4*100000*U$3</f>
        <v>0</v>
      </c>
      <c r="V14" s="474">
        <f>Data!CG13/V$4*100000*V$3</f>
        <v>0</v>
      </c>
      <c r="W14" s="474">
        <f>Data!CH13/W$4*100000*W$3</f>
        <v>0</v>
      </c>
      <c r="X14" s="474">
        <f>Data!CI13/X$4*100000*X$3</f>
        <v>0</v>
      </c>
      <c r="Y14" s="474">
        <f>Data!CJ13/Y$4*100000*Y$3</f>
        <v>0</v>
      </c>
      <c r="Z14" s="474">
        <f>Data!CK13/Z$4*100000*Z$3</f>
        <v>0</v>
      </c>
      <c r="AA14" s="474">
        <f>Data!CL13/AA$4*100000*AA$3</f>
        <v>0</v>
      </c>
      <c r="AB14" s="474">
        <f>Data!CM13/AB$4*100000*AB$3</f>
        <v>6235.58022073954</v>
      </c>
      <c r="AC14" s="474">
        <f>Data!CN13/AC$4*100000*AC$3</f>
        <v>22202.310626184455</v>
      </c>
      <c r="AD14" s="474">
        <f>Data!CO13/AD$4*100000*AD$3</f>
        <v>33374.433329934087</v>
      </c>
      <c r="AE14" s="474">
        <f>Data!CP13/AE$4*100000*AE$3</f>
        <v>35383.557766185448</v>
      </c>
      <c r="AF14" s="474">
        <f>Data!CQ13/AF$4*100000*AF$3</f>
        <v>48049.779571636216</v>
      </c>
      <c r="AG14" s="474">
        <f>Data!CR13/AG$4*100000*AG$3</f>
        <v>39970.688162014521</v>
      </c>
      <c r="AH14" s="474">
        <f>Data!CS13/AH$4*100000*AH$3</f>
        <v>19877.257932268243</v>
      </c>
      <c r="AI14" s="474">
        <f>Data!CT13/AI$4*100000*AI$3</f>
        <v>21383.337445513611</v>
      </c>
      <c r="AJ14" s="474">
        <f>Data!CU13/AJ$4*100000*AJ$3</f>
        <v>19814.186957861828</v>
      </c>
      <c r="AK14" s="482" t="s">
        <v>352</v>
      </c>
      <c r="AL14" s="474">
        <f t="shared" si="3"/>
        <v>164981.89607156208</v>
      </c>
      <c r="AM14" s="474">
        <f>Data!CD13/AM$4*100000*AM$3</f>
        <v>0</v>
      </c>
      <c r="AN14" s="474">
        <f>Data!CE13/AN$4*100000*AN$3</f>
        <v>0</v>
      </c>
      <c r="AO14" s="474">
        <f>Data!CF13/AO$4*100000*AO$3</f>
        <v>0</v>
      </c>
      <c r="AP14" s="474">
        <f>Data!CG13/AP$4*100000*AP$3</f>
        <v>0</v>
      </c>
      <c r="AQ14" s="474">
        <f>Data!CH13/AQ$4*100000*AQ$3</f>
        <v>0</v>
      </c>
      <c r="AR14" s="474">
        <f>Data!CI13/AR$4*100000*AR$3</f>
        <v>0</v>
      </c>
      <c r="AS14" s="474">
        <f>Data!CJ13/AS$4*100000*AS$3</f>
        <v>0</v>
      </c>
      <c r="AT14" s="474">
        <f>Data!CK13/AT$4*100000*AT$3</f>
        <v>0</v>
      </c>
      <c r="AU14" s="474">
        <f>Data!CL13/AU$4*100000*AU$3</f>
        <v>0</v>
      </c>
      <c r="AV14" s="474">
        <f>Data!CM13/AV$4*100000*AV$3</f>
        <v>5344.7830463481769</v>
      </c>
      <c r="AW14" s="474">
        <f>Data!CN13/AW$4*100000*AW$3</f>
        <v>15858.793304417466</v>
      </c>
      <c r="AX14" s="474">
        <f>Data!CO13/AX$4*100000*AX$3</f>
        <v>22249.622219956054</v>
      </c>
      <c r="AY14" s="474">
        <f>Data!CP13/AY$4*100000*AY$3</f>
        <v>28306.84621294836</v>
      </c>
      <c r="AZ14" s="474">
        <f>Data!CQ13/AZ$4*100000*AZ$3</f>
        <v>36037.334678727158</v>
      </c>
      <c r="BA14" s="474">
        <f>Data!CR13/BA$4*100000*BA$3</f>
        <v>26647.125441343014</v>
      </c>
      <c r="BB14" s="474">
        <f>Data!CS13/BB$4*100000*BB$3</f>
        <v>9938.6289661341216</v>
      </c>
      <c r="BC14" s="474">
        <f>Data!CT13/BC$4*100000*BC$3</f>
        <v>10691.668722756805</v>
      </c>
      <c r="BD14" s="474">
        <f>Data!CU13/BD$4*100000*BD$3</f>
        <v>9907.093478930914</v>
      </c>
      <c r="BE14" s="477"/>
      <c r="BF14" s="477"/>
    </row>
    <row r="15" spans="1:58" ht="12" customHeight="1">
      <c r="A15" s="64"/>
      <c r="B15" s="283" t="str">
        <f>UPPER(LEFT(TRIM(Data!B14),1)) &amp; MID(TRIM(Data!B14),2,50)</f>
        <v>Kasos</v>
      </c>
      <c r="C15" s="284" t="str">
        <f>UPPER(LEFT(TRIM(Data!C14),1)) &amp; MID(TRIM(Data!C14),2,50)</f>
        <v>C25</v>
      </c>
      <c r="D15" s="285">
        <f>Data!BQ14</f>
        <v>256</v>
      </c>
      <c r="E15" s="286">
        <f t="shared" si="4"/>
        <v>16.047681674174388</v>
      </c>
      <c r="F15" s="287">
        <f t="shared" si="5"/>
        <v>8.8671611593000055</v>
      </c>
      <c r="G15" s="287">
        <f t="shared" si="6"/>
        <v>5.9406277844455166</v>
      </c>
      <c r="H15" s="69"/>
      <c r="I15" s="69"/>
      <c r="J15" s="69"/>
      <c r="K15" s="69"/>
      <c r="L15" s="69"/>
      <c r="M15" s="69"/>
      <c r="N15" s="69"/>
      <c r="O15" s="69"/>
      <c r="P15" s="259"/>
      <c r="Q15" s="347" t="s">
        <v>352</v>
      </c>
      <c r="R15" s="345">
        <f t="shared" si="2"/>
        <v>886716.11593000055</v>
      </c>
      <c r="S15" s="345">
        <f>Data!CD14/S$4*100000*S$3</f>
        <v>0</v>
      </c>
      <c r="T15" s="345">
        <f>Data!CE14/T$4*100000*T$3</f>
        <v>0</v>
      </c>
      <c r="U15" s="345">
        <f>Data!CF14/U$4*100000*U$3</f>
        <v>0</v>
      </c>
      <c r="V15" s="345">
        <f>Data!CG14/V$4*100000*V$3</f>
        <v>0</v>
      </c>
      <c r="W15" s="345">
        <f>Data!CH14/W$4*100000*W$3</f>
        <v>0</v>
      </c>
      <c r="X15" s="345">
        <f>Data!CI14/X$4*100000*X$3</f>
        <v>0</v>
      </c>
      <c r="Y15" s="345">
        <f>Data!CJ14/Y$4*100000*Y$3</f>
        <v>0</v>
      </c>
      <c r="Z15" s="345">
        <f>Data!CK14/Z$4*100000*Z$3</f>
        <v>0</v>
      </c>
      <c r="AA15" s="345">
        <f>Data!CL14/AA$4*100000*AA$3</f>
        <v>19366.976538291281</v>
      </c>
      <c r="AB15" s="345">
        <f>Data!CM14/AB$4*100000*AB$3</f>
        <v>62355.802207395405</v>
      </c>
      <c r="AC15" s="345">
        <f>Data!CN14/AC$4*100000*AC$3</f>
        <v>72157.509535099482</v>
      </c>
      <c r="AD15" s="345">
        <f>Data!CO14/AD$4*100000*AD$3</f>
        <v>94560.894434813235</v>
      </c>
      <c r="AE15" s="345">
        <f>Data!CP14/AE$4*100000*AE$3</f>
        <v>96041.085365360501</v>
      </c>
      <c r="AF15" s="345">
        <f>Data!CQ14/AF$4*100000*AF$3</f>
        <v>139344.36075774502</v>
      </c>
      <c r="AG15" s="345">
        <f>Data!CR14/AG$4*100000*AG$3</f>
        <v>159882.75264805809</v>
      </c>
      <c r="AH15" s="345">
        <f>Data!CS14/AH$4*100000*AH$3</f>
        <v>91932.317936740612</v>
      </c>
      <c r="AI15" s="345">
        <f>Data!CT14/AI$4*100000*AI$3</f>
        <v>74019.245003700955</v>
      </c>
      <c r="AJ15" s="345">
        <f>Data!CU14/AJ$4*100000*AJ$3</f>
        <v>77055.171502796002</v>
      </c>
      <c r="AK15" s="347" t="s">
        <v>352</v>
      </c>
      <c r="AL15" s="345">
        <f t="shared" si="3"/>
        <v>594062.77844455163</v>
      </c>
      <c r="AM15" s="345">
        <f>Data!CD14/AM$4*100000*AM$3</f>
        <v>0</v>
      </c>
      <c r="AN15" s="345">
        <f>Data!CE14/AN$4*100000*AN$3</f>
        <v>0</v>
      </c>
      <c r="AO15" s="345">
        <f>Data!CF14/AO$4*100000*AO$3</f>
        <v>0</v>
      </c>
      <c r="AP15" s="345">
        <f>Data!CG14/AP$4*100000*AP$3</f>
        <v>0</v>
      </c>
      <c r="AQ15" s="345">
        <f>Data!CH14/AQ$4*100000*AQ$3</f>
        <v>0</v>
      </c>
      <c r="AR15" s="345">
        <f>Data!CI14/AR$4*100000*AR$3</f>
        <v>0</v>
      </c>
      <c r="AS15" s="345">
        <f>Data!CJ14/AS$4*100000*AS$3</f>
        <v>0</v>
      </c>
      <c r="AT15" s="345">
        <f>Data!CK14/AT$4*100000*AT$3</f>
        <v>0</v>
      </c>
      <c r="AU15" s="345">
        <f>Data!CL14/AU$4*100000*AU$3</f>
        <v>16600.265604249667</v>
      </c>
      <c r="AV15" s="345">
        <f>Data!CM14/AV$4*100000*AV$3</f>
        <v>53447.830463481776</v>
      </c>
      <c r="AW15" s="345">
        <f>Data!CN14/AW$4*100000*AW$3</f>
        <v>51541.078239356772</v>
      </c>
      <c r="AX15" s="345">
        <f>Data!CO14/AX$4*100000*AX$3</f>
        <v>63040.596289875495</v>
      </c>
      <c r="AY15" s="345">
        <f>Data!CP14/AY$4*100000*AY$3</f>
        <v>76832.868292288389</v>
      </c>
      <c r="AZ15" s="345">
        <f>Data!CQ14/AZ$4*100000*AZ$3</f>
        <v>104508.27056830877</v>
      </c>
      <c r="BA15" s="345">
        <f>Data!CR14/BA$4*100000*BA$3</f>
        <v>106588.50176537206</v>
      </c>
      <c r="BB15" s="345">
        <f>Data!CS14/BB$4*100000*BB$3</f>
        <v>45966.158968370306</v>
      </c>
      <c r="BC15" s="345">
        <f>Data!CT14/BC$4*100000*BC$3</f>
        <v>37009.622501850477</v>
      </c>
      <c r="BD15" s="345">
        <f>Data!CU14/BD$4*100000*BD$3</f>
        <v>38527.585751398001</v>
      </c>
    </row>
    <row r="16" spans="1:58" ht="12" customHeight="1">
      <c r="A16" s="64"/>
      <c r="B16" s="144" t="str">
        <f>UPPER(LEFT(TRIM(Data!B15),1)) &amp; MID(TRIM(Data!B15),2,50)</f>
        <v>Kitų virškinimo sistemos organų</v>
      </c>
      <c r="C16" s="123" t="str">
        <f>UPPER(LEFT(TRIM(Data!C15),1)) &amp; MID(TRIM(Data!C15),2,50)</f>
        <v>C17, C26, C48</v>
      </c>
      <c r="D16" s="124">
        <f>Data!BQ15</f>
        <v>45</v>
      </c>
      <c r="E16" s="125">
        <f t="shared" si="4"/>
        <v>2.8208815442884672</v>
      </c>
      <c r="F16" s="126">
        <f t="shared" si="5"/>
        <v>1.8562931535878109</v>
      </c>
      <c r="G16" s="126">
        <f t="shared" si="6"/>
        <v>1.5372107896374807</v>
      </c>
      <c r="H16" s="69"/>
      <c r="I16" s="69"/>
      <c r="J16" s="69"/>
      <c r="K16" s="69"/>
      <c r="L16" s="69"/>
      <c r="M16" s="69"/>
      <c r="N16" s="69"/>
      <c r="O16" s="69"/>
      <c r="P16" s="259"/>
      <c r="Q16" s="347" t="s">
        <v>352</v>
      </c>
      <c r="R16" s="345">
        <f t="shared" si="2"/>
        <v>185629.31535878108</v>
      </c>
      <c r="S16" s="345">
        <f>Data!CD15/S$4*100000*S$3</f>
        <v>32603.37988371461</v>
      </c>
      <c r="T16" s="345">
        <f>Data!CE15/T$4*100000*T$3</f>
        <v>0</v>
      </c>
      <c r="U16" s="345">
        <f>Data!CF15/U$4*100000*U$3</f>
        <v>0</v>
      </c>
      <c r="V16" s="345">
        <f>Data!CG15/V$4*100000*V$3</f>
        <v>0</v>
      </c>
      <c r="W16" s="345">
        <f>Data!CH15/W$4*100000*W$3</f>
        <v>0</v>
      </c>
      <c r="X16" s="345">
        <f>Data!CI15/X$4*100000*X$3</f>
        <v>0</v>
      </c>
      <c r="Y16" s="345">
        <f>Data!CJ15/Y$4*100000*Y$3</f>
        <v>0</v>
      </c>
      <c r="Z16" s="345">
        <f>Data!CK15/Z$4*100000*Z$3</f>
        <v>0</v>
      </c>
      <c r="AA16" s="345">
        <f>Data!CL15/AA$4*100000*AA$3</f>
        <v>25822.635384388373</v>
      </c>
      <c r="AB16" s="345">
        <f>Data!CM15/AB$4*100000*AB$3</f>
        <v>0</v>
      </c>
      <c r="AC16" s="345">
        <f>Data!CN15/AC$4*100000*AC$3</f>
        <v>11101.155313092228</v>
      </c>
      <c r="AD16" s="345">
        <f>Data!CO15/AD$4*100000*AD$3</f>
        <v>11124.811109978029</v>
      </c>
      <c r="AE16" s="345">
        <f>Data!CP15/AE$4*100000*AE$3</f>
        <v>20219.175866391684</v>
      </c>
      <c r="AF16" s="345">
        <f>Data!CQ15/AF$4*100000*AF$3</f>
        <v>24024.889785818108</v>
      </c>
      <c r="AG16" s="345">
        <f>Data!CR15/AG$4*100000*AG$3</f>
        <v>16654.453400839386</v>
      </c>
      <c r="AH16" s="345">
        <f>Data!CS15/AH$4*100000*AH$3</f>
        <v>24846.572415335304</v>
      </c>
      <c r="AI16" s="345">
        <f>Data!CT15/AI$4*100000*AI$3</f>
        <v>8224.360555966774</v>
      </c>
      <c r="AJ16" s="345">
        <f>Data!CU15/AJ$4*100000*AJ$3</f>
        <v>11007.881643256571</v>
      </c>
      <c r="AK16" s="347" t="s">
        <v>352</v>
      </c>
      <c r="AL16" s="345">
        <f t="shared" si="3"/>
        <v>153721.07896374806</v>
      </c>
      <c r="AM16" s="345">
        <f>Data!CD15/AM$4*100000*AM$3</f>
        <v>48905.069825571911</v>
      </c>
      <c r="AN16" s="345">
        <f>Data!CE15/AN$4*100000*AN$3</f>
        <v>0</v>
      </c>
      <c r="AO16" s="345">
        <f>Data!CF15/AO$4*100000*AO$3</f>
        <v>0</v>
      </c>
      <c r="AP16" s="345">
        <f>Data!CG15/AP$4*100000*AP$3</f>
        <v>0</v>
      </c>
      <c r="AQ16" s="345">
        <f>Data!CH15/AQ$4*100000*AQ$3</f>
        <v>0</v>
      </c>
      <c r="AR16" s="345">
        <f>Data!CI15/AR$4*100000*AR$3</f>
        <v>0</v>
      </c>
      <c r="AS16" s="345">
        <f>Data!CJ15/AS$4*100000*AS$3</f>
        <v>0</v>
      </c>
      <c r="AT16" s="345">
        <f>Data!CK15/AT$4*100000*AT$3</f>
        <v>0</v>
      </c>
      <c r="AU16" s="345">
        <f>Data!CL15/AU$4*100000*AU$3</f>
        <v>22133.687472332891</v>
      </c>
      <c r="AV16" s="345">
        <f>Data!CM15/AV$4*100000*AV$3</f>
        <v>0</v>
      </c>
      <c r="AW16" s="345">
        <f>Data!CN15/AW$4*100000*AW$3</f>
        <v>7929.396652208733</v>
      </c>
      <c r="AX16" s="345">
        <f>Data!CO15/AX$4*100000*AX$3</f>
        <v>7416.540739985352</v>
      </c>
      <c r="AY16" s="345">
        <f>Data!CP15/AY$4*100000*AY$3</f>
        <v>16175.340693113349</v>
      </c>
      <c r="AZ16" s="345">
        <f>Data!CQ15/AZ$4*100000*AZ$3</f>
        <v>18018.667339363579</v>
      </c>
      <c r="BA16" s="345">
        <f>Data!CR15/BA$4*100000*BA$3</f>
        <v>11102.968933892922</v>
      </c>
      <c r="BB16" s="345">
        <f>Data!CS15/BB$4*100000*BB$3</f>
        <v>12423.286207667652</v>
      </c>
      <c r="BC16" s="345">
        <f>Data!CT15/BC$4*100000*BC$3</f>
        <v>4112.180277983387</v>
      </c>
      <c r="BD16" s="345">
        <f>Data!CU15/BD$4*100000*BD$3</f>
        <v>5503.9408216282854</v>
      </c>
    </row>
    <row r="17" spans="1:56" ht="12" customHeight="1">
      <c r="A17" s="64"/>
      <c r="B17" s="283" t="str">
        <f>UPPER(LEFT(TRIM(Data!B16),1)) &amp; MID(TRIM(Data!B16),2,50)</f>
        <v>Nosies ertmės, vid.ausies ir ančių</v>
      </c>
      <c r="C17" s="284" t="str">
        <f>UPPER(LEFT(TRIM(Data!C16),1)) &amp; MID(TRIM(Data!C16),2,50)</f>
        <v>C30, C31</v>
      </c>
      <c r="D17" s="285">
        <f>Data!BQ16</f>
        <v>21</v>
      </c>
      <c r="E17" s="286">
        <f t="shared" si="4"/>
        <v>1.3164113873346179</v>
      </c>
      <c r="F17" s="287">
        <f t="shared" si="5"/>
        <v>0.86014951436059617</v>
      </c>
      <c r="G17" s="287">
        <f t="shared" si="6"/>
        <v>0.61842243654882334</v>
      </c>
      <c r="H17" s="69"/>
      <c r="I17" s="69"/>
      <c r="J17" s="69"/>
      <c r="K17" s="69"/>
      <c r="L17" s="69"/>
      <c r="M17" s="69"/>
      <c r="N17" s="69"/>
      <c r="O17" s="69"/>
      <c r="P17" s="259"/>
      <c r="Q17" s="347" t="s">
        <v>352</v>
      </c>
      <c r="R17" s="345">
        <f t="shared" si="2"/>
        <v>86014.951436059622</v>
      </c>
      <c r="S17" s="345">
        <f>Data!CD16/S$4*100000*S$3</f>
        <v>0</v>
      </c>
      <c r="T17" s="345">
        <f>Data!CE16/T$4*100000*T$3</f>
        <v>0</v>
      </c>
      <c r="U17" s="345">
        <f>Data!CF16/U$4*100000*U$3</f>
        <v>0</v>
      </c>
      <c r="V17" s="345">
        <f>Data!CG16/V$4*100000*V$3</f>
        <v>0</v>
      </c>
      <c r="W17" s="345">
        <f>Data!CH16/W$4*100000*W$3</f>
        <v>0</v>
      </c>
      <c r="X17" s="345">
        <f>Data!CI16/X$4*100000*X$3</f>
        <v>0</v>
      </c>
      <c r="Y17" s="345">
        <f>Data!CJ16/Y$4*100000*Y$3</f>
        <v>0</v>
      </c>
      <c r="Z17" s="345">
        <f>Data!CK16/Z$4*100000*Z$3</f>
        <v>0</v>
      </c>
      <c r="AA17" s="345">
        <f>Data!CL16/AA$4*100000*AA$3</f>
        <v>6455.6588460970934</v>
      </c>
      <c r="AB17" s="345">
        <f>Data!CM16/AB$4*100000*AB$3</f>
        <v>0</v>
      </c>
      <c r="AC17" s="345">
        <f>Data!CN16/AC$4*100000*AC$3</f>
        <v>11101.155313092228</v>
      </c>
      <c r="AD17" s="345">
        <f>Data!CO16/AD$4*100000*AD$3</f>
        <v>11124.811109978029</v>
      </c>
      <c r="AE17" s="345">
        <f>Data!CP16/AE$4*100000*AE$3</f>
        <v>25273.969832989605</v>
      </c>
      <c r="AF17" s="345">
        <f>Data!CQ16/AF$4*100000*AF$3</f>
        <v>14414.933871490864</v>
      </c>
      <c r="AG17" s="345">
        <f>Data!CR16/AG$4*100000*AG$3</f>
        <v>6661.7813603357536</v>
      </c>
      <c r="AH17" s="345">
        <f>Data!CS16/AH$4*100000*AH$3</f>
        <v>0</v>
      </c>
      <c r="AI17" s="345">
        <f>Data!CT16/AI$4*100000*AI$3</f>
        <v>6579.4884447734194</v>
      </c>
      <c r="AJ17" s="345">
        <f>Data!CU16/AJ$4*100000*AJ$3</f>
        <v>4403.1526573026285</v>
      </c>
      <c r="AK17" s="347" t="s">
        <v>352</v>
      </c>
      <c r="AL17" s="345">
        <f t="shared" si="3"/>
        <v>61842.243654882332</v>
      </c>
      <c r="AM17" s="345">
        <f>Data!CD16/AM$4*100000*AM$3</f>
        <v>0</v>
      </c>
      <c r="AN17" s="345">
        <f>Data!CE16/AN$4*100000*AN$3</f>
        <v>0</v>
      </c>
      <c r="AO17" s="345">
        <f>Data!CF16/AO$4*100000*AO$3</f>
        <v>0</v>
      </c>
      <c r="AP17" s="345">
        <f>Data!CG16/AP$4*100000*AP$3</f>
        <v>0</v>
      </c>
      <c r="AQ17" s="345">
        <f>Data!CH16/AQ$4*100000*AQ$3</f>
        <v>0</v>
      </c>
      <c r="AR17" s="345">
        <f>Data!CI16/AR$4*100000*AR$3</f>
        <v>0</v>
      </c>
      <c r="AS17" s="345">
        <f>Data!CJ16/AS$4*100000*AS$3</f>
        <v>0</v>
      </c>
      <c r="AT17" s="345">
        <f>Data!CK16/AT$4*100000*AT$3</f>
        <v>0</v>
      </c>
      <c r="AU17" s="345">
        <f>Data!CL16/AU$4*100000*AU$3</f>
        <v>5533.4218680832228</v>
      </c>
      <c r="AV17" s="345">
        <f>Data!CM16/AV$4*100000*AV$3</f>
        <v>0</v>
      </c>
      <c r="AW17" s="345">
        <f>Data!CN16/AW$4*100000*AW$3</f>
        <v>7929.396652208733</v>
      </c>
      <c r="AX17" s="345">
        <f>Data!CO16/AX$4*100000*AX$3</f>
        <v>7416.540739985352</v>
      </c>
      <c r="AY17" s="345">
        <f>Data!CP16/AY$4*100000*AY$3</f>
        <v>20219.175866391684</v>
      </c>
      <c r="AZ17" s="345">
        <f>Data!CQ16/AZ$4*100000*AZ$3</f>
        <v>10811.200403618148</v>
      </c>
      <c r="BA17" s="345">
        <f>Data!CR16/BA$4*100000*BA$3</f>
        <v>4441.1875735571693</v>
      </c>
      <c r="BB17" s="345">
        <f>Data!CS16/BB$4*100000*BB$3</f>
        <v>0</v>
      </c>
      <c r="BC17" s="345">
        <f>Data!CT16/BC$4*100000*BC$3</f>
        <v>3289.7442223867097</v>
      </c>
      <c r="BD17" s="345">
        <f>Data!CU16/BD$4*100000*BD$3</f>
        <v>2201.5763286513143</v>
      </c>
    </row>
    <row r="18" spans="1:56" ht="12" customHeight="1">
      <c r="A18" s="64"/>
      <c r="B18" s="144" t="str">
        <f>UPPER(LEFT(TRIM(Data!B17),1)) &amp; MID(TRIM(Data!B17),2,50)</f>
        <v>Gerklų</v>
      </c>
      <c r="C18" s="123" t="str">
        <f>UPPER(LEFT(TRIM(Data!C17),1)) &amp; MID(TRIM(Data!C17),2,50)</f>
        <v>C32</v>
      </c>
      <c r="D18" s="124">
        <f>Data!BQ17</f>
        <v>11</v>
      </c>
      <c r="E18" s="125">
        <f t="shared" si="4"/>
        <v>0.68954882193718081</v>
      </c>
      <c r="F18" s="126">
        <f t="shared" si="5"/>
        <v>0.57212827534574606</v>
      </c>
      <c r="G18" s="126">
        <f t="shared" si="6"/>
        <v>0.42241436812047495</v>
      </c>
      <c r="H18" s="69"/>
      <c r="I18" s="69"/>
      <c r="J18" s="69"/>
      <c r="K18" s="69"/>
      <c r="L18" s="69"/>
      <c r="M18" s="69"/>
      <c r="N18" s="69"/>
      <c r="O18" s="69"/>
      <c r="P18" s="259"/>
      <c r="Q18" s="347" t="s">
        <v>352</v>
      </c>
      <c r="R18" s="345">
        <f t="shared" si="2"/>
        <v>57212.827534574608</v>
      </c>
      <c r="S18" s="345">
        <f>Data!CD17/S$4*100000*S$3</f>
        <v>0</v>
      </c>
      <c r="T18" s="345">
        <f>Data!CE17/T$4*100000*T$3</f>
        <v>0</v>
      </c>
      <c r="U18" s="345">
        <f>Data!CF17/U$4*100000*U$3</f>
        <v>0</v>
      </c>
      <c r="V18" s="345">
        <f>Data!CG17/V$4*100000*V$3</f>
        <v>0</v>
      </c>
      <c r="W18" s="345">
        <f>Data!CH17/W$4*100000*W$3</f>
        <v>0</v>
      </c>
      <c r="X18" s="345">
        <f>Data!CI17/X$4*100000*X$3</f>
        <v>0</v>
      </c>
      <c r="Y18" s="345">
        <f>Data!CJ17/Y$4*100000*Y$3</f>
        <v>8010.344788126381</v>
      </c>
      <c r="Z18" s="345">
        <f>Data!CK17/Z$4*100000*Z$3</f>
        <v>7342.4519593857522</v>
      </c>
      <c r="AA18" s="345">
        <f>Data!CL17/AA$4*100000*AA$3</f>
        <v>0</v>
      </c>
      <c r="AB18" s="345">
        <f>Data!CM17/AB$4*100000*AB$3</f>
        <v>0</v>
      </c>
      <c r="AC18" s="345">
        <f>Data!CN17/AC$4*100000*AC$3</f>
        <v>11101.155313092228</v>
      </c>
      <c r="AD18" s="345">
        <f>Data!CO17/AD$4*100000*AD$3</f>
        <v>11124.811109978029</v>
      </c>
      <c r="AE18" s="345">
        <f>Data!CP17/AE$4*100000*AE$3</f>
        <v>5054.7939665979211</v>
      </c>
      <c r="AF18" s="345">
        <f>Data!CQ17/AF$4*100000*AF$3</f>
        <v>9609.9559143272418</v>
      </c>
      <c r="AG18" s="345">
        <f>Data!CR17/AG$4*100000*AG$3</f>
        <v>0</v>
      </c>
      <c r="AH18" s="345">
        <f>Data!CS17/AH$4*100000*AH$3</f>
        <v>4969.3144830670608</v>
      </c>
      <c r="AI18" s="345">
        <f>Data!CT17/AI$4*100000*AI$3</f>
        <v>0</v>
      </c>
      <c r="AJ18" s="345">
        <f>Data!CU17/AJ$4*100000*AJ$3</f>
        <v>0</v>
      </c>
      <c r="AK18" s="347" t="s">
        <v>352</v>
      </c>
      <c r="AL18" s="345">
        <f t="shared" si="3"/>
        <v>42241.436812047497</v>
      </c>
      <c r="AM18" s="345">
        <f>Data!CD17/AM$4*100000*AM$3</f>
        <v>0</v>
      </c>
      <c r="AN18" s="345">
        <f>Data!CE17/AN$4*100000*AN$3</f>
        <v>0</v>
      </c>
      <c r="AO18" s="345">
        <f>Data!CF17/AO$4*100000*AO$3</f>
        <v>0</v>
      </c>
      <c r="AP18" s="345">
        <f>Data!CG17/AP$4*100000*AP$3</f>
        <v>0</v>
      </c>
      <c r="AQ18" s="345">
        <f>Data!CH17/AQ$4*100000*AQ$3</f>
        <v>0</v>
      </c>
      <c r="AR18" s="345">
        <f>Data!CI17/AR$4*100000*AR$3</f>
        <v>0</v>
      </c>
      <c r="AS18" s="345">
        <f>Data!CJ17/AS$4*100000*AS$3</f>
        <v>6866.0098183940408</v>
      </c>
      <c r="AT18" s="345">
        <f>Data!CK17/AT$4*100000*AT$3</f>
        <v>6293.530250902073</v>
      </c>
      <c r="AU18" s="345">
        <f>Data!CL17/AU$4*100000*AU$3</f>
        <v>0</v>
      </c>
      <c r="AV18" s="345">
        <f>Data!CM17/AV$4*100000*AV$3</f>
        <v>0</v>
      </c>
      <c r="AW18" s="345">
        <f>Data!CN17/AW$4*100000*AW$3</f>
        <v>7929.396652208733</v>
      </c>
      <c r="AX18" s="345">
        <f>Data!CO17/AX$4*100000*AX$3</f>
        <v>7416.540739985352</v>
      </c>
      <c r="AY18" s="345">
        <f>Data!CP17/AY$4*100000*AY$3</f>
        <v>4043.8351732783372</v>
      </c>
      <c r="AZ18" s="345">
        <f>Data!CQ17/AZ$4*100000*AZ$3</f>
        <v>7207.4669357454322</v>
      </c>
      <c r="BA18" s="345">
        <f>Data!CR17/BA$4*100000*BA$3</f>
        <v>0</v>
      </c>
      <c r="BB18" s="345">
        <f>Data!CS17/BB$4*100000*BB$3</f>
        <v>2484.6572415335304</v>
      </c>
      <c r="BC18" s="345">
        <f>Data!CT17/BC$4*100000*BC$3</f>
        <v>0</v>
      </c>
      <c r="BD18" s="345">
        <f>Data!CU17/BD$4*100000*BD$3</f>
        <v>0</v>
      </c>
    </row>
    <row r="19" spans="1:56" ht="12" customHeight="1">
      <c r="A19" s="64"/>
      <c r="B19" s="283" t="str">
        <f>UPPER(LEFT(TRIM(Data!B18),1)) &amp; MID(TRIM(Data!B18),2,50)</f>
        <v>Plaučių, trachėjos, bronchų</v>
      </c>
      <c r="C19" s="284" t="str">
        <f>UPPER(LEFT(TRIM(Data!C18),1)) &amp; MID(TRIM(Data!C18),2,50)</f>
        <v>C33, C34</v>
      </c>
      <c r="D19" s="285">
        <f>Data!BQ18</f>
        <v>290</v>
      </c>
      <c r="E19" s="286">
        <f t="shared" si="4"/>
        <v>18.179014396525677</v>
      </c>
      <c r="F19" s="287">
        <f t="shared" si="5"/>
        <v>10.883282676649571</v>
      </c>
      <c r="G19" s="287">
        <f t="shared" si="6"/>
        <v>7.4285067496880357</v>
      </c>
      <c r="H19" s="69"/>
      <c r="I19" s="69"/>
      <c r="J19" s="69"/>
      <c r="K19" s="69"/>
      <c r="L19" s="69"/>
      <c r="M19" s="69"/>
      <c r="N19" s="69"/>
      <c r="O19" s="69"/>
      <c r="P19" s="259"/>
      <c r="Q19" s="347" t="s">
        <v>352</v>
      </c>
      <c r="R19" s="345">
        <f t="shared" si="2"/>
        <v>1088328.2676649571</v>
      </c>
      <c r="S19" s="345">
        <f>Data!CD18/S$4*100000*S$3</f>
        <v>0</v>
      </c>
      <c r="T19" s="345">
        <f>Data!CE18/T$4*100000*T$3</f>
        <v>0</v>
      </c>
      <c r="U19" s="345">
        <f>Data!CF18/U$4*100000*U$3</f>
        <v>0</v>
      </c>
      <c r="V19" s="345">
        <f>Data!CG18/V$4*100000*V$3</f>
        <v>0</v>
      </c>
      <c r="W19" s="345">
        <f>Data!CH18/W$4*100000*W$3</f>
        <v>0</v>
      </c>
      <c r="X19" s="345">
        <f>Data!CI18/X$4*100000*X$3</f>
        <v>7364.0026510409534</v>
      </c>
      <c r="Y19" s="345">
        <f>Data!CJ18/Y$4*100000*Y$3</f>
        <v>0</v>
      </c>
      <c r="Z19" s="345">
        <f>Data!CK18/Z$4*100000*Z$3</f>
        <v>7342.4519593857522</v>
      </c>
      <c r="AA19" s="345">
        <f>Data!CL18/AA$4*100000*AA$3</f>
        <v>25822.635384388373</v>
      </c>
      <c r="AB19" s="345">
        <f>Data!CM18/AB$4*100000*AB$3</f>
        <v>37413.481324437234</v>
      </c>
      <c r="AC19" s="345">
        <f>Data!CN18/AC$4*100000*AC$3</f>
        <v>94359.820161283933</v>
      </c>
      <c r="AD19" s="345">
        <f>Data!CO18/AD$4*100000*AD$3</f>
        <v>172434.57220465943</v>
      </c>
      <c r="AE19" s="345">
        <f>Data!CP18/AE$4*100000*AE$3</f>
        <v>197136.96469731894</v>
      </c>
      <c r="AF19" s="345">
        <f>Data!CQ18/AF$4*100000*AF$3</f>
        <v>153759.29462923587</v>
      </c>
      <c r="AG19" s="345">
        <f>Data!CR18/AG$4*100000*AG$3</f>
        <v>133235.62720671509</v>
      </c>
      <c r="AH19" s="345">
        <f>Data!CS18/AH$4*100000*AH$3</f>
        <v>134171.49104281067</v>
      </c>
      <c r="AI19" s="345">
        <f>Data!CT18/AI$4*100000*AI$3</f>
        <v>52635.907558187355</v>
      </c>
      <c r="AJ19" s="345">
        <f>Data!CU18/AJ$4*100000*AJ$3</f>
        <v>72652.018845493367</v>
      </c>
      <c r="AK19" s="347" t="s">
        <v>352</v>
      </c>
      <c r="AL19" s="345">
        <f t="shared" si="3"/>
        <v>742850.67496880353</v>
      </c>
      <c r="AM19" s="345">
        <f>Data!CD18/AM$4*100000*AM$3</f>
        <v>0</v>
      </c>
      <c r="AN19" s="345">
        <f>Data!CE18/AN$4*100000*AN$3</f>
        <v>0</v>
      </c>
      <c r="AO19" s="345">
        <f>Data!CF18/AO$4*100000*AO$3</f>
        <v>0</v>
      </c>
      <c r="AP19" s="345">
        <f>Data!CG18/AP$4*100000*AP$3</f>
        <v>0</v>
      </c>
      <c r="AQ19" s="345">
        <f>Data!CH18/AQ$4*100000*AQ$3</f>
        <v>0</v>
      </c>
      <c r="AR19" s="345">
        <f>Data!CI18/AR$4*100000*AR$3</f>
        <v>8416.0030297610901</v>
      </c>
      <c r="AS19" s="345">
        <f>Data!CJ18/AS$4*100000*AS$3</f>
        <v>0</v>
      </c>
      <c r="AT19" s="345">
        <f>Data!CK18/AT$4*100000*AT$3</f>
        <v>6293.530250902073</v>
      </c>
      <c r="AU19" s="345">
        <f>Data!CL18/AU$4*100000*AU$3</f>
        <v>22133.687472332891</v>
      </c>
      <c r="AV19" s="345">
        <f>Data!CM18/AV$4*100000*AV$3</f>
        <v>32068.698278089058</v>
      </c>
      <c r="AW19" s="345">
        <f>Data!CN18/AW$4*100000*AW$3</f>
        <v>67399.871543774236</v>
      </c>
      <c r="AX19" s="345">
        <f>Data!CO18/AX$4*100000*AX$3</f>
        <v>114956.38146977295</v>
      </c>
      <c r="AY19" s="345">
        <f>Data!CP18/AY$4*100000*AY$3</f>
        <v>157709.57175785516</v>
      </c>
      <c r="AZ19" s="345">
        <f>Data!CQ18/AZ$4*100000*AZ$3</f>
        <v>115319.47097192692</v>
      </c>
      <c r="BA19" s="345">
        <f>Data!CR18/BA$4*100000*BA$3</f>
        <v>88823.751471143376</v>
      </c>
      <c r="BB19" s="345">
        <f>Data!CS18/BB$4*100000*BB$3</f>
        <v>67085.745521405333</v>
      </c>
      <c r="BC19" s="345">
        <f>Data!CT18/BC$4*100000*BC$3</f>
        <v>26317.953779093677</v>
      </c>
      <c r="BD19" s="345">
        <f>Data!CU18/BD$4*100000*BD$3</f>
        <v>36326.009422746683</v>
      </c>
    </row>
    <row r="20" spans="1:56" ht="12" customHeight="1">
      <c r="A20" s="64"/>
      <c r="B20" s="144" t="str">
        <f>UPPER(LEFT(TRIM(Data!B19),1)) &amp; MID(TRIM(Data!B19),2,50)</f>
        <v>Kitų kvėpavimo sistemos organų</v>
      </c>
      <c r="C20" s="123" t="str">
        <f>UPPER(LEFT(TRIM(Data!C19),1)) &amp; MID(TRIM(Data!C19),2,50)</f>
        <v>C37-C39</v>
      </c>
      <c r="D20" s="124">
        <f>Data!BQ19</f>
        <v>6</v>
      </c>
      <c r="E20" s="125">
        <f t="shared" si="4"/>
        <v>0.37611753923846225</v>
      </c>
      <c r="F20" s="126">
        <f t="shared" si="5"/>
        <v>0.30726388334072641</v>
      </c>
      <c r="G20" s="126">
        <f t="shared" si="6"/>
        <v>0.29560544032687841</v>
      </c>
      <c r="H20" s="69"/>
      <c r="I20" s="69"/>
      <c r="J20" s="69"/>
      <c r="K20" s="69"/>
      <c r="L20" s="69"/>
      <c r="M20" s="69"/>
      <c r="N20" s="69"/>
      <c r="O20" s="69"/>
      <c r="P20" s="259"/>
      <c r="Q20" s="347" t="s">
        <v>352</v>
      </c>
      <c r="R20" s="345">
        <f t="shared" si="2"/>
        <v>30726.388334072642</v>
      </c>
      <c r="S20" s="345">
        <f>Data!CD19/S$4*100000*S$3</f>
        <v>10867.793294571538</v>
      </c>
      <c r="T20" s="345">
        <f>Data!CE19/T$4*100000*T$3</f>
        <v>0</v>
      </c>
      <c r="U20" s="345">
        <f>Data!CF19/U$4*100000*U$3</f>
        <v>0</v>
      </c>
      <c r="V20" s="345">
        <f>Data!CG19/V$4*100000*V$3</f>
        <v>0</v>
      </c>
      <c r="W20" s="345">
        <f>Data!CH19/W$4*100000*W$3</f>
        <v>0</v>
      </c>
      <c r="X20" s="345">
        <f>Data!CI19/X$4*100000*X$3</f>
        <v>0</v>
      </c>
      <c r="Y20" s="345">
        <f>Data!CJ19/Y$4*100000*Y$3</f>
        <v>0</v>
      </c>
      <c r="Z20" s="345">
        <f>Data!CK19/Z$4*100000*Z$3</f>
        <v>0</v>
      </c>
      <c r="AA20" s="345">
        <f>Data!CL19/AA$4*100000*AA$3</f>
        <v>0</v>
      </c>
      <c r="AB20" s="345">
        <f>Data!CM19/AB$4*100000*AB$3</f>
        <v>0</v>
      </c>
      <c r="AC20" s="345">
        <f>Data!CN19/AC$4*100000*AC$3</f>
        <v>0</v>
      </c>
      <c r="AD20" s="345">
        <f>Data!CO19/AD$4*100000*AD$3</f>
        <v>5562.4055549890145</v>
      </c>
      <c r="AE20" s="345">
        <f>Data!CP19/AE$4*100000*AE$3</f>
        <v>0</v>
      </c>
      <c r="AF20" s="345">
        <f>Data!CQ19/AF$4*100000*AF$3</f>
        <v>9609.9559143272418</v>
      </c>
      <c r="AG20" s="345">
        <f>Data!CR19/AG$4*100000*AG$3</f>
        <v>0</v>
      </c>
      <c r="AH20" s="345">
        <f>Data!CS19/AH$4*100000*AH$3</f>
        <v>2484.6572415335304</v>
      </c>
      <c r="AI20" s="345">
        <f>Data!CT19/AI$4*100000*AI$3</f>
        <v>0</v>
      </c>
      <c r="AJ20" s="345">
        <f>Data!CU19/AJ$4*100000*AJ$3</f>
        <v>2201.5763286513143</v>
      </c>
      <c r="AK20" s="347" t="s">
        <v>352</v>
      </c>
      <c r="AL20" s="345">
        <f t="shared" si="3"/>
        <v>29560.544032687842</v>
      </c>
      <c r="AM20" s="345">
        <f>Data!CD19/AM$4*100000*AM$3</f>
        <v>16301.689941857307</v>
      </c>
      <c r="AN20" s="345">
        <f>Data!CE19/AN$4*100000*AN$3</f>
        <v>0</v>
      </c>
      <c r="AO20" s="345">
        <f>Data!CF19/AO$4*100000*AO$3</f>
        <v>0</v>
      </c>
      <c r="AP20" s="345">
        <f>Data!CG19/AP$4*100000*AP$3</f>
        <v>0</v>
      </c>
      <c r="AQ20" s="345">
        <f>Data!CH19/AQ$4*100000*AQ$3</f>
        <v>0</v>
      </c>
      <c r="AR20" s="345">
        <f>Data!CI19/AR$4*100000*AR$3</f>
        <v>0</v>
      </c>
      <c r="AS20" s="345">
        <f>Data!CJ19/AS$4*100000*AS$3</f>
        <v>0</v>
      </c>
      <c r="AT20" s="345">
        <f>Data!CK19/AT$4*100000*AT$3</f>
        <v>0</v>
      </c>
      <c r="AU20" s="345">
        <f>Data!CL19/AU$4*100000*AU$3</f>
        <v>0</v>
      </c>
      <c r="AV20" s="345">
        <f>Data!CM19/AV$4*100000*AV$3</f>
        <v>0</v>
      </c>
      <c r="AW20" s="345">
        <f>Data!CN19/AW$4*100000*AW$3</f>
        <v>0</v>
      </c>
      <c r="AX20" s="345">
        <f>Data!CO19/AX$4*100000*AX$3</f>
        <v>3708.270369992676</v>
      </c>
      <c r="AY20" s="345">
        <f>Data!CP19/AY$4*100000*AY$3</f>
        <v>0</v>
      </c>
      <c r="AZ20" s="345">
        <f>Data!CQ19/AZ$4*100000*AZ$3</f>
        <v>7207.4669357454322</v>
      </c>
      <c r="BA20" s="345">
        <f>Data!CR19/BA$4*100000*BA$3</f>
        <v>0</v>
      </c>
      <c r="BB20" s="345">
        <f>Data!CS19/BB$4*100000*BB$3</f>
        <v>1242.3286207667652</v>
      </c>
      <c r="BC20" s="345">
        <f>Data!CT19/BC$4*100000*BC$3</f>
        <v>0</v>
      </c>
      <c r="BD20" s="345">
        <f>Data!CU19/BD$4*100000*BD$3</f>
        <v>1100.7881643256571</v>
      </c>
    </row>
    <row r="21" spans="1:56" ht="12" customHeight="1">
      <c r="A21" s="64"/>
      <c r="B21" s="283" t="str">
        <f>UPPER(LEFT(TRIM(Data!B20),1)) &amp; MID(TRIM(Data!B20),2,50)</f>
        <v>Kaulų ir jungiamojo audinio</v>
      </c>
      <c r="C21" s="284" t="str">
        <f>UPPER(LEFT(TRIM(Data!C20),1)) &amp; MID(TRIM(Data!C20),2,50)</f>
        <v>C40-C41, C45-C47, C49</v>
      </c>
      <c r="D21" s="285">
        <f>Data!BQ20</f>
        <v>69</v>
      </c>
      <c r="E21" s="286">
        <f t="shared" si="4"/>
        <v>4.3253517012423162</v>
      </c>
      <c r="F21" s="287">
        <f t="shared" si="5"/>
        <v>3.2926827955162921</v>
      </c>
      <c r="G21" s="287">
        <f t="shared" si="6"/>
        <v>2.7653701817417815</v>
      </c>
      <c r="H21" s="69"/>
      <c r="I21" s="69"/>
      <c r="J21" s="69"/>
      <c r="K21" s="69"/>
      <c r="L21" s="69"/>
      <c r="M21" s="69"/>
      <c r="N21" s="69"/>
      <c r="O21" s="69"/>
      <c r="P21" s="259"/>
      <c r="Q21" s="347" t="s">
        <v>352</v>
      </c>
      <c r="R21" s="345">
        <f t="shared" si="2"/>
        <v>329268.27955162921</v>
      </c>
      <c r="S21" s="345">
        <f>Data!CD20/S$4*100000*S$3</f>
        <v>0</v>
      </c>
      <c r="T21" s="345">
        <f>Data!CE20/T$4*100000*T$3</f>
        <v>10610.240397732439</v>
      </c>
      <c r="U21" s="345">
        <f>Data!CF20/U$4*100000*U$3</f>
        <v>29371.861756437331</v>
      </c>
      <c r="V21" s="345">
        <f>Data!CG20/V$4*100000*V$3</f>
        <v>7878.8015217342372</v>
      </c>
      <c r="W21" s="345">
        <f>Data!CH20/W$4*100000*W$3</f>
        <v>6735.561842079941</v>
      </c>
      <c r="X21" s="345">
        <f>Data!CI20/X$4*100000*X$3</f>
        <v>22092.007953122862</v>
      </c>
      <c r="Y21" s="345">
        <f>Data!CJ20/Y$4*100000*Y$3</f>
        <v>8010.344788126381</v>
      </c>
      <c r="Z21" s="345">
        <f>Data!CK20/Z$4*100000*Z$3</f>
        <v>7342.4519593857522</v>
      </c>
      <c r="AA21" s="345">
        <f>Data!CL20/AA$4*100000*AA$3</f>
        <v>6455.6588460970934</v>
      </c>
      <c r="AB21" s="345">
        <f>Data!CM20/AB$4*100000*AB$3</f>
        <v>31177.901103697703</v>
      </c>
      <c r="AC21" s="345">
        <f>Data!CN20/AC$4*100000*AC$3</f>
        <v>49955.198908915016</v>
      </c>
      <c r="AD21" s="345">
        <f>Data!CO20/AD$4*100000*AD$3</f>
        <v>22249.622219956058</v>
      </c>
      <c r="AE21" s="345">
        <f>Data!CP20/AE$4*100000*AE$3</f>
        <v>40438.351732783369</v>
      </c>
      <c r="AF21" s="345">
        <f>Data!CQ20/AF$4*100000*AF$3</f>
        <v>24024.889785818108</v>
      </c>
      <c r="AG21" s="345">
        <f>Data!CR20/AG$4*100000*AG$3</f>
        <v>16654.453400839386</v>
      </c>
      <c r="AH21" s="345">
        <f>Data!CS20/AH$4*100000*AH$3</f>
        <v>19877.257932268243</v>
      </c>
      <c r="AI21" s="345">
        <f>Data!CT20/AI$4*100000*AI$3</f>
        <v>6579.4884447734194</v>
      </c>
      <c r="AJ21" s="345">
        <f>Data!CU20/AJ$4*100000*AJ$3</f>
        <v>19814.186957861828</v>
      </c>
      <c r="AK21" s="347" t="s">
        <v>352</v>
      </c>
      <c r="AL21" s="345">
        <f t="shared" si="3"/>
        <v>276537.01817417814</v>
      </c>
      <c r="AM21" s="345">
        <f>Data!CD20/AM$4*100000*AM$3</f>
        <v>0</v>
      </c>
      <c r="AN21" s="345">
        <f>Data!CE20/AN$4*100000*AN$3</f>
        <v>15157.486282474914</v>
      </c>
      <c r="AO21" s="345">
        <f>Data!CF20/AO$4*100000*AO$3</f>
        <v>37763.822258276567</v>
      </c>
      <c r="AP21" s="345">
        <f>Data!CG20/AP$4*100000*AP$3</f>
        <v>10129.887670801163</v>
      </c>
      <c r="AQ21" s="345">
        <f>Data!CH20/AQ$4*100000*AQ$3</f>
        <v>7697.7849623770753</v>
      </c>
      <c r="AR21" s="345">
        <f>Data!CI20/AR$4*100000*AR$3</f>
        <v>25248.00908928327</v>
      </c>
      <c r="AS21" s="345">
        <f>Data!CJ20/AS$4*100000*AS$3</f>
        <v>6866.0098183940408</v>
      </c>
      <c r="AT21" s="345">
        <f>Data!CK20/AT$4*100000*AT$3</f>
        <v>6293.530250902073</v>
      </c>
      <c r="AU21" s="345">
        <f>Data!CL20/AU$4*100000*AU$3</f>
        <v>5533.4218680832228</v>
      </c>
      <c r="AV21" s="345">
        <f>Data!CM20/AV$4*100000*AV$3</f>
        <v>26723.915231740888</v>
      </c>
      <c r="AW21" s="345">
        <f>Data!CN20/AW$4*100000*AW$3</f>
        <v>35682.2849349393</v>
      </c>
      <c r="AX21" s="345">
        <f>Data!CO20/AX$4*100000*AX$3</f>
        <v>14833.081479970704</v>
      </c>
      <c r="AY21" s="345">
        <f>Data!CP20/AY$4*100000*AY$3</f>
        <v>32350.681386226697</v>
      </c>
      <c r="AZ21" s="345">
        <f>Data!CQ20/AZ$4*100000*AZ$3</f>
        <v>18018.667339363579</v>
      </c>
      <c r="BA21" s="345">
        <f>Data!CR20/BA$4*100000*BA$3</f>
        <v>11102.968933892922</v>
      </c>
      <c r="BB21" s="345">
        <f>Data!CS20/BB$4*100000*BB$3</f>
        <v>9938.6289661341216</v>
      </c>
      <c r="BC21" s="345">
        <f>Data!CT20/BC$4*100000*BC$3</f>
        <v>3289.7442223867097</v>
      </c>
      <c r="BD21" s="345">
        <f>Data!CU20/BD$4*100000*BD$3</f>
        <v>9907.093478930914</v>
      </c>
    </row>
    <row r="22" spans="1:56" ht="12" customHeight="1">
      <c r="A22" s="64"/>
      <c r="B22" s="144" t="str">
        <f>UPPER(LEFT(TRIM(Data!B21),1)) &amp; MID(TRIM(Data!B21),2,50)</f>
        <v>Odos melanoma</v>
      </c>
      <c r="C22" s="123" t="str">
        <f>UPPER(LEFT(TRIM(Data!C21),1)) &amp; MID(TRIM(Data!C21),2,50)</f>
        <v>C43</v>
      </c>
      <c r="D22" s="124">
        <f>Data!BQ21</f>
        <v>167</v>
      </c>
      <c r="E22" s="125">
        <f t="shared" si="4"/>
        <v>10.4686048421372</v>
      </c>
      <c r="F22" s="126">
        <f t="shared" si="5"/>
        <v>7.385005809682073</v>
      </c>
      <c r="G22" s="126">
        <f t="shared" si="6"/>
        <v>5.444926469694761</v>
      </c>
      <c r="H22" s="69"/>
      <c r="I22" s="69"/>
      <c r="J22" s="69"/>
      <c r="K22" s="69"/>
      <c r="L22" s="69"/>
      <c r="M22" s="69"/>
      <c r="N22" s="69"/>
      <c r="O22" s="69"/>
      <c r="P22" s="259"/>
      <c r="Q22" s="347" t="s">
        <v>352</v>
      </c>
      <c r="R22" s="345">
        <f t="shared" si="2"/>
        <v>738500.58096820733</v>
      </c>
      <c r="S22" s="345">
        <f>Data!CD21/S$4*100000*S$3</f>
        <v>0</v>
      </c>
      <c r="T22" s="345">
        <f>Data!CE21/T$4*100000*T$3</f>
        <v>0</v>
      </c>
      <c r="U22" s="345">
        <f>Data!CF21/U$4*100000*U$3</f>
        <v>0</v>
      </c>
      <c r="V22" s="345">
        <f>Data!CG21/V$4*100000*V$3</f>
        <v>7878.8015217342372</v>
      </c>
      <c r="W22" s="345">
        <f>Data!CH21/W$4*100000*W$3</f>
        <v>6735.561842079941</v>
      </c>
      <c r="X22" s="345">
        <f>Data!CI21/X$4*100000*X$3</f>
        <v>7364.0026510409534</v>
      </c>
      <c r="Y22" s="345">
        <f>Data!CJ21/Y$4*100000*Y$3</f>
        <v>8010.344788126381</v>
      </c>
      <c r="Z22" s="345">
        <f>Data!CK21/Z$4*100000*Z$3</f>
        <v>51397.163715700262</v>
      </c>
      <c r="AA22" s="345">
        <f>Data!CL21/AA$4*100000*AA$3</f>
        <v>71012.247307068028</v>
      </c>
      <c r="AB22" s="345">
        <f>Data!CM21/AB$4*100000*AB$3</f>
        <v>62355.802207395405</v>
      </c>
      <c r="AC22" s="345">
        <f>Data!CN21/AC$4*100000*AC$3</f>
        <v>116562.13078746837</v>
      </c>
      <c r="AD22" s="345">
        <f>Data!CO21/AD$4*100000*AD$3</f>
        <v>88998.488879824232</v>
      </c>
      <c r="AE22" s="345">
        <f>Data!CP21/AE$4*100000*AE$3</f>
        <v>65712.321565772974</v>
      </c>
      <c r="AF22" s="345">
        <f>Data!CQ21/AF$4*100000*AF$3</f>
        <v>86489.603228945183</v>
      </c>
      <c r="AG22" s="345">
        <f>Data!CR21/AG$4*100000*AG$3</f>
        <v>59956.032243021778</v>
      </c>
      <c r="AH22" s="345">
        <f>Data!CS21/AH$4*100000*AH$3</f>
        <v>52177.80207220414</v>
      </c>
      <c r="AI22" s="345">
        <f>Data!CT21/AI$4*100000*AI$3</f>
        <v>23028.209556706966</v>
      </c>
      <c r="AJ22" s="345">
        <f>Data!CU21/AJ$4*100000*AJ$3</f>
        <v>30822.068601118401</v>
      </c>
      <c r="AK22" s="347" t="s">
        <v>352</v>
      </c>
      <c r="AL22" s="345">
        <f t="shared" si="3"/>
        <v>544492.64696947613</v>
      </c>
      <c r="AM22" s="345">
        <f>Data!CD21/AM$4*100000*AM$3</f>
        <v>0</v>
      </c>
      <c r="AN22" s="345">
        <f>Data!CE21/AN$4*100000*AN$3</f>
        <v>0</v>
      </c>
      <c r="AO22" s="345">
        <f>Data!CF21/AO$4*100000*AO$3</f>
        <v>0</v>
      </c>
      <c r="AP22" s="345">
        <f>Data!CG21/AP$4*100000*AP$3</f>
        <v>10129.887670801163</v>
      </c>
      <c r="AQ22" s="345">
        <f>Data!CH21/AQ$4*100000*AQ$3</f>
        <v>7697.7849623770753</v>
      </c>
      <c r="AR22" s="345">
        <f>Data!CI21/AR$4*100000*AR$3</f>
        <v>8416.0030297610901</v>
      </c>
      <c r="AS22" s="345">
        <f>Data!CJ21/AS$4*100000*AS$3</f>
        <v>6866.0098183940408</v>
      </c>
      <c r="AT22" s="345">
        <f>Data!CK21/AT$4*100000*AT$3</f>
        <v>44054.711756314508</v>
      </c>
      <c r="AU22" s="345">
        <f>Data!CL21/AU$4*100000*AU$3</f>
        <v>60867.640548915449</v>
      </c>
      <c r="AV22" s="345">
        <f>Data!CM21/AV$4*100000*AV$3</f>
        <v>53447.830463481776</v>
      </c>
      <c r="AW22" s="345">
        <f>Data!CN21/AW$4*100000*AW$3</f>
        <v>83258.664848191693</v>
      </c>
      <c r="AX22" s="345">
        <f>Data!CO21/AX$4*100000*AX$3</f>
        <v>59332.325919882816</v>
      </c>
      <c r="AY22" s="345">
        <f>Data!CP21/AY$4*100000*AY$3</f>
        <v>52569.857252618385</v>
      </c>
      <c r="AZ22" s="345">
        <f>Data!CQ21/AZ$4*100000*AZ$3</f>
        <v>64867.202421708891</v>
      </c>
      <c r="BA22" s="345">
        <f>Data!CR21/BA$4*100000*BA$3</f>
        <v>39970.688162014521</v>
      </c>
      <c r="BB22" s="345">
        <f>Data!CS21/BB$4*100000*BB$3</f>
        <v>26088.90103610207</v>
      </c>
      <c r="BC22" s="345">
        <f>Data!CT21/BC$4*100000*BC$3</f>
        <v>11514.104778353483</v>
      </c>
      <c r="BD22" s="345">
        <f>Data!CU21/BD$4*100000*BD$3</f>
        <v>15411.0343005592</v>
      </c>
    </row>
    <row r="23" spans="1:56" ht="12" customHeight="1">
      <c r="A23" s="64"/>
      <c r="B23" s="283" t="str">
        <f>UPPER(LEFT(TRIM(Data!B22),1)) &amp; MID(TRIM(Data!B22),2,50)</f>
        <v>Kiti odos piktybiniai navikai</v>
      </c>
      <c r="C23" s="284" t="str">
        <f>UPPER(LEFT(TRIM(Data!C22),1)) &amp; MID(TRIM(Data!C22),2,50)</f>
        <v>C44</v>
      </c>
      <c r="D23" s="285">
        <f>Data!BQ22</f>
        <v>1448</v>
      </c>
      <c r="E23" s="286">
        <f t="shared" si="4"/>
        <v>90.769699469548897</v>
      </c>
      <c r="F23" s="287">
        <f t="shared" si="5"/>
        <v>54.794425500882383</v>
      </c>
      <c r="G23" s="287">
        <f t="shared" si="6"/>
        <v>38.231904226973832</v>
      </c>
      <c r="H23" s="69"/>
      <c r="I23" s="69"/>
      <c r="J23" s="69"/>
      <c r="K23" s="69"/>
      <c r="L23" s="69"/>
      <c r="M23" s="69"/>
      <c r="N23" s="69"/>
      <c r="O23" s="69"/>
      <c r="P23" s="259"/>
      <c r="Q23" s="347" t="s">
        <v>352</v>
      </c>
      <c r="R23" s="345">
        <f t="shared" si="2"/>
        <v>5479442.550088238</v>
      </c>
      <c r="S23" s="345">
        <f>Data!CD22/S$4*100000*S$3</f>
        <v>0</v>
      </c>
      <c r="T23" s="345">
        <f>Data!CE22/T$4*100000*T$3</f>
        <v>10610.240397732439</v>
      </c>
      <c r="U23" s="345">
        <f>Data!CF22/U$4*100000*U$3</f>
        <v>9790.6205854791115</v>
      </c>
      <c r="V23" s="345">
        <f>Data!CG22/V$4*100000*V$3</f>
        <v>0</v>
      </c>
      <c r="W23" s="345">
        <f>Data!CH22/W$4*100000*W$3</f>
        <v>26942.247368319764</v>
      </c>
      <c r="X23" s="345">
        <f>Data!CI22/X$4*100000*X$3</f>
        <v>44184.015906245724</v>
      </c>
      <c r="Y23" s="345">
        <f>Data!CJ22/Y$4*100000*Y$3</f>
        <v>96124.137457516554</v>
      </c>
      <c r="Z23" s="345">
        <f>Data!CK22/Z$4*100000*Z$3</f>
        <v>80766.971553243275</v>
      </c>
      <c r="AA23" s="345">
        <f>Data!CL22/AA$4*100000*AA$3</f>
        <v>206581.08307510699</v>
      </c>
      <c r="AB23" s="345">
        <f>Data!CM22/AB$4*100000*AB$3</f>
        <v>367899.23302363284</v>
      </c>
      <c r="AC23" s="345">
        <f>Data!CN22/AC$4*100000*AC$3</f>
        <v>482900.25611951185</v>
      </c>
      <c r="AD23" s="345">
        <f>Data!CO22/AD$4*100000*AD$3</f>
        <v>572927.77216386842</v>
      </c>
      <c r="AE23" s="345">
        <f>Data!CP22/AE$4*100000*AE$3</f>
        <v>682397.18549071939</v>
      </c>
      <c r="AF23" s="345">
        <f>Data!CQ22/AF$4*100000*AF$3</f>
        <v>855286.07637512474</v>
      </c>
      <c r="AG23" s="345">
        <f>Data!CR22/AG$4*100000*AG$3</f>
        <v>806075.54460062634</v>
      </c>
      <c r="AH23" s="345">
        <f>Data!CS22/AH$4*100000*AH$3</f>
        <v>611225.68141724844</v>
      </c>
      <c r="AI23" s="345">
        <f>Data!CT22/AI$4*100000*AI$3</f>
        <v>304301.34057077067</v>
      </c>
      <c r="AJ23" s="345">
        <f>Data!CU22/AJ$4*100000*AJ$3</f>
        <v>321430.14398309187</v>
      </c>
      <c r="AK23" s="347" t="s">
        <v>352</v>
      </c>
      <c r="AL23" s="345">
        <f t="shared" si="3"/>
        <v>3823190.422697383</v>
      </c>
      <c r="AM23" s="345">
        <f>Data!CD22/AM$4*100000*AM$3</f>
        <v>0</v>
      </c>
      <c r="AN23" s="345">
        <f>Data!CE22/AN$4*100000*AN$3</f>
        <v>15157.486282474914</v>
      </c>
      <c r="AO23" s="345">
        <f>Data!CF22/AO$4*100000*AO$3</f>
        <v>12587.940752758857</v>
      </c>
      <c r="AP23" s="345">
        <f>Data!CG22/AP$4*100000*AP$3</f>
        <v>0</v>
      </c>
      <c r="AQ23" s="345">
        <f>Data!CH22/AQ$4*100000*AQ$3</f>
        <v>30791.139849508301</v>
      </c>
      <c r="AR23" s="345">
        <f>Data!CI22/AR$4*100000*AR$3</f>
        <v>50496.018178566541</v>
      </c>
      <c r="AS23" s="345">
        <f>Data!CJ22/AS$4*100000*AS$3</f>
        <v>82392.117820728483</v>
      </c>
      <c r="AT23" s="345">
        <f>Data!CK22/AT$4*100000*AT$3</f>
        <v>69228.832759922807</v>
      </c>
      <c r="AU23" s="345">
        <f>Data!CL22/AU$4*100000*AU$3</f>
        <v>177069.49977866313</v>
      </c>
      <c r="AV23" s="345">
        <f>Data!CM22/AV$4*100000*AV$3</f>
        <v>315342.19973454246</v>
      </c>
      <c r="AW23" s="345">
        <f>Data!CN22/AW$4*100000*AW$3</f>
        <v>344928.75437107991</v>
      </c>
      <c r="AX23" s="345">
        <f>Data!CO22/AX$4*100000*AX$3</f>
        <v>381951.84810924565</v>
      </c>
      <c r="AY23" s="345">
        <f>Data!CP22/AY$4*100000*AY$3</f>
        <v>545917.74839257554</v>
      </c>
      <c r="AZ23" s="345">
        <f>Data!CQ22/AZ$4*100000*AZ$3</f>
        <v>641464.5572813435</v>
      </c>
      <c r="BA23" s="345">
        <f>Data!CR22/BA$4*100000*BA$3</f>
        <v>537383.69640041748</v>
      </c>
      <c r="BB23" s="345">
        <f>Data!CS22/BB$4*100000*BB$3</f>
        <v>305612.84070862422</v>
      </c>
      <c r="BC23" s="345">
        <f>Data!CT22/BC$4*100000*BC$3</f>
        <v>152150.67028538533</v>
      </c>
      <c r="BD23" s="345">
        <f>Data!CU22/BD$4*100000*BD$3</f>
        <v>160715.07199154593</v>
      </c>
    </row>
    <row r="24" spans="1:56" ht="12" customHeight="1">
      <c r="A24" s="64"/>
      <c r="B24" s="144" t="str">
        <f>UPPER(LEFT(TRIM(Data!B23),1)) &amp; MID(TRIM(Data!B23),2,50)</f>
        <v>Krūties</v>
      </c>
      <c r="C24" s="123" t="str">
        <f>UPPER(LEFT(TRIM(Data!C23),1)) &amp; MID(TRIM(Data!C23),2,50)</f>
        <v>C50</v>
      </c>
      <c r="D24" s="124">
        <f>Data!BQ23</f>
        <v>1534</v>
      </c>
      <c r="E24" s="125">
        <f t="shared" si="4"/>
        <v>96.160717531966853</v>
      </c>
      <c r="F24" s="126">
        <f t="shared" si="5"/>
        <v>72.587291082673815</v>
      </c>
      <c r="G24" s="126">
        <f t="shared" si="6"/>
        <v>54.097131937833133</v>
      </c>
      <c r="H24" s="69"/>
      <c r="I24" s="69"/>
      <c r="J24" s="69"/>
      <c r="K24" s="69"/>
      <c r="L24" s="69"/>
      <c r="M24" s="69"/>
      <c r="N24" s="69"/>
      <c r="O24" s="69"/>
      <c r="P24" s="259"/>
      <c r="Q24" s="347" t="s">
        <v>352</v>
      </c>
      <c r="R24" s="345">
        <f t="shared" si="2"/>
        <v>7258729.1082673809</v>
      </c>
      <c r="S24" s="345">
        <f>Data!CD23/S$4*100000*S$3</f>
        <v>0</v>
      </c>
      <c r="T24" s="345">
        <f>Data!CE23/T$4*100000*T$3</f>
        <v>0</v>
      </c>
      <c r="U24" s="345">
        <f>Data!CF23/U$4*100000*U$3</f>
        <v>0</v>
      </c>
      <c r="V24" s="345">
        <f>Data!CG23/V$4*100000*V$3</f>
        <v>0</v>
      </c>
      <c r="W24" s="345">
        <f>Data!CH23/W$4*100000*W$3</f>
        <v>6735.561842079941</v>
      </c>
      <c r="X24" s="345">
        <f>Data!CI23/X$4*100000*X$3</f>
        <v>88368.031812491448</v>
      </c>
      <c r="Y24" s="345">
        <f>Data!CJ23/Y$4*100000*Y$3</f>
        <v>160206.89576252759</v>
      </c>
      <c r="Z24" s="345">
        <f>Data!CK23/Z$4*100000*Z$3</f>
        <v>352437.69405051606</v>
      </c>
      <c r="AA24" s="345">
        <f>Data!CL23/AA$4*100000*AA$3</f>
        <v>664932.86114800058</v>
      </c>
      <c r="AB24" s="345">
        <f>Data!CM23/AB$4*100000*AB$3</f>
        <v>785683.10781318194</v>
      </c>
      <c r="AC24" s="345">
        <f>Data!CN23/AC$4*100000*AC$3</f>
        <v>1015755.7111479386</v>
      </c>
      <c r="AD24" s="345">
        <f>Data!CO23/AD$4*100000*AD$3</f>
        <v>1118043.5165527919</v>
      </c>
      <c r="AE24" s="345">
        <f>Data!CP23/AE$4*100000*AE$3</f>
        <v>1021068.3812527802</v>
      </c>
      <c r="AF24" s="345">
        <f>Data!CQ23/AF$4*100000*AF$3</f>
        <v>888920.92207526986</v>
      </c>
      <c r="AG24" s="345">
        <f>Data!CR23/AG$4*100000*AG$3</f>
        <v>512957.16474585305</v>
      </c>
      <c r="AH24" s="345">
        <f>Data!CS23/AH$4*100000*AH$3</f>
        <v>345367.35657316074</v>
      </c>
      <c r="AI24" s="345">
        <f>Data!CT23/AI$4*100000*AI$3</f>
        <v>159552.59478575541</v>
      </c>
      <c r="AJ24" s="345">
        <f>Data!CU23/AJ$4*100000*AJ$3</f>
        <v>138699.30870503283</v>
      </c>
      <c r="AK24" s="347" t="s">
        <v>352</v>
      </c>
      <c r="AL24" s="345">
        <f t="shared" si="3"/>
        <v>5409713.193783313</v>
      </c>
      <c r="AM24" s="345">
        <f>Data!CD23/AM$4*100000*AM$3</f>
        <v>0</v>
      </c>
      <c r="AN24" s="345">
        <f>Data!CE23/AN$4*100000*AN$3</f>
        <v>0</v>
      </c>
      <c r="AO24" s="345">
        <f>Data!CF23/AO$4*100000*AO$3</f>
        <v>0</v>
      </c>
      <c r="AP24" s="345">
        <f>Data!CG23/AP$4*100000*AP$3</f>
        <v>0</v>
      </c>
      <c r="AQ24" s="345">
        <f>Data!CH23/AQ$4*100000*AQ$3</f>
        <v>7697.7849623770753</v>
      </c>
      <c r="AR24" s="345">
        <f>Data!CI23/AR$4*100000*AR$3</f>
        <v>100992.03635713308</v>
      </c>
      <c r="AS24" s="345">
        <f>Data!CJ23/AS$4*100000*AS$3</f>
        <v>137320.1963678808</v>
      </c>
      <c r="AT24" s="345">
        <f>Data!CK23/AT$4*100000*AT$3</f>
        <v>302089.45204329951</v>
      </c>
      <c r="AU24" s="345">
        <f>Data!CL23/AU$4*100000*AU$3</f>
        <v>569942.45241257199</v>
      </c>
      <c r="AV24" s="345">
        <f>Data!CM23/AV$4*100000*AV$3</f>
        <v>673442.66383987025</v>
      </c>
      <c r="AW24" s="345">
        <f>Data!CN23/AW$4*100000*AW$3</f>
        <v>725539.79367709905</v>
      </c>
      <c r="AX24" s="345">
        <f>Data!CO23/AX$4*100000*AX$3</f>
        <v>745362.34436852799</v>
      </c>
      <c r="AY24" s="345">
        <f>Data!CP23/AY$4*100000*AY$3</f>
        <v>816854.70500222419</v>
      </c>
      <c r="AZ24" s="345">
        <f>Data!CQ23/AZ$4*100000*AZ$3</f>
        <v>666690.69155645242</v>
      </c>
      <c r="BA24" s="345">
        <f>Data!CR23/BA$4*100000*BA$3</f>
        <v>341971.44316390203</v>
      </c>
      <c r="BB24" s="345">
        <f>Data!CS23/BB$4*100000*BB$3</f>
        <v>172683.67828658037</v>
      </c>
      <c r="BC24" s="345">
        <f>Data!CT23/BC$4*100000*BC$3</f>
        <v>79776.297392877706</v>
      </c>
      <c r="BD24" s="345">
        <f>Data!CU23/BD$4*100000*BD$3</f>
        <v>69349.654352516416</v>
      </c>
    </row>
    <row r="25" spans="1:56" ht="12" customHeight="1">
      <c r="A25" s="64"/>
      <c r="B25" s="283" t="str">
        <f>UPPER(LEFT(TRIM(Data!B24),1)) &amp; MID(TRIM(Data!B24),2,50)</f>
        <v>Vulvos</v>
      </c>
      <c r="C25" s="284" t="str">
        <f>UPPER(LEFT(TRIM(Data!C24),1)) &amp; MID(TRIM(Data!C24),2,50)</f>
        <v>C51</v>
      </c>
      <c r="D25" s="285">
        <f>Data!BQ24</f>
        <v>55</v>
      </c>
      <c r="E25" s="286">
        <f t="shared" si="4"/>
        <v>3.4477441096859041</v>
      </c>
      <c r="F25" s="287">
        <f t="shared" si="5"/>
        <v>1.9045939927502165</v>
      </c>
      <c r="G25" s="287">
        <f t="shared" si="6"/>
        <v>1.2717709912512369</v>
      </c>
      <c r="H25" s="69"/>
      <c r="I25" s="69"/>
      <c r="J25" s="69"/>
      <c r="K25" s="69"/>
      <c r="L25" s="69"/>
      <c r="M25" s="69"/>
      <c r="N25" s="69"/>
      <c r="O25" s="69"/>
      <c r="P25" s="259"/>
      <c r="Q25" s="347" t="s">
        <v>352</v>
      </c>
      <c r="R25" s="345">
        <f t="shared" si="2"/>
        <v>190459.39927502166</v>
      </c>
      <c r="S25" s="345">
        <f>Data!CD24/S$4*100000*S$3</f>
        <v>0</v>
      </c>
      <c r="T25" s="345">
        <f>Data!CE24/T$4*100000*T$3</f>
        <v>0</v>
      </c>
      <c r="U25" s="345">
        <f>Data!CF24/U$4*100000*U$3</f>
        <v>0</v>
      </c>
      <c r="V25" s="345">
        <f>Data!CG24/V$4*100000*V$3</f>
        <v>0</v>
      </c>
      <c r="W25" s="345">
        <f>Data!CH24/W$4*100000*W$3</f>
        <v>0</v>
      </c>
      <c r="X25" s="345">
        <f>Data!CI24/X$4*100000*X$3</f>
        <v>0</v>
      </c>
      <c r="Y25" s="345">
        <f>Data!CJ24/Y$4*100000*Y$3</f>
        <v>0</v>
      </c>
      <c r="Z25" s="345">
        <f>Data!CK24/Z$4*100000*Z$3</f>
        <v>7342.4519593857522</v>
      </c>
      <c r="AA25" s="345">
        <f>Data!CL24/AA$4*100000*AA$3</f>
        <v>12911.317692194187</v>
      </c>
      <c r="AB25" s="345">
        <f>Data!CM24/AB$4*100000*AB$3</f>
        <v>6235.58022073954</v>
      </c>
      <c r="AC25" s="345">
        <f>Data!CN24/AC$4*100000*AC$3</f>
        <v>5550.5776565461138</v>
      </c>
      <c r="AD25" s="345">
        <f>Data!CO24/AD$4*100000*AD$3</f>
        <v>27812.027774945076</v>
      </c>
      <c r="AE25" s="345">
        <f>Data!CP24/AE$4*100000*AE$3</f>
        <v>15164.381899793763</v>
      </c>
      <c r="AF25" s="345">
        <f>Data!CQ24/AF$4*100000*AF$3</f>
        <v>24024.889785818108</v>
      </c>
      <c r="AG25" s="345">
        <f>Data!CR24/AG$4*100000*AG$3</f>
        <v>36639.797481846646</v>
      </c>
      <c r="AH25" s="345">
        <f>Data!CS24/AH$4*100000*AH$3</f>
        <v>22361.915173801772</v>
      </c>
      <c r="AI25" s="345">
        <f>Data!CT24/AI$4*100000*AI$3</f>
        <v>14803.849000740191</v>
      </c>
      <c r="AJ25" s="345">
        <f>Data!CU24/AJ$4*100000*AJ$3</f>
        <v>17612.610629210514</v>
      </c>
      <c r="AK25" s="347" t="s">
        <v>352</v>
      </c>
      <c r="AL25" s="345">
        <f t="shared" si="3"/>
        <v>127177.0991251237</v>
      </c>
      <c r="AM25" s="345">
        <f>Data!CD24/AM$4*100000*AM$3</f>
        <v>0</v>
      </c>
      <c r="AN25" s="345">
        <f>Data!CE24/AN$4*100000*AN$3</f>
        <v>0</v>
      </c>
      <c r="AO25" s="345">
        <f>Data!CF24/AO$4*100000*AO$3</f>
        <v>0</v>
      </c>
      <c r="AP25" s="345">
        <f>Data!CG24/AP$4*100000*AP$3</f>
        <v>0</v>
      </c>
      <c r="AQ25" s="345">
        <f>Data!CH24/AQ$4*100000*AQ$3</f>
        <v>0</v>
      </c>
      <c r="AR25" s="345">
        <f>Data!CI24/AR$4*100000*AR$3</f>
        <v>0</v>
      </c>
      <c r="AS25" s="345">
        <f>Data!CJ24/AS$4*100000*AS$3</f>
        <v>0</v>
      </c>
      <c r="AT25" s="345">
        <f>Data!CK24/AT$4*100000*AT$3</f>
        <v>6293.530250902073</v>
      </c>
      <c r="AU25" s="345">
        <f>Data!CL24/AU$4*100000*AU$3</f>
        <v>11066.843736166446</v>
      </c>
      <c r="AV25" s="345">
        <f>Data!CM24/AV$4*100000*AV$3</f>
        <v>5344.7830463481769</v>
      </c>
      <c r="AW25" s="345">
        <f>Data!CN24/AW$4*100000*AW$3</f>
        <v>3964.6983261043665</v>
      </c>
      <c r="AX25" s="345">
        <f>Data!CO24/AX$4*100000*AX$3</f>
        <v>18541.351849963383</v>
      </c>
      <c r="AY25" s="345">
        <f>Data!CP24/AY$4*100000*AY$3</f>
        <v>12131.505519835011</v>
      </c>
      <c r="AZ25" s="345">
        <f>Data!CQ24/AZ$4*100000*AZ$3</f>
        <v>18018.667339363579</v>
      </c>
      <c r="BA25" s="345">
        <f>Data!CR24/BA$4*100000*BA$3</f>
        <v>24426.531654564431</v>
      </c>
      <c r="BB25" s="345">
        <f>Data!CS24/BB$4*100000*BB$3</f>
        <v>11180.957586900886</v>
      </c>
      <c r="BC25" s="345">
        <f>Data!CT24/BC$4*100000*BC$3</f>
        <v>7401.9245003700953</v>
      </c>
      <c r="BD25" s="345">
        <f>Data!CU24/BD$4*100000*BD$3</f>
        <v>8806.3053146052571</v>
      </c>
    </row>
    <row r="26" spans="1:56" ht="12" customHeight="1">
      <c r="A26" s="64"/>
      <c r="B26" s="144" t="str">
        <f>UPPER(LEFT(TRIM(Data!B25),1)) &amp; MID(TRIM(Data!B25),2,50)</f>
        <v>Gimdos kaklelio</v>
      </c>
      <c r="C26" s="123" t="str">
        <f>UPPER(LEFT(TRIM(Data!C25),1)) &amp; MID(TRIM(Data!C25),2,50)</f>
        <v>C53</v>
      </c>
      <c r="D26" s="124">
        <f>Data!BQ25</f>
        <v>397</v>
      </c>
      <c r="E26" s="125">
        <f t="shared" si="4"/>
        <v>24.886443846278254</v>
      </c>
      <c r="F26" s="126">
        <f t="shared" si="5"/>
        <v>21.465052629022129</v>
      </c>
      <c r="G26" s="126">
        <f t="shared" si="6"/>
        <v>16.976094084541732</v>
      </c>
      <c r="H26" s="68"/>
      <c r="I26" s="68"/>
      <c r="J26" s="68"/>
      <c r="K26" s="68"/>
      <c r="L26" s="68"/>
      <c r="M26" s="68"/>
      <c r="N26" s="68"/>
      <c r="O26" s="68"/>
      <c r="P26" s="259"/>
      <c r="Q26" s="347" t="s">
        <v>352</v>
      </c>
      <c r="R26" s="345">
        <f t="shared" si="2"/>
        <v>2146505.2629022128</v>
      </c>
      <c r="S26" s="345">
        <f>Data!CD25/S$4*100000*S$3</f>
        <v>0</v>
      </c>
      <c r="T26" s="345">
        <f>Data!CE25/T$4*100000*T$3</f>
        <v>0</v>
      </c>
      <c r="U26" s="345">
        <f>Data!CF25/U$4*100000*U$3</f>
        <v>0</v>
      </c>
      <c r="V26" s="345">
        <f>Data!CG25/V$4*100000*V$3</f>
        <v>0</v>
      </c>
      <c r="W26" s="345">
        <f>Data!CH25/W$4*100000*W$3</f>
        <v>0</v>
      </c>
      <c r="X26" s="345">
        <f>Data!CI25/X$4*100000*X$3</f>
        <v>73640.026510409545</v>
      </c>
      <c r="Y26" s="345">
        <f>Data!CJ25/Y$4*100000*Y$3</f>
        <v>216279.30927941226</v>
      </c>
      <c r="Z26" s="345">
        <f>Data!CK25/Z$4*100000*Z$3</f>
        <v>198246.20290341531</v>
      </c>
      <c r="AA26" s="345">
        <f>Data!CL25/AA$4*100000*AA$3</f>
        <v>290504.64807436918</v>
      </c>
      <c r="AB26" s="345">
        <f>Data!CM25/AB$4*100000*AB$3</f>
        <v>342956.91214067471</v>
      </c>
      <c r="AC26" s="345">
        <f>Data!CN25/AC$4*100000*AC$3</f>
        <v>288630.03814039793</v>
      </c>
      <c r="AD26" s="345">
        <f>Data!CO25/AD$4*100000*AD$3</f>
        <v>222496.22219956061</v>
      </c>
      <c r="AE26" s="345">
        <f>Data!CP25/AE$4*100000*AE$3</f>
        <v>187027.3767641231</v>
      </c>
      <c r="AF26" s="345">
        <f>Data!CQ25/AF$4*100000*AF$3</f>
        <v>144149.33871490866</v>
      </c>
      <c r="AG26" s="345">
        <f>Data!CR25/AG$4*100000*AG$3</f>
        <v>69948.704283525411</v>
      </c>
      <c r="AH26" s="345">
        <f>Data!CS25/AH$4*100000*AH$3</f>
        <v>62116.431038338262</v>
      </c>
      <c r="AI26" s="345">
        <f>Data!CT25/AI$4*100000*AI$3</f>
        <v>32897.442223867096</v>
      </c>
      <c r="AJ26" s="345">
        <f>Data!CU25/AJ$4*100000*AJ$3</f>
        <v>17612.610629210514</v>
      </c>
      <c r="AK26" s="347" t="s">
        <v>352</v>
      </c>
      <c r="AL26" s="345">
        <f t="shared" si="3"/>
        <v>1697609.4084541732</v>
      </c>
      <c r="AM26" s="345">
        <f>Data!CD25/AM$4*100000*AM$3</f>
        <v>0</v>
      </c>
      <c r="AN26" s="345">
        <f>Data!CE25/AN$4*100000*AN$3</f>
        <v>0</v>
      </c>
      <c r="AO26" s="345">
        <f>Data!CF25/AO$4*100000*AO$3</f>
        <v>0</v>
      </c>
      <c r="AP26" s="345">
        <f>Data!CG25/AP$4*100000*AP$3</f>
        <v>0</v>
      </c>
      <c r="AQ26" s="345">
        <f>Data!CH25/AQ$4*100000*AQ$3</f>
        <v>0</v>
      </c>
      <c r="AR26" s="345">
        <f>Data!CI25/AR$4*100000*AR$3</f>
        <v>84160.030297610923</v>
      </c>
      <c r="AS26" s="345">
        <f>Data!CJ25/AS$4*100000*AS$3</f>
        <v>185382.26509663911</v>
      </c>
      <c r="AT26" s="345">
        <f>Data!CK25/AT$4*100000*AT$3</f>
        <v>169925.31677435598</v>
      </c>
      <c r="AU26" s="345">
        <f>Data!CL25/AU$4*100000*AU$3</f>
        <v>249003.98406374501</v>
      </c>
      <c r="AV26" s="345">
        <f>Data!CM25/AV$4*100000*AV$3</f>
        <v>293963.0675491498</v>
      </c>
      <c r="AW26" s="345">
        <f>Data!CN25/AW$4*100000*AW$3</f>
        <v>206164.31295742709</v>
      </c>
      <c r="AX26" s="345">
        <f>Data!CO25/AX$4*100000*AX$3</f>
        <v>148330.81479970706</v>
      </c>
      <c r="AY26" s="345">
        <f>Data!CP25/AY$4*100000*AY$3</f>
        <v>149621.90141129846</v>
      </c>
      <c r="AZ26" s="345">
        <f>Data!CQ25/AZ$4*100000*AZ$3</f>
        <v>108112.00403618149</v>
      </c>
      <c r="BA26" s="345">
        <f>Data!CR25/BA$4*100000*BA$3</f>
        <v>46632.469522350279</v>
      </c>
      <c r="BB26" s="345">
        <f>Data!CS25/BB$4*100000*BB$3</f>
        <v>31058.215519169131</v>
      </c>
      <c r="BC26" s="345">
        <f>Data!CT25/BC$4*100000*BC$3</f>
        <v>16448.721111933548</v>
      </c>
      <c r="BD26" s="345">
        <f>Data!CU25/BD$4*100000*BD$3</f>
        <v>8806.3053146052571</v>
      </c>
    </row>
    <row r="27" spans="1:56" ht="12" customHeight="1">
      <c r="A27" s="64"/>
      <c r="B27" s="283" t="str">
        <f>UPPER(LEFT(TRIM(Data!B26),1)) &amp; MID(TRIM(Data!B26),2,50)</f>
        <v>Gimdos kūno</v>
      </c>
      <c r="C27" s="284" t="str">
        <f>UPPER(LEFT(TRIM(Data!C26),1)) &amp; MID(TRIM(Data!C26),2,50)</f>
        <v>C54, C55</v>
      </c>
      <c r="D27" s="285">
        <f>Data!BQ26</f>
        <v>641</v>
      </c>
      <c r="E27" s="286">
        <f t="shared" si="4"/>
        <v>40.181890441975717</v>
      </c>
      <c r="F27" s="287">
        <f t="shared" si="5"/>
        <v>28.323316877413717</v>
      </c>
      <c r="G27" s="287">
        <f t="shared" si="6"/>
        <v>20.379991133276722</v>
      </c>
      <c r="H27" s="68"/>
      <c r="I27" s="68"/>
      <c r="J27" s="68"/>
      <c r="K27" s="68"/>
      <c r="L27" s="68"/>
      <c r="M27" s="68"/>
      <c r="N27" s="68"/>
      <c r="O27" s="68"/>
      <c r="P27" s="259"/>
      <c r="Q27" s="347" t="s">
        <v>352</v>
      </c>
      <c r="R27" s="345">
        <f t="shared" si="2"/>
        <v>2832331.6877413718</v>
      </c>
      <c r="S27" s="345">
        <f>Data!CD26/S$4*100000*S$3</f>
        <v>0</v>
      </c>
      <c r="T27" s="345">
        <f>Data!CE26/T$4*100000*T$3</f>
        <v>0</v>
      </c>
      <c r="U27" s="345">
        <f>Data!CF26/U$4*100000*U$3</f>
        <v>0</v>
      </c>
      <c r="V27" s="345">
        <f>Data!CG26/V$4*100000*V$3</f>
        <v>0</v>
      </c>
      <c r="W27" s="345">
        <f>Data!CH26/W$4*100000*W$3</f>
        <v>0</v>
      </c>
      <c r="X27" s="345">
        <f>Data!CI26/X$4*100000*X$3</f>
        <v>0</v>
      </c>
      <c r="Y27" s="345">
        <f>Data!CJ26/Y$4*100000*Y$3</f>
        <v>16020.689576252762</v>
      </c>
      <c r="Z27" s="345">
        <f>Data!CK26/Z$4*100000*Z$3</f>
        <v>51397.163715700262</v>
      </c>
      <c r="AA27" s="345">
        <f>Data!CL26/AA$4*100000*AA$3</f>
        <v>83923.56499926222</v>
      </c>
      <c r="AB27" s="345">
        <f>Data!CM26/AB$4*100000*AB$3</f>
        <v>255658.78905032112</v>
      </c>
      <c r="AC27" s="345">
        <f>Data!CN26/AC$4*100000*AC$3</f>
        <v>410742.74658441235</v>
      </c>
      <c r="AD27" s="345">
        <f>Data!CO26/AD$4*100000*AD$3</f>
        <v>495054.09439402231</v>
      </c>
      <c r="AE27" s="345">
        <f>Data!CP26/AE$4*100000*AE$3</f>
        <v>520643.77855958598</v>
      </c>
      <c r="AF27" s="345">
        <f>Data!CQ26/AF$4*100000*AF$3</f>
        <v>403618.14840174426</v>
      </c>
      <c r="AG27" s="345">
        <f>Data!CR26/AG$4*100000*AG$3</f>
        <v>293118.37985477317</v>
      </c>
      <c r="AH27" s="345">
        <f>Data!CS26/AH$4*100000*AH$3</f>
        <v>176410.66414888066</v>
      </c>
      <c r="AI27" s="345">
        <f>Data!CT26/AI$4*100000*AI$3</f>
        <v>77308.98922608768</v>
      </c>
      <c r="AJ27" s="345">
        <f>Data!CU26/AJ$4*100000*AJ$3</f>
        <v>48434.679230328911</v>
      </c>
      <c r="AK27" s="347" t="s">
        <v>352</v>
      </c>
      <c r="AL27" s="345">
        <f t="shared" si="3"/>
        <v>2037999.113327672</v>
      </c>
      <c r="AM27" s="345">
        <f>Data!CD26/AM$4*100000*AM$3</f>
        <v>0</v>
      </c>
      <c r="AN27" s="345">
        <f>Data!CE26/AN$4*100000*AN$3</f>
        <v>0</v>
      </c>
      <c r="AO27" s="345">
        <f>Data!CF26/AO$4*100000*AO$3</f>
        <v>0</v>
      </c>
      <c r="AP27" s="345">
        <f>Data!CG26/AP$4*100000*AP$3</f>
        <v>0</v>
      </c>
      <c r="AQ27" s="345">
        <f>Data!CH26/AQ$4*100000*AQ$3</f>
        <v>0</v>
      </c>
      <c r="AR27" s="345">
        <f>Data!CI26/AR$4*100000*AR$3</f>
        <v>0</v>
      </c>
      <c r="AS27" s="345">
        <f>Data!CJ26/AS$4*100000*AS$3</f>
        <v>13732.019636788082</v>
      </c>
      <c r="AT27" s="345">
        <f>Data!CK26/AT$4*100000*AT$3</f>
        <v>44054.711756314508</v>
      </c>
      <c r="AU27" s="345">
        <f>Data!CL26/AU$4*100000*AU$3</f>
        <v>71934.484285081897</v>
      </c>
      <c r="AV27" s="345">
        <f>Data!CM26/AV$4*100000*AV$3</f>
        <v>219136.10490027527</v>
      </c>
      <c r="AW27" s="345">
        <f>Data!CN26/AW$4*100000*AW$3</f>
        <v>293387.6761317231</v>
      </c>
      <c r="AX27" s="345">
        <f>Data!CO26/AX$4*100000*AX$3</f>
        <v>330036.06292934821</v>
      </c>
      <c r="AY27" s="345">
        <f>Data!CP26/AY$4*100000*AY$3</f>
        <v>416515.02284766879</v>
      </c>
      <c r="AZ27" s="345">
        <f>Data!CQ26/AZ$4*100000*AZ$3</f>
        <v>302713.61130130815</v>
      </c>
      <c r="BA27" s="345">
        <f>Data!CR26/BA$4*100000*BA$3</f>
        <v>195412.25323651545</v>
      </c>
      <c r="BB27" s="345">
        <f>Data!CS26/BB$4*100000*BB$3</f>
        <v>88205.332074440332</v>
      </c>
      <c r="BC27" s="345">
        <f>Data!CT26/BC$4*100000*BC$3</f>
        <v>38654.49461304384</v>
      </c>
      <c r="BD27" s="345">
        <f>Data!CU26/BD$4*100000*BD$3</f>
        <v>24217.339615164456</v>
      </c>
    </row>
    <row r="28" spans="1:56" ht="12" customHeight="1">
      <c r="A28" s="64"/>
      <c r="B28" s="144" t="str">
        <f>UPPER(LEFT(TRIM(Data!B27),1)) &amp; MID(TRIM(Data!B27),2,50)</f>
        <v>Kiaušidžių</v>
      </c>
      <c r="C28" s="123" t="str">
        <f>UPPER(LEFT(TRIM(Data!C27),1)) &amp; MID(TRIM(Data!C27),2,50)</f>
        <v>C56</v>
      </c>
      <c r="D28" s="124">
        <f>Data!BQ27</f>
        <v>363</v>
      </c>
      <c r="E28" s="125">
        <f t="shared" si="4"/>
        <v>22.755111123926969</v>
      </c>
      <c r="F28" s="126">
        <f t="shared" si="5"/>
        <v>15.96334986343126</v>
      </c>
      <c r="G28" s="126">
        <f t="shared" si="6"/>
        <v>11.647824946761697</v>
      </c>
      <c r="H28" s="68"/>
      <c r="I28" s="68"/>
      <c r="J28" s="68"/>
      <c r="K28" s="68"/>
      <c r="L28" s="68"/>
      <c r="M28" s="68"/>
      <c r="N28" s="68"/>
      <c r="O28" s="68"/>
      <c r="P28" s="259"/>
      <c r="Q28" s="347" t="s">
        <v>352</v>
      </c>
      <c r="R28" s="345">
        <f t="shared" si="2"/>
        <v>1596334.986343126</v>
      </c>
      <c r="S28" s="345">
        <f>Data!CD27/S$4*100000*S$3</f>
        <v>0</v>
      </c>
      <c r="T28" s="345">
        <f>Data!CE27/T$4*100000*T$3</f>
        <v>0</v>
      </c>
      <c r="U28" s="345">
        <f>Data!CF27/U$4*100000*U$3</f>
        <v>0</v>
      </c>
      <c r="V28" s="345">
        <f>Data!CG27/V$4*100000*V$3</f>
        <v>0</v>
      </c>
      <c r="W28" s="345">
        <f>Data!CH27/W$4*100000*W$3</f>
        <v>13471.123684159882</v>
      </c>
      <c r="X28" s="345">
        <f>Data!CI27/X$4*100000*X$3</f>
        <v>29456.010604163814</v>
      </c>
      <c r="Y28" s="345">
        <f>Data!CJ27/Y$4*100000*Y$3</f>
        <v>32041.379152505524</v>
      </c>
      <c r="Z28" s="345">
        <f>Data!CK27/Z$4*100000*Z$3</f>
        <v>22027.355878157254</v>
      </c>
      <c r="AA28" s="345">
        <f>Data!CL27/AA$4*100000*AA$3</f>
        <v>90379.223845359302</v>
      </c>
      <c r="AB28" s="345">
        <f>Data!CM27/AB$4*100000*AB$3</f>
        <v>180831.82640144665</v>
      </c>
      <c r="AC28" s="345">
        <f>Data!CN27/AC$4*100000*AC$3</f>
        <v>288630.03814039793</v>
      </c>
      <c r="AD28" s="345">
        <f>Data!CO27/AD$4*100000*AD$3</f>
        <v>250308.24997450568</v>
      </c>
      <c r="AE28" s="345">
        <f>Data!CP27/AE$4*100000*AE$3</f>
        <v>192082.170730721</v>
      </c>
      <c r="AF28" s="345">
        <f>Data!CQ27/AF$4*100000*AF$3</f>
        <v>177784.18441505401</v>
      </c>
      <c r="AG28" s="345">
        <f>Data!CR27/AG$4*100000*AG$3</f>
        <v>103257.61108520419</v>
      </c>
      <c r="AH28" s="345">
        <f>Data!CS27/AH$4*100000*AH$3</f>
        <v>96901.632419807676</v>
      </c>
      <c r="AI28" s="345">
        <f>Data!CT27/AI$4*100000*AI$3</f>
        <v>70729.500781314258</v>
      </c>
      <c r="AJ28" s="345">
        <f>Data!CU27/AJ$4*100000*AJ$3</f>
        <v>48434.679230328911</v>
      </c>
      <c r="AK28" s="347" t="s">
        <v>352</v>
      </c>
      <c r="AL28" s="345">
        <f t="shared" si="3"/>
        <v>1164782.4946761697</v>
      </c>
      <c r="AM28" s="345">
        <f>Data!CD27/AM$4*100000*AM$3</f>
        <v>0</v>
      </c>
      <c r="AN28" s="345">
        <f>Data!CE27/AN$4*100000*AN$3</f>
        <v>0</v>
      </c>
      <c r="AO28" s="345">
        <f>Data!CF27/AO$4*100000*AO$3</f>
        <v>0</v>
      </c>
      <c r="AP28" s="345">
        <f>Data!CG27/AP$4*100000*AP$3</f>
        <v>0</v>
      </c>
      <c r="AQ28" s="345">
        <f>Data!CH27/AQ$4*100000*AQ$3</f>
        <v>15395.569924754151</v>
      </c>
      <c r="AR28" s="345">
        <f>Data!CI27/AR$4*100000*AR$3</f>
        <v>33664.012119044361</v>
      </c>
      <c r="AS28" s="345">
        <f>Data!CJ27/AS$4*100000*AS$3</f>
        <v>27464.039273576163</v>
      </c>
      <c r="AT28" s="345">
        <f>Data!CK27/AT$4*100000*AT$3</f>
        <v>18880.590752706219</v>
      </c>
      <c r="AU28" s="345">
        <f>Data!CL27/AU$4*100000*AU$3</f>
        <v>77467.906153165124</v>
      </c>
      <c r="AV28" s="345">
        <f>Data!CM27/AV$4*100000*AV$3</f>
        <v>154998.70834409713</v>
      </c>
      <c r="AW28" s="345">
        <f>Data!CN27/AW$4*100000*AW$3</f>
        <v>206164.31295742709</v>
      </c>
      <c r="AX28" s="345">
        <f>Data!CO27/AX$4*100000*AX$3</f>
        <v>166872.16664967046</v>
      </c>
      <c r="AY28" s="345">
        <f>Data!CP27/AY$4*100000*AY$3</f>
        <v>153665.73658457678</v>
      </c>
      <c r="AZ28" s="345">
        <f>Data!CQ27/AZ$4*100000*AZ$3</f>
        <v>133338.1383112905</v>
      </c>
      <c r="BA28" s="345">
        <f>Data!CR27/BA$4*100000*BA$3</f>
        <v>68838.407390136126</v>
      </c>
      <c r="BB28" s="345">
        <f>Data!CS27/BB$4*100000*BB$3</f>
        <v>48450.816209903838</v>
      </c>
      <c r="BC28" s="345">
        <f>Data!CT27/BC$4*100000*BC$3</f>
        <v>35364.750390657129</v>
      </c>
      <c r="BD28" s="345">
        <f>Data!CU27/BD$4*100000*BD$3</f>
        <v>24217.339615164456</v>
      </c>
    </row>
    <row r="29" spans="1:56" ht="12" customHeight="1">
      <c r="A29" s="64"/>
      <c r="B29" s="283" t="str">
        <f>UPPER(LEFT(TRIM(Data!B30),1)) &amp; MID(TRIM(Data!B30),2,50)</f>
        <v>Kitų lyties organų</v>
      </c>
      <c r="C29" s="284" t="s">
        <v>417</v>
      </c>
      <c r="D29" s="285">
        <f>Data!BQ30</f>
        <v>31</v>
      </c>
      <c r="E29" s="286">
        <f t="shared" si="4"/>
        <v>1.9432739527320553</v>
      </c>
      <c r="F29" s="287">
        <f t="shared" si="5"/>
        <v>1.3648429137646774</v>
      </c>
      <c r="G29" s="287">
        <f t="shared" si="6"/>
        <v>0.98611181000386383</v>
      </c>
      <c r="H29" s="68"/>
      <c r="I29" s="68"/>
      <c r="J29" s="68"/>
      <c r="K29" s="68"/>
      <c r="L29" s="68"/>
      <c r="M29" s="68"/>
      <c r="N29" s="68"/>
      <c r="O29" s="68"/>
      <c r="P29" s="259"/>
      <c r="Q29" s="347" t="s">
        <v>352</v>
      </c>
      <c r="R29" s="345">
        <f t="shared" si="2"/>
        <v>136484.29137646774</v>
      </c>
      <c r="S29" s="345">
        <f>Data!CD30/S$4*100000*S$3</f>
        <v>0</v>
      </c>
      <c r="T29" s="345">
        <f>Data!CE30/T$4*100000*T$3</f>
        <v>0</v>
      </c>
      <c r="U29" s="345">
        <f>Data!CF30/U$4*100000*U$3</f>
        <v>0</v>
      </c>
      <c r="V29" s="345">
        <f>Data!CG30/V$4*100000*V$3</f>
        <v>0</v>
      </c>
      <c r="W29" s="345">
        <f>Data!CH30/W$4*100000*W$3</f>
        <v>0</v>
      </c>
      <c r="X29" s="345">
        <f>Data!CI30/X$4*100000*X$3</f>
        <v>0</v>
      </c>
      <c r="Y29" s="345">
        <f>Data!CJ30/Y$4*100000*Y$3</f>
        <v>0</v>
      </c>
      <c r="Z29" s="345">
        <f>Data!CK30/Z$4*100000*Z$3</f>
        <v>14684.903918771504</v>
      </c>
      <c r="AA29" s="345">
        <f>Data!CL30/AA$4*100000*AA$3</f>
        <v>6455.6588460970934</v>
      </c>
      <c r="AB29" s="345">
        <f>Data!CM30/AB$4*100000*AB$3</f>
        <v>12471.16044147908</v>
      </c>
      <c r="AC29" s="345">
        <f>Data!CN30/AC$4*100000*AC$3</f>
        <v>27752.888282730564</v>
      </c>
      <c r="AD29" s="345">
        <f>Data!CO30/AD$4*100000*AD$3</f>
        <v>16687.216664967043</v>
      </c>
      <c r="AE29" s="345">
        <f>Data!CP30/AE$4*100000*AE$3</f>
        <v>15164.381899793763</v>
      </c>
      <c r="AF29" s="345">
        <f>Data!CQ30/AF$4*100000*AF$3</f>
        <v>4804.9779571636209</v>
      </c>
      <c r="AG29" s="345">
        <f>Data!CR30/AG$4*100000*AG$3</f>
        <v>23316.234761175139</v>
      </c>
      <c r="AH29" s="345">
        <f>Data!CS30/AH$4*100000*AH$3</f>
        <v>7453.9717246005912</v>
      </c>
      <c r="AI29" s="345">
        <f>Data!CT30/AI$4*100000*AI$3</f>
        <v>3289.7442223867097</v>
      </c>
      <c r="AJ29" s="345">
        <f>Data!CU30/AJ$4*100000*AJ$3</f>
        <v>4403.1526573026285</v>
      </c>
      <c r="AK29" s="347" t="s">
        <v>352</v>
      </c>
      <c r="AL29" s="345">
        <f t="shared" si="3"/>
        <v>98611.181000386379</v>
      </c>
      <c r="AM29" s="345">
        <f>Data!CD30/AM$4*100000*AM$3</f>
        <v>0</v>
      </c>
      <c r="AN29" s="345">
        <f>Data!CE30/AN$4*100000*AN$3</f>
        <v>0</v>
      </c>
      <c r="AO29" s="345">
        <f>Data!CF30/AO$4*100000*AO$3</f>
        <v>0</v>
      </c>
      <c r="AP29" s="345">
        <f>Data!CG30/AP$4*100000*AP$3</f>
        <v>0</v>
      </c>
      <c r="AQ29" s="345">
        <f>Data!CH30/AQ$4*100000*AQ$3</f>
        <v>0</v>
      </c>
      <c r="AR29" s="345">
        <f>Data!CI30/AR$4*100000*AR$3</f>
        <v>0</v>
      </c>
      <c r="AS29" s="345">
        <f>Data!CJ30/AS$4*100000*AS$3</f>
        <v>0</v>
      </c>
      <c r="AT29" s="345">
        <f>Data!CK30/AT$4*100000*AT$3</f>
        <v>12587.060501804146</v>
      </c>
      <c r="AU29" s="345">
        <f>Data!CL30/AU$4*100000*AU$3</f>
        <v>5533.4218680832228</v>
      </c>
      <c r="AV29" s="345">
        <f>Data!CM30/AV$4*100000*AV$3</f>
        <v>10689.566092696354</v>
      </c>
      <c r="AW29" s="345">
        <f>Data!CN30/AW$4*100000*AW$3</f>
        <v>19823.491630521832</v>
      </c>
      <c r="AX29" s="345">
        <f>Data!CO30/AX$4*100000*AX$3</f>
        <v>11124.811109978027</v>
      </c>
      <c r="AY29" s="345">
        <f>Data!CP30/AY$4*100000*AY$3</f>
        <v>12131.505519835011</v>
      </c>
      <c r="AZ29" s="345">
        <f>Data!CQ30/AZ$4*100000*AZ$3</f>
        <v>3603.7334678727161</v>
      </c>
      <c r="BA29" s="345">
        <f>Data!CR30/BA$4*100000*BA$3</f>
        <v>15544.156507450092</v>
      </c>
      <c r="BB29" s="345">
        <f>Data!CS30/BB$4*100000*BB$3</f>
        <v>3726.9858623002956</v>
      </c>
      <c r="BC29" s="345">
        <f>Data!CT30/BC$4*100000*BC$3</f>
        <v>1644.8721111933548</v>
      </c>
      <c r="BD29" s="345">
        <f>Data!CU30/BD$4*100000*BD$3</f>
        <v>2201.5763286513143</v>
      </c>
    </row>
    <row r="30" spans="1:56" ht="12" customHeight="1">
      <c r="A30" s="64"/>
      <c r="B30" s="144" t="str">
        <f>UPPER(LEFT(TRIM(Data!B31),1)) &amp; MID(TRIM(Data!B31),2,50)</f>
        <v>Inkstų</v>
      </c>
      <c r="C30" s="123" t="str">
        <f>UPPER(LEFT(TRIM(Data!C31),1)) &amp; MID(TRIM(Data!C31),2,50)</f>
        <v>C64</v>
      </c>
      <c r="D30" s="124">
        <f>Data!BQ31</f>
        <v>268</v>
      </c>
      <c r="E30" s="125">
        <f t="shared" si="4"/>
        <v>16.799916752651313</v>
      </c>
      <c r="F30" s="126">
        <f t="shared" si="5"/>
        <v>10.929228502642275</v>
      </c>
      <c r="G30" s="126">
        <f t="shared" si="6"/>
        <v>7.9670582560346279</v>
      </c>
      <c r="H30" s="68"/>
      <c r="I30" s="68"/>
      <c r="J30" s="68"/>
      <c r="K30" s="68"/>
      <c r="L30" s="68"/>
      <c r="M30" s="68"/>
      <c r="N30" s="68"/>
      <c r="O30" s="68"/>
      <c r="P30" s="259"/>
      <c r="Q30" s="347" t="s">
        <v>352</v>
      </c>
      <c r="R30" s="345">
        <f t="shared" si="2"/>
        <v>1092922.8502642275</v>
      </c>
      <c r="S30" s="345">
        <f>Data!CD31/S$4*100000*S$3</f>
        <v>21735.586589143077</v>
      </c>
      <c r="T30" s="345">
        <f>Data!CE31/T$4*100000*T$3</f>
        <v>10610.240397732439</v>
      </c>
      <c r="U30" s="345">
        <f>Data!CF31/U$4*100000*U$3</f>
        <v>0</v>
      </c>
      <c r="V30" s="345">
        <f>Data!CG31/V$4*100000*V$3</f>
        <v>0</v>
      </c>
      <c r="W30" s="345">
        <f>Data!CH31/W$4*100000*W$3</f>
        <v>6735.561842079941</v>
      </c>
      <c r="X30" s="345">
        <f>Data!CI31/X$4*100000*X$3</f>
        <v>7364.0026510409534</v>
      </c>
      <c r="Y30" s="345">
        <f>Data!CJ31/Y$4*100000*Y$3</f>
        <v>8010.344788126381</v>
      </c>
      <c r="Z30" s="345">
        <f>Data!CK31/Z$4*100000*Z$3</f>
        <v>7342.4519593857522</v>
      </c>
      <c r="AA30" s="345">
        <f>Data!CL31/AA$4*100000*AA$3</f>
        <v>38733.953076582562</v>
      </c>
      <c r="AB30" s="345">
        <f>Data!CM31/AB$4*100000*AB$3</f>
        <v>49884.64176591632</v>
      </c>
      <c r="AC30" s="345">
        <f>Data!CN31/AC$4*100000*AC$3</f>
        <v>111011.55313092226</v>
      </c>
      <c r="AD30" s="345">
        <f>Data!CO31/AD$4*100000*AD$3</f>
        <v>133497.73331973635</v>
      </c>
      <c r="AE30" s="345">
        <f>Data!CP31/AE$4*100000*AE$3</f>
        <v>181972.58279752519</v>
      </c>
      <c r="AF30" s="345">
        <f>Data!CQ31/AF$4*100000*AF$3</f>
        <v>187394.14032938125</v>
      </c>
      <c r="AG30" s="345">
        <f>Data!CR31/AG$4*100000*AG$3</f>
        <v>149890.08060755447</v>
      </c>
      <c r="AH30" s="345">
        <f>Data!CS31/AH$4*100000*AH$3</f>
        <v>96901.632419807676</v>
      </c>
      <c r="AI30" s="345">
        <f>Data!CT31/AI$4*100000*AI$3</f>
        <v>44411.54700222057</v>
      </c>
      <c r="AJ30" s="345">
        <f>Data!CU31/AJ$4*100000*AJ$3</f>
        <v>37426.797587072346</v>
      </c>
      <c r="AK30" s="347" t="s">
        <v>352</v>
      </c>
      <c r="AL30" s="345">
        <f t="shared" si="3"/>
        <v>796705.82560346276</v>
      </c>
      <c r="AM30" s="345">
        <f>Data!CD31/AM$4*100000*AM$3</f>
        <v>32603.379883714613</v>
      </c>
      <c r="AN30" s="345">
        <f>Data!CE31/AN$4*100000*AN$3</f>
        <v>15157.486282474914</v>
      </c>
      <c r="AO30" s="345">
        <f>Data!CF31/AO$4*100000*AO$3</f>
        <v>0</v>
      </c>
      <c r="AP30" s="345">
        <f>Data!CG31/AP$4*100000*AP$3</f>
        <v>0</v>
      </c>
      <c r="AQ30" s="345">
        <f>Data!CH31/AQ$4*100000*AQ$3</f>
        <v>7697.7849623770753</v>
      </c>
      <c r="AR30" s="345">
        <f>Data!CI31/AR$4*100000*AR$3</f>
        <v>8416.0030297610901</v>
      </c>
      <c r="AS30" s="345">
        <f>Data!CJ31/AS$4*100000*AS$3</f>
        <v>6866.0098183940408</v>
      </c>
      <c r="AT30" s="345">
        <f>Data!CK31/AT$4*100000*AT$3</f>
        <v>6293.530250902073</v>
      </c>
      <c r="AU30" s="345">
        <f>Data!CL31/AU$4*100000*AU$3</f>
        <v>33200.531208499335</v>
      </c>
      <c r="AV30" s="345">
        <f>Data!CM31/AV$4*100000*AV$3</f>
        <v>42758.264370785415</v>
      </c>
      <c r="AW30" s="345">
        <f>Data!CN31/AW$4*100000*AW$3</f>
        <v>79293.966522087328</v>
      </c>
      <c r="AX30" s="345">
        <f>Data!CO31/AX$4*100000*AX$3</f>
        <v>88998.488879824217</v>
      </c>
      <c r="AY30" s="345">
        <f>Data!CP31/AY$4*100000*AY$3</f>
        <v>145578.06623802014</v>
      </c>
      <c r="AZ30" s="345">
        <f>Data!CQ31/AZ$4*100000*AZ$3</f>
        <v>140545.60524703594</v>
      </c>
      <c r="BA30" s="345">
        <f>Data!CR31/BA$4*100000*BA$3</f>
        <v>99926.720405036307</v>
      </c>
      <c r="BB30" s="345">
        <f>Data!CS31/BB$4*100000*BB$3</f>
        <v>48450.816209903838</v>
      </c>
      <c r="BC30" s="345">
        <f>Data!CT31/BC$4*100000*BC$3</f>
        <v>22205.773501110285</v>
      </c>
      <c r="BD30" s="345">
        <f>Data!CU31/BD$4*100000*BD$3</f>
        <v>18713.398793536173</v>
      </c>
    </row>
    <row r="31" spans="1:56" ht="12" customHeight="1">
      <c r="A31" s="64"/>
      <c r="B31" s="283" t="str">
        <f>UPPER(LEFT(TRIM(Data!B32),1)) &amp; MID(TRIM(Data!B32),2,50)</f>
        <v>Šlapimo pūslės</v>
      </c>
      <c r="C31" s="284" t="str">
        <f>UPPER(LEFT(TRIM(Data!C32),1)) &amp; MID(TRIM(Data!C32),2,50)</f>
        <v>C67</v>
      </c>
      <c r="D31" s="285">
        <f>Data!BQ32</f>
        <v>81</v>
      </c>
      <c r="E31" s="286">
        <f t="shared" si="4"/>
        <v>5.0775867797192413</v>
      </c>
      <c r="F31" s="287">
        <f t="shared" si="5"/>
        <v>2.7191326114736003</v>
      </c>
      <c r="G31" s="287">
        <f t="shared" si="6"/>
        <v>1.8676331518925442</v>
      </c>
      <c r="H31" s="68"/>
      <c r="I31" s="68"/>
      <c r="J31" s="68"/>
      <c r="K31" s="68"/>
      <c r="L31" s="68"/>
      <c r="M31" s="68"/>
      <c r="N31" s="68"/>
      <c r="O31" s="68"/>
      <c r="P31" s="259"/>
      <c r="Q31" s="347" t="s">
        <v>352</v>
      </c>
      <c r="R31" s="345">
        <f t="shared" si="2"/>
        <v>271913.26114736003</v>
      </c>
      <c r="S31" s="345">
        <f>Data!CD32/S$4*100000*S$3</f>
        <v>10867.793294571538</v>
      </c>
      <c r="T31" s="345">
        <f>Data!CE32/T$4*100000*T$3</f>
        <v>0</v>
      </c>
      <c r="U31" s="345">
        <f>Data!CF32/U$4*100000*U$3</f>
        <v>0</v>
      </c>
      <c r="V31" s="345">
        <f>Data!CG32/V$4*100000*V$3</f>
        <v>0</v>
      </c>
      <c r="W31" s="345">
        <f>Data!CH32/W$4*100000*W$3</f>
        <v>0</v>
      </c>
      <c r="X31" s="345">
        <f>Data!CI32/X$4*100000*X$3</f>
        <v>0</v>
      </c>
      <c r="Y31" s="345">
        <f>Data!CJ32/Y$4*100000*Y$3</f>
        <v>0</v>
      </c>
      <c r="Z31" s="345">
        <f>Data!CK32/Z$4*100000*Z$3</f>
        <v>0</v>
      </c>
      <c r="AA31" s="345">
        <f>Data!CL32/AA$4*100000*AA$3</f>
        <v>0</v>
      </c>
      <c r="AB31" s="345">
        <f>Data!CM32/AB$4*100000*AB$3</f>
        <v>6235.58022073954</v>
      </c>
      <c r="AC31" s="345">
        <f>Data!CN32/AC$4*100000*AC$3</f>
        <v>11101.155313092228</v>
      </c>
      <c r="AD31" s="345">
        <f>Data!CO32/AD$4*100000*AD$3</f>
        <v>33374.433329934087</v>
      </c>
      <c r="AE31" s="345">
        <f>Data!CP32/AE$4*100000*AE$3</f>
        <v>50547.939665979211</v>
      </c>
      <c r="AF31" s="345">
        <f>Data!CQ32/AF$4*100000*AF$3</f>
        <v>38439.823657308967</v>
      </c>
      <c r="AG31" s="345">
        <f>Data!CR32/AG$4*100000*AG$3</f>
        <v>29978.016121510889</v>
      </c>
      <c r="AH31" s="345">
        <f>Data!CS32/AH$4*100000*AH$3</f>
        <v>34785.201381469422</v>
      </c>
      <c r="AI31" s="345">
        <f>Data!CT32/AI$4*100000*AI$3</f>
        <v>27962.825890287033</v>
      </c>
      <c r="AJ31" s="345">
        <f>Data!CU32/AJ$4*100000*AJ$3</f>
        <v>28620.492272467083</v>
      </c>
      <c r="AK31" s="347" t="s">
        <v>352</v>
      </c>
      <c r="AL31" s="345">
        <f t="shared" si="3"/>
        <v>186763.31518925441</v>
      </c>
      <c r="AM31" s="345">
        <f>Data!CD32/AM$4*100000*AM$3</f>
        <v>16301.689941857307</v>
      </c>
      <c r="AN31" s="345">
        <f>Data!CE32/AN$4*100000*AN$3</f>
        <v>0</v>
      </c>
      <c r="AO31" s="345">
        <f>Data!CF32/AO$4*100000*AO$3</f>
        <v>0</v>
      </c>
      <c r="AP31" s="345">
        <f>Data!CG32/AP$4*100000*AP$3</f>
        <v>0</v>
      </c>
      <c r="AQ31" s="345">
        <f>Data!CH32/AQ$4*100000*AQ$3</f>
        <v>0</v>
      </c>
      <c r="AR31" s="345">
        <f>Data!CI32/AR$4*100000*AR$3</f>
        <v>0</v>
      </c>
      <c r="AS31" s="345">
        <f>Data!CJ32/AS$4*100000*AS$3</f>
        <v>0</v>
      </c>
      <c r="AT31" s="345">
        <f>Data!CK32/AT$4*100000*AT$3</f>
        <v>0</v>
      </c>
      <c r="AU31" s="345">
        <f>Data!CL32/AU$4*100000*AU$3</f>
        <v>0</v>
      </c>
      <c r="AV31" s="345">
        <f>Data!CM32/AV$4*100000*AV$3</f>
        <v>5344.7830463481769</v>
      </c>
      <c r="AW31" s="345">
        <f>Data!CN32/AW$4*100000*AW$3</f>
        <v>7929.396652208733</v>
      </c>
      <c r="AX31" s="345">
        <f>Data!CO32/AX$4*100000*AX$3</f>
        <v>22249.622219956054</v>
      </c>
      <c r="AY31" s="345">
        <f>Data!CP32/AY$4*100000*AY$3</f>
        <v>40438.351732783369</v>
      </c>
      <c r="AZ31" s="345">
        <f>Data!CQ32/AZ$4*100000*AZ$3</f>
        <v>28829.867742981729</v>
      </c>
      <c r="BA31" s="345">
        <f>Data!CR32/BA$4*100000*BA$3</f>
        <v>19985.344081007261</v>
      </c>
      <c r="BB31" s="345">
        <f>Data!CS32/BB$4*100000*BB$3</f>
        <v>17392.600690734711</v>
      </c>
      <c r="BC31" s="345">
        <f>Data!CT32/BC$4*100000*BC$3</f>
        <v>13981.412945143516</v>
      </c>
      <c r="BD31" s="345">
        <f>Data!CU32/BD$4*100000*BD$3</f>
        <v>14310.246136233542</v>
      </c>
    </row>
    <row r="32" spans="1:56" ht="12" customHeight="1">
      <c r="A32" s="64"/>
      <c r="B32" s="144" t="str">
        <f>UPPER(LEFT(TRIM(Data!B33),1)) &amp; MID(TRIM(Data!B33),2,50)</f>
        <v>Kitų šlapimą išskiriančių organų</v>
      </c>
      <c r="C32" s="123" t="str">
        <f>UPPER(LEFT(TRIM(Data!C33),1)) &amp; MID(TRIM(Data!C33),2,50)</f>
        <v>C65, C66, C68</v>
      </c>
      <c r="D32" s="124">
        <f>Data!BQ33</f>
        <v>6</v>
      </c>
      <c r="E32" s="125">
        <f t="shared" si="4"/>
        <v>0.37611753923846225</v>
      </c>
      <c r="F32" s="126">
        <f t="shared" si="5"/>
        <v>0.19271952275873319</v>
      </c>
      <c r="G32" s="126">
        <f t="shared" si="6"/>
        <v>0.12593613563213119</v>
      </c>
      <c r="H32" s="68"/>
      <c r="I32" s="68"/>
      <c r="J32" s="68"/>
      <c r="K32" s="68"/>
      <c r="L32" s="68"/>
      <c r="M32" s="68"/>
      <c r="N32" s="68"/>
      <c r="O32" s="68"/>
      <c r="P32" s="259"/>
      <c r="Q32" s="347" t="s">
        <v>352</v>
      </c>
      <c r="R32" s="345">
        <f t="shared" si="2"/>
        <v>19271.952275873318</v>
      </c>
      <c r="S32" s="345">
        <f>Data!CD33/S$4*100000*S$3</f>
        <v>0</v>
      </c>
      <c r="T32" s="345">
        <f>Data!CE33/T$4*100000*T$3</f>
        <v>0</v>
      </c>
      <c r="U32" s="345">
        <f>Data!CF33/U$4*100000*U$3</f>
        <v>0</v>
      </c>
      <c r="V32" s="345">
        <f>Data!CG33/V$4*100000*V$3</f>
        <v>0</v>
      </c>
      <c r="W32" s="345">
        <f>Data!CH33/W$4*100000*W$3</f>
        <v>0</v>
      </c>
      <c r="X32" s="345">
        <f>Data!CI33/X$4*100000*X$3</f>
        <v>0</v>
      </c>
      <c r="Y32" s="345">
        <f>Data!CJ33/Y$4*100000*Y$3</f>
        <v>0</v>
      </c>
      <c r="Z32" s="345">
        <f>Data!CK33/Z$4*100000*Z$3</f>
        <v>0</v>
      </c>
      <c r="AA32" s="345">
        <f>Data!CL33/AA$4*100000*AA$3</f>
        <v>0</v>
      </c>
      <c r="AB32" s="345">
        <f>Data!CM33/AB$4*100000*AB$3</f>
        <v>0</v>
      </c>
      <c r="AC32" s="345">
        <f>Data!CN33/AC$4*100000*AC$3</f>
        <v>0</v>
      </c>
      <c r="AD32" s="345">
        <f>Data!CO33/AD$4*100000*AD$3</f>
        <v>0</v>
      </c>
      <c r="AE32" s="345">
        <f>Data!CP33/AE$4*100000*AE$3</f>
        <v>0</v>
      </c>
      <c r="AF32" s="345">
        <f>Data!CQ33/AF$4*100000*AF$3</f>
        <v>9609.9559143272418</v>
      </c>
      <c r="AG32" s="345">
        <f>Data!CR33/AG$4*100000*AG$3</f>
        <v>3330.8906801678768</v>
      </c>
      <c r="AH32" s="345">
        <f>Data!CS33/AH$4*100000*AH$3</f>
        <v>2484.6572415335304</v>
      </c>
      <c r="AI32" s="345">
        <f>Data!CT33/AI$4*100000*AI$3</f>
        <v>1644.8721111933548</v>
      </c>
      <c r="AJ32" s="345">
        <f>Data!CU33/AJ$4*100000*AJ$3</f>
        <v>2201.5763286513143</v>
      </c>
      <c r="AK32" s="347" t="s">
        <v>352</v>
      </c>
      <c r="AL32" s="345">
        <f t="shared" si="3"/>
        <v>12593.613563213117</v>
      </c>
      <c r="AM32" s="345">
        <f>Data!CD33/AM$4*100000*AM$3</f>
        <v>0</v>
      </c>
      <c r="AN32" s="345">
        <f>Data!CE33/AN$4*100000*AN$3</f>
        <v>0</v>
      </c>
      <c r="AO32" s="345">
        <f>Data!CF33/AO$4*100000*AO$3</f>
        <v>0</v>
      </c>
      <c r="AP32" s="345">
        <f>Data!CG33/AP$4*100000*AP$3</f>
        <v>0</v>
      </c>
      <c r="AQ32" s="345">
        <f>Data!CH33/AQ$4*100000*AQ$3</f>
        <v>0</v>
      </c>
      <c r="AR32" s="345">
        <f>Data!CI33/AR$4*100000*AR$3</f>
        <v>0</v>
      </c>
      <c r="AS32" s="345">
        <f>Data!CJ33/AS$4*100000*AS$3</f>
        <v>0</v>
      </c>
      <c r="AT32" s="345">
        <f>Data!CK33/AT$4*100000*AT$3</f>
        <v>0</v>
      </c>
      <c r="AU32" s="345">
        <f>Data!CL33/AU$4*100000*AU$3</f>
        <v>0</v>
      </c>
      <c r="AV32" s="345">
        <f>Data!CM33/AV$4*100000*AV$3</f>
        <v>0</v>
      </c>
      <c r="AW32" s="345">
        <f>Data!CN33/AW$4*100000*AW$3</f>
        <v>0</v>
      </c>
      <c r="AX32" s="345">
        <f>Data!CO33/AX$4*100000*AX$3</f>
        <v>0</v>
      </c>
      <c r="AY32" s="345">
        <f>Data!CP33/AY$4*100000*AY$3</f>
        <v>0</v>
      </c>
      <c r="AZ32" s="345">
        <f>Data!CQ33/AZ$4*100000*AZ$3</f>
        <v>7207.4669357454322</v>
      </c>
      <c r="BA32" s="345">
        <f>Data!CR33/BA$4*100000*BA$3</f>
        <v>2220.5937867785847</v>
      </c>
      <c r="BB32" s="345">
        <f>Data!CS33/BB$4*100000*BB$3</f>
        <v>1242.3286207667652</v>
      </c>
      <c r="BC32" s="345">
        <f>Data!CT33/BC$4*100000*BC$3</f>
        <v>822.43605559667742</v>
      </c>
      <c r="BD32" s="345">
        <f>Data!CU33/BD$4*100000*BD$3</f>
        <v>1100.7881643256571</v>
      </c>
    </row>
    <row r="33" spans="1:56" ht="12" customHeight="1">
      <c r="A33" s="64"/>
      <c r="B33" s="283" t="str">
        <f>UPPER(LEFT(TRIM(Data!B34),1)) &amp; MID(TRIM(Data!B34),2,50)</f>
        <v>Akių</v>
      </c>
      <c r="C33" s="284" t="str">
        <f>UPPER(LEFT(TRIM(Data!C34),1)) &amp; MID(TRIM(Data!C34),2,50)</f>
        <v>C69</v>
      </c>
      <c r="D33" s="285">
        <f>Data!BQ34</f>
        <v>16</v>
      </c>
      <c r="E33" s="286">
        <f t="shared" si="4"/>
        <v>1.0029801046358993</v>
      </c>
      <c r="F33" s="287">
        <f t="shared" si="5"/>
        <v>0.69508487790730866</v>
      </c>
      <c r="G33" s="287">
        <f t="shared" si="6"/>
        <v>0.49647697504329813</v>
      </c>
      <c r="H33" s="68"/>
      <c r="I33" s="68"/>
      <c r="J33" s="68"/>
      <c r="K33" s="68"/>
      <c r="L33" s="68"/>
      <c r="M33" s="68"/>
      <c r="N33" s="68"/>
      <c r="O33" s="68"/>
      <c r="P33" s="259"/>
      <c r="Q33" s="347" t="s">
        <v>352</v>
      </c>
      <c r="R33" s="345">
        <f t="shared" si="2"/>
        <v>69508.487790730869</v>
      </c>
      <c r="S33" s="345">
        <f>Data!CD34/S$4*100000*S$3</f>
        <v>0</v>
      </c>
      <c r="T33" s="345">
        <f>Data!CE34/T$4*100000*T$3</f>
        <v>0</v>
      </c>
      <c r="U33" s="345">
        <f>Data!CF34/U$4*100000*U$3</f>
        <v>0</v>
      </c>
      <c r="V33" s="345">
        <f>Data!CG34/V$4*100000*V$3</f>
        <v>0</v>
      </c>
      <c r="W33" s="345">
        <f>Data!CH34/W$4*100000*W$3</f>
        <v>0</v>
      </c>
      <c r="X33" s="345">
        <f>Data!CI34/X$4*100000*X$3</f>
        <v>0</v>
      </c>
      <c r="Y33" s="345">
        <f>Data!CJ34/Y$4*100000*Y$3</f>
        <v>0</v>
      </c>
      <c r="Z33" s="345">
        <f>Data!CK34/Z$4*100000*Z$3</f>
        <v>0</v>
      </c>
      <c r="AA33" s="345">
        <f>Data!CL34/AA$4*100000*AA$3</f>
        <v>6455.6588460970934</v>
      </c>
      <c r="AB33" s="345">
        <f>Data!CM34/AB$4*100000*AB$3</f>
        <v>0</v>
      </c>
      <c r="AC33" s="345">
        <f>Data!CN34/AC$4*100000*AC$3</f>
        <v>5550.5776565461138</v>
      </c>
      <c r="AD33" s="345">
        <f>Data!CO34/AD$4*100000*AD$3</f>
        <v>16687.216664967043</v>
      </c>
      <c r="AE33" s="345">
        <f>Data!CP34/AE$4*100000*AE$3</f>
        <v>15164.381899793763</v>
      </c>
      <c r="AF33" s="345">
        <f>Data!CQ34/AF$4*100000*AF$3</f>
        <v>9609.9559143272418</v>
      </c>
      <c r="AG33" s="345">
        <f>Data!CR34/AG$4*100000*AG$3</f>
        <v>9992.6720405036303</v>
      </c>
      <c r="AH33" s="345">
        <f>Data!CS34/AH$4*100000*AH$3</f>
        <v>0</v>
      </c>
      <c r="AI33" s="345">
        <f>Data!CT34/AI$4*100000*AI$3</f>
        <v>1644.8721111933548</v>
      </c>
      <c r="AJ33" s="345">
        <f>Data!CU34/AJ$4*100000*AJ$3</f>
        <v>4403.1526573026285</v>
      </c>
      <c r="AK33" s="347" t="s">
        <v>352</v>
      </c>
      <c r="AL33" s="345">
        <f t="shared" si="3"/>
        <v>49647.697504329815</v>
      </c>
      <c r="AM33" s="345">
        <f>Data!CD34/AM$4*100000*AM$3</f>
        <v>0</v>
      </c>
      <c r="AN33" s="345">
        <f>Data!CE34/AN$4*100000*AN$3</f>
        <v>0</v>
      </c>
      <c r="AO33" s="345">
        <f>Data!CF34/AO$4*100000*AO$3</f>
        <v>0</v>
      </c>
      <c r="AP33" s="345">
        <f>Data!CG34/AP$4*100000*AP$3</f>
        <v>0</v>
      </c>
      <c r="AQ33" s="345">
        <f>Data!CH34/AQ$4*100000*AQ$3</f>
        <v>0</v>
      </c>
      <c r="AR33" s="345">
        <f>Data!CI34/AR$4*100000*AR$3</f>
        <v>0</v>
      </c>
      <c r="AS33" s="345">
        <f>Data!CJ34/AS$4*100000*AS$3</f>
        <v>0</v>
      </c>
      <c r="AT33" s="345">
        <f>Data!CK34/AT$4*100000*AT$3</f>
        <v>0</v>
      </c>
      <c r="AU33" s="345">
        <f>Data!CL34/AU$4*100000*AU$3</f>
        <v>5533.4218680832228</v>
      </c>
      <c r="AV33" s="345">
        <f>Data!CM34/AV$4*100000*AV$3</f>
        <v>0</v>
      </c>
      <c r="AW33" s="345">
        <f>Data!CN34/AW$4*100000*AW$3</f>
        <v>3964.6983261043665</v>
      </c>
      <c r="AX33" s="345">
        <f>Data!CO34/AX$4*100000*AX$3</f>
        <v>11124.811109978027</v>
      </c>
      <c r="AY33" s="345">
        <f>Data!CP34/AY$4*100000*AY$3</f>
        <v>12131.505519835011</v>
      </c>
      <c r="AZ33" s="345">
        <f>Data!CQ34/AZ$4*100000*AZ$3</f>
        <v>7207.4669357454322</v>
      </c>
      <c r="BA33" s="345">
        <f>Data!CR34/BA$4*100000*BA$3</f>
        <v>6661.7813603357536</v>
      </c>
      <c r="BB33" s="345">
        <f>Data!CS34/BB$4*100000*BB$3</f>
        <v>0</v>
      </c>
      <c r="BC33" s="345">
        <f>Data!CT34/BC$4*100000*BC$3</f>
        <v>822.43605559667742</v>
      </c>
      <c r="BD33" s="345">
        <f>Data!CU34/BD$4*100000*BD$3</f>
        <v>2201.5763286513143</v>
      </c>
    </row>
    <row r="34" spans="1:56" ht="12" customHeight="1">
      <c r="A34" s="64"/>
      <c r="B34" s="144" t="str">
        <f>UPPER(LEFT(TRIM(Data!B35),1)) &amp; MID(TRIM(Data!B35),2,50)</f>
        <v>Smegenų</v>
      </c>
      <c r="C34" s="123" t="str">
        <f>UPPER(LEFT(TRIM(Data!C35),1)) &amp; MID(TRIM(Data!C35),2,50)</f>
        <v>C70-C72</v>
      </c>
      <c r="D34" s="124">
        <f>Data!BQ35</f>
        <v>157</v>
      </c>
      <c r="E34" s="125">
        <f t="shared" si="4"/>
        <v>9.8417422767397635</v>
      </c>
      <c r="F34" s="126">
        <f t="shared" si="5"/>
        <v>6.9532622408616929</v>
      </c>
      <c r="G34" s="126">
        <f t="shared" si="6"/>
        <v>5.609790959857655</v>
      </c>
      <c r="H34" s="68"/>
      <c r="I34" s="68"/>
      <c r="J34" s="68"/>
      <c r="K34" s="68"/>
      <c r="L34" s="68"/>
      <c r="M34" s="68"/>
      <c r="N34" s="68"/>
      <c r="O34" s="68"/>
      <c r="P34" s="259"/>
      <c r="Q34" s="347" t="s">
        <v>352</v>
      </c>
      <c r="R34" s="345">
        <f t="shared" si="2"/>
        <v>695326.22408616927</v>
      </c>
      <c r="S34" s="345">
        <f>Data!CD35/S$4*100000*S$3</f>
        <v>32603.37988371461</v>
      </c>
      <c r="T34" s="345">
        <f>Data!CE35/T$4*100000*T$3</f>
        <v>21220.480795464879</v>
      </c>
      <c r="U34" s="345">
        <f>Data!CF35/U$4*100000*U$3</f>
        <v>9790.6205854791115</v>
      </c>
      <c r="V34" s="345">
        <f>Data!CG35/V$4*100000*V$3</f>
        <v>7878.8015217342372</v>
      </c>
      <c r="W34" s="345">
        <f>Data!CH35/W$4*100000*W$3</f>
        <v>13471.123684159882</v>
      </c>
      <c r="X34" s="345">
        <f>Data!CI35/X$4*100000*X$3</f>
        <v>36820.013255204773</v>
      </c>
      <c r="Y34" s="345">
        <f>Data!CJ35/Y$4*100000*Y$3</f>
        <v>32041.379152505524</v>
      </c>
      <c r="Z34" s="345">
        <f>Data!CK35/Z$4*100000*Z$3</f>
        <v>14684.903918771504</v>
      </c>
      <c r="AA34" s="345">
        <f>Data!CL35/AA$4*100000*AA$3</f>
        <v>19366.976538291281</v>
      </c>
      <c r="AB34" s="345">
        <f>Data!CM35/AB$4*100000*AB$3</f>
        <v>37413.481324437234</v>
      </c>
      <c r="AC34" s="345">
        <f>Data!CN35/AC$4*100000*AC$3</f>
        <v>77708.08719164558</v>
      </c>
      <c r="AD34" s="345">
        <f>Data!CO35/AD$4*100000*AD$3</f>
        <v>83436.083324835199</v>
      </c>
      <c r="AE34" s="345">
        <f>Data!CP35/AE$4*100000*AE$3</f>
        <v>65712.321565772974</v>
      </c>
      <c r="AF34" s="345">
        <f>Data!CQ35/AF$4*100000*AF$3</f>
        <v>48049.779571636216</v>
      </c>
      <c r="AG34" s="345">
        <f>Data!CR35/AG$4*100000*AG$3</f>
        <v>93264.939044700557</v>
      </c>
      <c r="AH34" s="345">
        <f>Data!CS35/AH$4*100000*AH$3</f>
        <v>44723.830347603543</v>
      </c>
      <c r="AI34" s="345">
        <f>Data!CT35/AI$4*100000*AI$3</f>
        <v>26317.953779093677</v>
      </c>
      <c r="AJ34" s="345">
        <f>Data!CU35/AJ$4*100000*AJ$3</f>
        <v>30822.068601118401</v>
      </c>
      <c r="AK34" s="347" t="s">
        <v>352</v>
      </c>
      <c r="AL34" s="345">
        <f t="shared" si="3"/>
        <v>560979.09598576545</v>
      </c>
      <c r="AM34" s="345">
        <f>Data!CD35/AM$4*100000*AM$3</f>
        <v>48905.069825571911</v>
      </c>
      <c r="AN34" s="345">
        <f>Data!CE35/AN$4*100000*AN$3</f>
        <v>30314.972564949829</v>
      </c>
      <c r="AO34" s="345">
        <f>Data!CF35/AO$4*100000*AO$3</f>
        <v>12587.940752758857</v>
      </c>
      <c r="AP34" s="345">
        <f>Data!CG35/AP$4*100000*AP$3</f>
        <v>10129.887670801163</v>
      </c>
      <c r="AQ34" s="345">
        <f>Data!CH35/AQ$4*100000*AQ$3</f>
        <v>15395.569924754151</v>
      </c>
      <c r="AR34" s="345">
        <f>Data!CI35/AR$4*100000*AR$3</f>
        <v>42080.015148805462</v>
      </c>
      <c r="AS34" s="345">
        <f>Data!CJ35/AS$4*100000*AS$3</f>
        <v>27464.039273576163</v>
      </c>
      <c r="AT34" s="345">
        <f>Data!CK35/AT$4*100000*AT$3</f>
        <v>12587.060501804146</v>
      </c>
      <c r="AU34" s="345">
        <f>Data!CL35/AU$4*100000*AU$3</f>
        <v>16600.265604249667</v>
      </c>
      <c r="AV34" s="345">
        <f>Data!CM35/AV$4*100000*AV$3</f>
        <v>32068.698278089058</v>
      </c>
      <c r="AW34" s="345">
        <f>Data!CN35/AW$4*100000*AW$3</f>
        <v>55505.776565461128</v>
      </c>
      <c r="AX34" s="345">
        <f>Data!CO35/AX$4*100000*AX$3</f>
        <v>55624.055549890138</v>
      </c>
      <c r="AY34" s="345">
        <f>Data!CP35/AY$4*100000*AY$3</f>
        <v>52569.857252618385</v>
      </c>
      <c r="AZ34" s="345">
        <f>Data!CQ35/AZ$4*100000*AZ$3</f>
        <v>36037.334678727158</v>
      </c>
      <c r="BA34" s="345">
        <f>Data!CR35/BA$4*100000*BA$3</f>
        <v>62176.626029800369</v>
      </c>
      <c r="BB34" s="345">
        <f>Data!CS35/BB$4*100000*BB$3</f>
        <v>22361.915173801772</v>
      </c>
      <c r="BC34" s="345">
        <f>Data!CT35/BC$4*100000*BC$3</f>
        <v>13158.976889546839</v>
      </c>
      <c r="BD34" s="345">
        <f>Data!CU35/BD$4*100000*BD$3</f>
        <v>15411.0343005592</v>
      </c>
    </row>
    <row r="35" spans="1:56" ht="12" customHeight="1">
      <c r="A35" s="64"/>
      <c r="B35" s="283" t="str">
        <f>UPPER(LEFT(TRIM(Data!B36),1)) &amp; MID(TRIM(Data!B36),2,50)</f>
        <v>Skydliaukės</v>
      </c>
      <c r="C35" s="284" t="str">
        <f>UPPER(LEFT(TRIM(Data!C36),1)) &amp; MID(TRIM(Data!C36),2,50)</f>
        <v>C73</v>
      </c>
      <c r="D35" s="285">
        <f>Data!BQ36</f>
        <v>295</v>
      </c>
      <c r="E35" s="286">
        <f t="shared" si="4"/>
        <v>18.492445679224396</v>
      </c>
      <c r="F35" s="287">
        <f t="shared" si="5"/>
        <v>16.137467943305008</v>
      </c>
      <c r="G35" s="287">
        <f t="shared" si="6"/>
        <v>12.89788068432501</v>
      </c>
      <c r="H35" s="68"/>
      <c r="I35" s="68"/>
      <c r="J35" s="68"/>
      <c r="K35" s="68"/>
      <c r="L35" s="68"/>
      <c r="M35" s="68"/>
      <c r="N35" s="68"/>
      <c r="O35" s="68"/>
      <c r="P35" s="259"/>
      <c r="Q35" s="347" t="s">
        <v>352</v>
      </c>
      <c r="R35" s="345">
        <f t="shared" si="2"/>
        <v>1613746.794330501</v>
      </c>
      <c r="S35" s="345">
        <f>Data!CD36/S$4*100000*S$3</f>
        <v>0</v>
      </c>
      <c r="T35" s="345">
        <f>Data!CE36/T$4*100000*T$3</f>
        <v>0</v>
      </c>
      <c r="U35" s="345">
        <f>Data!CF36/U$4*100000*U$3</f>
        <v>0</v>
      </c>
      <c r="V35" s="345">
        <f>Data!CG36/V$4*100000*V$3</f>
        <v>7878.8015217342372</v>
      </c>
      <c r="W35" s="345">
        <f>Data!CH36/W$4*100000*W$3</f>
        <v>40413.371052479648</v>
      </c>
      <c r="X35" s="345">
        <f>Data!CI36/X$4*100000*X$3</f>
        <v>51548.018557286683</v>
      </c>
      <c r="Y35" s="345">
        <f>Data!CJ36/Y$4*100000*Y$3</f>
        <v>184237.93012690675</v>
      </c>
      <c r="Z35" s="345">
        <f>Data!CK36/Z$4*100000*Z$3</f>
        <v>132164.13526894353</v>
      </c>
      <c r="AA35" s="345">
        <f>Data!CL36/AA$4*100000*AA$3</f>
        <v>135568.83576803896</v>
      </c>
      <c r="AB35" s="345">
        <f>Data!CM36/AB$4*100000*AB$3</f>
        <v>205774.14728440478</v>
      </c>
      <c r="AC35" s="345">
        <f>Data!CN36/AC$4*100000*AC$3</f>
        <v>149865.59672674508</v>
      </c>
      <c r="AD35" s="345">
        <f>Data!CO36/AD$4*100000*AD$3</f>
        <v>200246.59997960451</v>
      </c>
      <c r="AE35" s="345">
        <f>Data!CP36/AE$4*100000*AE$3</f>
        <v>187027.3767641231</v>
      </c>
      <c r="AF35" s="345">
        <f>Data!CQ36/AF$4*100000*AF$3</f>
        <v>177784.18441505401</v>
      </c>
      <c r="AG35" s="345">
        <f>Data!CR36/AG$4*100000*AG$3</f>
        <v>99926.720405036293</v>
      </c>
      <c r="AH35" s="345">
        <f>Data!CS36/AH$4*100000*AH$3</f>
        <v>19877.257932268243</v>
      </c>
      <c r="AI35" s="345">
        <f>Data!CT36/AI$4*100000*AI$3</f>
        <v>8224.360555966774</v>
      </c>
      <c r="AJ35" s="345">
        <f>Data!CU36/AJ$4*100000*AJ$3</f>
        <v>13209.457971907887</v>
      </c>
      <c r="AK35" s="347" t="s">
        <v>352</v>
      </c>
      <c r="AL35" s="345">
        <f t="shared" si="3"/>
        <v>1289788.0684325011</v>
      </c>
      <c r="AM35" s="345">
        <f>Data!CD36/AM$4*100000*AM$3</f>
        <v>0</v>
      </c>
      <c r="AN35" s="345">
        <f>Data!CE36/AN$4*100000*AN$3</f>
        <v>0</v>
      </c>
      <c r="AO35" s="345">
        <f>Data!CF36/AO$4*100000*AO$3</f>
        <v>0</v>
      </c>
      <c r="AP35" s="345">
        <f>Data!CG36/AP$4*100000*AP$3</f>
        <v>10129.887670801163</v>
      </c>
      <c r="AQ35" s="345">
        <f>Data!CH36/AQ$4*100000*AQ$3</f>
        <v>46186.709774262454</v>
      </c>
      <c r="AR35" s="345">
        <f>Data!CI36/AR$4*100000*AR$3</f>
        <v>58912.021208327635</v>
      </c>
      <c r="AS35" s="345">
        <f>Data!CJ36/AS$4*100000*AS$3</f>
        <v>157918.22582306294</v>
      </c>
      <c r="AT35" s="345">
        <f>Data!CK36/AT$4*100000*AT$3</f>
        <v>113283.54451623731</v>
      </c>
      <c r="AU35" s="345">
        <f>Data!CL36/AU$4*100000*AU$3</f>
        <v>116201.85922974767</v>
      </c>
      <c r="AV35" s="345">
        <f>Data!CM36/AV$4*100000*AV$3</f>
        <v>176377.84052948983</v>
      </c>
      <c r="AW35" s="345">
        <f>Data!CN36/AW$4*100000*AW$3</f>
        <v>107046.85480481791</v>
      </c>
      <c r="AX35" s="345">
        <f>Data!CO36/AX$4*100000*AX$3</f>
        <v>133497.73331973635</v>
      </c>
      <c r="AY35" s="345">
        <f>Data!CP36/AY$4*100000*AY$3</f>
        <v>149621.90141129846</v>
      </c>
      <c r="AZ35" s="345">
        <f>Data!CQ36/AZ$4*100000*AZ$3</f>
        <v>133338.1383112905</v>
      </c>
      <c r="BA35" s="345">
        <f>Data!CR36/BA$4*100000*BA$3</f>
        <v>66617.813603357528</v>
      </c>
      <c r="BB35" s="345">
        <f>Data!CS36/BB$4*100000*BB$3</f>
        <v>9938.6289661341216</v>
      </c>
      <c r="BC35" s="345">
        <f>Data!CT36/BC$4*100000*BC$3</f>
        <v>4112.180277983387</v>
      </c>
      <c r="BD35" s="345">
        <f>Data!CU36/BD$4*100000*BD$3</f>
        <v>6604.7289859539433</v>
      </c>
    </row>
    <row r="36" spans="1:56" ht="12" customHeight="1">
      <c r="A36" s="64"/>
      <c r="B36" s="144" t="str">
        <f>UPPER(LEFT(TRIM(Data!B37),1)) &amp; MID(TRIM(Data!B37),2,50)</f>
        <v>Kitų endokrininių liaukų</v>
      </c>
      <c r="C36" s="123" t="str">
        <f>UPPER(LEFT(TRIM(Data!C37),1)) &amp; MID(TRIM(Data!C37),2,50)</f>
        <v>C74-C75</v>
      </c>
      <c r="D36" s="124">
        <f>Data!BQ37</f>
        <v>13</v>
      </c>
      <c r="E36" s="125">
        <f t="shared" si="4"/>
        <v>0.8149213350166683</v>
      </c>
      <c r="F36" s="126">
        <f t="shared" si="5"/>
        <v>0.54658649035166285</v>
      </c>
      <c r="G36" s="126">
        <f t="shared" si="6"/>
        <v>0.45766003011331929</v>
      </c>
      <c r="H36" s="68"/>
      <c r="I36" s="68"/>
      <c r="J36" s="68"/>
      <c r="K36" s="68"/>
      <c r="L36" s="68"/>
      <c r="M36" s="68"/>
      <c r="N36" s="68"/>
      <c r="O36" s="68"/>
      <c r="P36" s="259"/>
      <c r="Q36" s="347" t="s">
        <v>352</v>
      </c>
      <c r="R36" s="345">
        <f t="shared" si="2"/>
        <v>54658.649035166287</v>
      </c>
      <c r="S36" s="345">
        <f>Data!CD37/S$4*100000*S$3</f>
        <v>10867.793294571538</v>
      </c>
      <c r="T36" s="345">
        <f>Data!CE37/T$4*100000*T$3</f>
        <v>0</v>
      </c>
      <c r="U36" s="345">
        <f>Data!CF37/U$4*100000*U$3</f>
        <v>0</v>
      </c>
      <c r="V36" s="345">
        <f>Data!CG37/V$4*100000*V$3</f>
        <v>0</v>
      </c>
      <c r="W36" s="345">
        <f>Data!CH37/W$4*100000*W$3</f>
        <v>0</v>
      </c>
      <c r="X36" s="345">
        <f>Data!CI37/X$4*100000*X$3</f>
        <v>0</v>
      </c>
      <c r="Y36" s="345">
        <f>Data!CJ37/Y$4*100000*Y$3</f>
        <v>0</v>
      </c>
      <c r="Z36" s="345">
        <f>Data!CK37/Z$4*100000*Z$3</f>
        <v>0</v>
      </c>
      <c r="AA36" s="345">
        <f>Data!CL37/AA$4*100000*AA$3</f>
        <v>0</v>
      </c>
      <c r="AB36" s="345">
        <f>Data!CM37/AB$4*100000*AB$3</f>
        <v>0</v>
      </c>
      <c r="AC36" s="345">
        <f>Data!CN37/AC$4*100000*AC$3</f>
        <v>5550.5776565461138</v>
      </c>
      <c r="AD36" s="345">
        <f>Data!CO37/AD$4*100000*AD$3</f>
        <v>0</v>
      </c>
      <c r="AE36" s="345">
        <f>Data!CP37/AE$4*100000*AE$3</f>
        <v>0</v>
      </c>
      <c r="AF36" s="345">
        <f>Data!CQ37/AF$4*100000*AF$3</f>
        <v>14414.933871490864</v>
      </c>
      <c r="AG36" s="345">
        <f>Data!CR37/AG$4*100000*AG$3</f>
        <v>16654.453400839386</v>
      </c>
      <c r="AH36" s="345">
        <f>Data!CS37/AH$4*100000*AH$3</f>
        <v>4969.3144830670608</v>
      </c>
      <c r="AI36" s="345">
        <f>Data!CT37/AI$4*100000*AI$3</f>
        <v>0</v>
      </c>
      <c r="AJ36" s="345">
        <f>Data!CU37/AJ$4*100000*AJ$3</f>
        <v>2201.5763286513143</v>
      </c>
      <c r="AK36" s="347" t="s">
        <v>352</v>
      </c>
      <c r="AL36" s="345">
        <f t="shared" si="3"/>
        <v>45766.00301133193</v>
      </c>
      <c r="AM36" s="345">
        <f>Data!CD37/AM$4*100000*AM$3</f>
        <v>16301.689941857307</v>
      </c>
      <c r="AN36" s="345">
        <f>Data!CE37/AN$4*100000*AN$3</f>
        <v>0</v>
      </c>
      <c r="AO36" s="345">
        <f>Data!CF37/AO$4*100000*AO$3</f>
        <v>0</v>
      </c>
      <c r="AP36" s="345">
        <f>Data!CG37/AP$4*100000*AP$3</f>
        <v>0</v>
      </c>
      <c r="AQ36" s="345">
        <f>Data!CH37/AQ$4*100000*AQ$3</f>
        <v>0</v>
      </c>
      <c r="AR36" s="345">
        <f>Data!CI37/AR$4*100000*AR$3</f>
        <v>0</v>
      </c>
      <c r="AS36" s="345">
        <f>Data!CJ37/AS$4*100000*AS$3</f>
        <v>0</v>
      </c>
      <c r="AT36" s="345">
        <f>Data!CK37/AT$4*100000*AT$3</f>
        <v>0</v>
      </c>
      <c r="AU36" s="345">
        <f>Data!CL37/AU$4*100000*AU$3</f>
        <v>0</v>
      </c>
      <c r="AV36" s="345">
        <f>Data!CM37/AV$4*100000*AV$3</f>
        <v>0</v>
      </c>
      <c r="AW36" s="345">
        <f>Data!CN37/AW$4*100000*AW$3</f>
        <v>3964.6983261043665</v>
      </c>
      <c r="AX36" s="345">
        <f>Data!CO37/AX$4*100000*AX$3</f>
        <v>0</v>
      </c>
      <c r="AY36" s="345">
        <f>Data!CP37/AY$4*100000*AY$3</f>
        <v>0</v>
      </c>
      <c r="AZ36" s="345">
        <f>Data!CQ37/AZ$4*100000*AZ$3</f>
        <v>10811.200403618148</v>
      </c>
      <c r="BA36" s="345">
        <f>Data!CR37/BA$4*100000*BA$3</f>
        <v>11102.968933892922</v>
      </c>
      <c r="BB36" s="345">
        <f>Data!CS37/BB$4*100000*BB$3</f>
        <v>2484.6572415335304</v>
      </c>
      <c r="BC36" s="345">
        <f>Data!CT37/BC$4*100000*BC$3</f>
        <v>0</v>
      </c>
      <c r="BD36" s="345">
        <f>Data!CU37/BD$4*100000*BD$3</f>
        <v>1100.7881643256571</v>
      </c>
    </row>
    <row r="37" spans="1:56" ht="12" customHeight="1">
      <c r="A37" s="64"/>
      <c r="B37" s="283" t="str">
        <f>UPPER(LEFT(TRIM(Data!B38),1)) &amp; MID(TRIM(Data!B38),2,50)</f>
        <v>Nepatikslintos lokalizacijos</v>
      </c>
      <c r="C37" s="284" t="str">
        <f>UPPER(LEFT(TRIM(Data!C38),1)) &amp; MID(TRIM(Data!C38),2,50)</f>
        <v>C76-C80</v>
      </c>
      <c r="D37" s="285">
        <f>Data!BQ38</f>
        <v>240</v>
      </c>
      <c r="E37" s="286">
        <f t="shared" si="4"/>
        <v>15.044701569538491</v>
      </c>
      <c r="F37" s="287">
        <f t="shared" si="5"/>
        <v>7.9400122149326569</v>
      </c>
      <c r="G37" s="287">
        <f t="shared" si="6"/>
        <v>5.2388707167979192</v>
      </c>
      <c r="H37" s="68"/>
      <c r="I37" s="68"/>
      <c r="J37" s="68"/>
      <c r="K37" s="68"/>
      <c r="L37" s="68"/>
      <c r="M37" s="68"/>
      <c r="N37" s="68"/>
      <c r="O37" s="68"/>
      <c r="P37" s="259"/>
      <c r="Q37" s="347" t="s">
        <v>352</v>
      </c>
      <c r="R37" s="345">
        <f t="shared" si="2"/>
        <v>794001.22149326571</v>
      </c>
      <c r="S37" s="345">
        <f>Data!CD38/S$4*100000*S$3</f>
        <v>0</v>
      </c>
      <c r="T37" s="345">
        <f>Data!CE38/T$4*100000*T$3</f>
        <v>0</v>
      </c>
      <c r="U37" s="345">
        <f>Data!CF38/U$4*100000*U$3</f>
        <v>0</v>
      </c>
      <c r="V37" s="345">
        <f>Data!CG38/V$4*100000*V$3</f>
        <v>0</v>
      </c>
      <c r="W37" s="345">
        <f>Data!CH38/W$4*100000*W$3</f>
        <v>0</v>
      </c>
      <c r="X37" s="345">
        <f>Data!CI38/X$4*100000*X$3</f>
        <v>7364.0026510409534</v>
      </c>
      <c r="Y37" s="345">
        <f>Data!CJ38/Y$4*100000*Y$3</f>
        <v>0</v>
      </c>
      <c r="Z37" s="345">
        <f>Data!CK38/Z$4*100000*Z$3</f>
        <v>7342.4519593857522</v>
      </c>
      <c r="AA37" s="345">
        <f>Data!CL38/AA$4*100000*AA$3</f>
        <v>32278.294230485466</v>
      </c>
      <c r="AB37" s="345">
        <f>Data!CM38/AB$4*100000*AB$3</f>
        <v>31177.901103697703</v>
      </c>
      <c r="AC37" s="345">
        <f>Data!CN38/AC$4*100000*AC$3</f>
        <v>66606.931878553369</v>
      </c>
      <c r="AD37" s="345">
        <f>Data!CO38/AD$4*100000*AD$3</f>
        <v>72311.272214857177</v>
      </c>
      <c r="AE37" s="345">
        <f>Data!CP38/AE$4*100000*AE$3</f>
        <v>75821.909498968816</v>
      </c>
      <c r="AF37" s="345">
        <f>Data!CQ38/AF$4*100000*AF$3</f>
        <v>120124.44892909053</v>
      </c>
      <c r="AG37" s="345">
        <f>Data!CR38/AG$4*100000*AG$3</f>
        <v>106588.50176537206</v>
      </c>
      <c r="AH37" s="345">
        <f>Data!CS38/AH$4*100000*AH$3</f>
        <v>91932.317936740612</v>
      </c>
      <c r="AI37" s="345">
        <f>Data!CT38/AI$4*100000*AI$3</f>
        <v>72374.372892507614</v>
      </c>
      <c r="AJ37" s="345">
        <f>Data!CU38/AJ$4*100000*AJ$3</f>
        <v>110078.81643256571</v>
      </c>
      <c r="AK37" s="347" t="s">
        <v>352</v>
      </c>
      <c r="AL37" s="345">
        <f t="shared" si="3"/>
        <v>523887.07167979196</v>
      </c>
      <c r="AM37" s="345">
        <f>Data!CD38/AM$4*100000*AM$3</f>
        <v>0</v>
      </c>
      <c r="AN37" s="345">
        <f>Data!CE38/AN$4*100000*AN$3</f>
        <v>0</v>
      </c>
      <c r="AO37" s="345">
        <f>Data!CF38/AO$4*100000*AO$3</f>
        <v>0</v>
      </c>
      <c r="AP37" s="345">
        <f>Data!CG38/AP$4*100000*AP$3</f>
        <v>0</v>
      </c>
      <c r="AQ37" s="345">
        <f>Data!CH38/AQ$4*100000*AQ$3</f>
        <v>0</v>
      </c>
      <c r="AR37" s="345">
        <f>Data!CI38/AR$4*100000*AR$3</f>
        <v>8416.0030297610901</v>
      </c>
      <c r="AS37" s="345">
        <f>Data!CJ38/AS$4*100000*AS$3</f>
        <v>0</v>
      </c>
      <c r="AT37" s="345">
        <f>Data!CK38/AT$4*100000*AT$3</f>
        <v>6293.530250902073</v>
      </c>
      <c r="AU37" s="345">
        <f>Data!CL38/AU$4*100000*AU$3</f>
        <v>27667.109340416115</v>
      </c>
      <c r="AV37" s="345">
        <f>Data!CM38/AV$4*100000*AV$3</f>
        <v>26723.915231740888</v>
      </c>
      <c r="AW37" s="345">
        <f>Data!CN38/AW$4*100000*AW$3</f>
        <v>47576.379913252407</v>
      </c>
      <c r="AX37" s="345">
        <f>Data!CO38/AX$4*100000*AX$3</f>
        <v>48207.514809904787</v>
      </c>
      <c r="AY37" s="345">
        <f>Data!CP38/AY$4*100000*AY$3</f>
        <v>60657.527599175053</v>
      </c>
      <c r="AZ37" s="345">
        <f>Data!CQ38/AZ$4*100000*AZ$3</f>
        <v>90093.336696817903</v>
      </c>
      <c r="BA37" s="345">
        <f>Data!CR38/BA$4*100000*BA$3</f>
        <v>71059.00117691471</v>
      </c>
      <c r="BB37" s="345">
        <f>Data!CS38/BB$4*100000*BB$3</f>
        <v>45966.158968370306</v>
      </c>
      <c r="BC37" s="345">
        <f>Data!CT38/BC$4*100000*BC$3</f>
        <v>36187.186446253807</v>
      </c>
      <c r="BD37" s="345">
        <f>Data!CU38/BD$4*100000*BD$3</f>
        <v>55039.408216282856</v>
      </c>
    </row>
    <row r="38" spans="1:56" ht="12" customHeight="1">
      <c r="A38" s="64"/>
      <c r="B38" s="144" t="str">
        <f>UPPER(LEFT(TRIM(Data!B39),1)) &amp; MID(TRIM(Data!B39),2,50)</f>
        <v>Hodžkino limfomos</v>
      </c>
      <c r="C38" s="123" t="str">
        <f>UPPER(LEFT(TRIM(Data!C39),1)) &amp; MID(TRIM(Data!C39),2,50)</f>
        <v>C81</v>
      </c>
      <c r="D38" s="124">
        <f>Data!BQ39</f>
        <v>28</v>
      </c>
      <c r="E38" s="125">
        <f t="shared" si="4"/>
        <v>1.755215183112824</v>
      </c>
      <c r="F38" s="126">
        <f t="shared" si="5"/>
        <v>1.6972032519755074</v>
      </c>
      <c r="G38" s="126">
        <f t="shared" si="6"/>
        <v>1.6293448649842803</v>
      </c>
      <c r="H38" s="68"/>
      <c r="I38" s="68"/>
      <c r="J38" s="68"/>
      <c r="K38" s="68"/>
      <c r="L38" s="68"/>
      <c r="M38" s="68"/>
      <c r="N38" s="68"/>
      <c r="O38" s="68"/>
      <c r="P38" s="259"/>
      <c r="Q38" s="347" t="s">
        <v>352</v>
      </c>
      <c r="R38" s="345">
        <f t="shared" si="2"/>
        <v>169720.32519755073</v>
      </c>
      <c r="S38" s="345">
        <f>Data!CD39/S$4*100000*S$3</f>
        <v>0</v>
      </c>
      <c r="T38" s="345">
        <f>Data!CE39/T$4*100000*T$3</f>
        <v>0</v>
      </c>
      <c r="U38" s="345">
        <f>Data!CF39/U$4*100000*U$3</f>
        <v>19581.241170958223</v>
      </c>
      <c r="V38" s="345">
        <f>Data!CG39/V$4*100000*V$3</f>
        <v>0</v>
      </c>
      <c r="W38" s="345">
        <f>Data!CH39/W$4*100000*W$3</f>
        <v>33677.809210399711</v>
      </c>
      <c r="X38" s="345">
        <f>Data!CI39/X$4*100000*X$3</f>
        <v>22092.007953122862</v>
      </c>
      <c r="Y38" s="345">
        <f>Data!CJ39/Y$4*100000*Y$3</f>
        <v>24031.034364379138</v>
      </c>
      <c r="Z38" s="345">
        <f>Data!CK39/Z$4*100000*Z$3</f>
        <v>29369.807837543009</v>
      </c>
      <c r="AA38" s="345">
        <f>Data!CL39/AA$4*100000*AA$3</f>
        <v>0</v>
      </c>
      <c r="AB38" s="345">
        <f>Data!CM39/AB$4*100000*AB$3</f>
        <v>6235.58022073954</v>
      </c>
      <c r="AC38" s="345">
        <f>Data!CN39/AC$4*100000*AC$3</f>
        <v>5550.5776565461138</v>
      </c>
      <c r="AD38" s="345">
        <f>Data!CO39/AD$4*100000*AD$3</f>
        <v>5562.4055549890145</v>
      </c>
      <c r="AE38" s="345">
        <f>Data!CP39/AE$4*100000*AE$3</f>
        <v>0</v>
      </c>
      <c r="AF38" s="345">
        <f>Data!CQ39/AF$4*100000*AF$3</f>
        <v>4804.9779571636209</v>
      </c>
      <c r="AG38" s="345">
        <f>Data!CR39/AG$4*100000*AG$3</f>
        <v>13323.562720671507</v>
      </c>
      <c r="AH38" s="345">
        <f>Data!CS39/AH$4*100000*AH$3</f>
        <v>0</v>
      </c>
      <c r="AI38" s="345">
        <f>Data!CT39/AI$4*100000*AI$3</f>
        <v>3289.7442223867097</v>
      </c>
      <c r="AJ38" s="345">
        <f>Data!CU39/AJ$4*100000*AJ$3</f>
        <v>2201.5763286513143</v>
      </c>
      <c r="AK38" s="347" t="s">
        <v>352</v>
      </c>
      <c r="AL38" s="345">
        <f t="shared" si="3"/>
        <v>162934.48649842804</v>
      </c>
      <c r="AM38" s="345">
        <f>Data!CD39/AM$4*100000*AM$3</f>
        <v>0</v>
      </c>
      <c r="AN38" s="345">
        <f>Data!CE39/AN$4*100000*AN$3</f>
        <v>0</v>
      </c>
      <c r="AO38" s="345">
        <f>Data!CF39/AO$4*100000*AO$3</f>
        <v>25175.881505517715</v>
      </c>
      <c r="AP38" s="345">
        <f>Data!CG39/AP$4*100000*AP$3</f>
        <v>0</v>
      </c>
      <c r="AQ38" s="345">
        <f>Data!CH39/AQ$4*100000*AQ$3</f>
        <v>38488.924811885379</v>
      </c>
      <c r="AR38" s="345">
        <f>Data!CI39/AR$4*100000*AR$3</f>
        <v>25248.00908928327</v>
      </c>
      <c r="AS38" s="345">
        <f>Data!CJ39/AS$4*100000*AS$3</f>
        <v>20598.029455182121</v>
      </c>
      <c r="AT38" s="345">
        <f>Data!CK39/AT$4*100000*AT$3</f>
        <v>25174.121003608292</v>
      </c>
      <c r="AU38" s="345">
        <f>Data!CL39/AU$4*100000*AU$3</f>
        <v>0</v>
      </c>
      <c r="AV38" s="345">
        <f>Data!CM39/AV$4*100000*AV$3</f>
        <v>5344.7830463481769</v>
      </c>
      <c r="AW38" s="345">
        <f>Data!CN39/AW$4*100000*AW$3</f>
        <v>3964.6983261043665</v>
      </c>
      <c r="AX38" s="345">
        <f>Data!CO39/AX$4*100000*AX$3</f>
        <v>3708.270369992676</v>
      </c>
      <c r="AY38" s="345">
        <f>Data!CP39/AY$4*100000*AY$3</f>
        <v>0</v>
      </c>
      <c r="AZ38" s="345">
        <f>Data!CQ39/AZ$4*100000*AZ$3</f>
        <v>3603.7334678727161</v>
      </c>
      <c r="BA38" s="345">
        <f>Data!CR39/BA$4*100000*BA$3</f>
        <v>8882.3751471143387</v>
      </c>
      <c r="BB38" s="345">
        <f>Data!CS39/BB$4*100000*BB$3</f>
        <v>0</v>
      </c>
      <c r="BC38" s="345">
        <f>Data!CT39/BC$4*100000*BC$3</f>
        <v>1644.8721111933548</v>
      </c>
      <c r="BD38" s="345">
        <f>Data!CU39/BD$4*100000*BD$3</f>
        <v>1100.7881643256571</v>
      </c>
    </row>
    <row r="39" spans="1:56" ht="12" customHeight="1">
      <c r="A39" s="64"/>
      <c r="B39" s="283" t="str">
        <f>UPPER(LEFT(TRIM(Data!B40),1)) &amp; MID(TRIM(Data!B40),2,50)</f>
        <v>Ne Hodžkino limfomos</v>
      </c>
      <c r="C39" s="284" t="str">
        <f>UPPER(LEFT(TRIM(Data!C40),1)) &amp; MID(TRIM(Data!C40),2,50)</f>
        <v>C82-C85</v>
      </c>
      <c r="D39" s="285">
        <f>Data!BQ40</f>
        <v>190</v>
      </c>
      <c r="E39" s="286">
        <f t="shared" si="4"/>
        <v>11.910388742551305</v>
      </c>
      <c r="F39" s="287">
        <f t="shared" si="5"/>
        <v>7.780912504490642</v>
      </c>
      <c r="G39" s="287">
        <f t="shared" si="6"/>
        <v>5.7843177723347905</v>
      </c>
      <c r="H39" s="68"/>
      <c r="I39" s="68"/>
      <c r="J39" s="68"/>
      <c r="K39" s="68"/>
      <c r="L39" s="68"/>
      <c r="M39" s="68"/>
      <c r="N39" s="68"/>
      <c r="O39" s="68"/>
      <c r="P39" s="259"/>
      <c r="Q39" s="347" t="s">
        <v>352</v>
      </c>
      <c r="R39" s="345">
        <f t="shared" si="2"/>
        <v>778091.25044906419</v>
      </c>
      <c r="S39" s="345">
        <f>Data!CD40/S$4*100000*S$3</f>
        <v>0</v>
      </c>
      <c r="T39" s="345">
        <f>Data!CE40/T$4*100000*T$3</f>
        <v>0</v>
      </c>
      <c r="U39" s="345">
        <f>Data!CF40/U$4*100000*U$3</f>
        <v>0</v>
      </c>
      <c r="V39" s="345">
        <f>Data!CG40/V$4*100000*V$3</f>
        <v>15757.603043468474</v>
      </c>
      <c r="W39" s="345">
        <f>Data!CH40/W$4*100000*W$3</f>
        <v>0</v>
      </c>
      <c r="X39" s="345">
        <f>Data!CI40/X$4*100000*X$3</f>
        <v>36820.013255204773</v>
      </c>
      <c r="Y39" s="345">
        <f>Data!CJ40/Y$4*100000*Y$3</f>
        <v>24031.034364379138</v>
      </c>
      <c r="Z39" s="345">
        <f>Data!CK40/Z$4*100000*Z$3</f>
        <v>44054.711756314508</v>
      </c>
      <c r="AA39" s="345">
        <f>Data!CL40/AA$4*100000*AA$3</f>
        <v>64556.588460970932</v>
      </c>
      <c r="AB39" s="345">
        <f>Data!CM40/AB$4*100000*AB$3</f>
        <v>56120.221986655852</v>
      </c>
      <c r="AC39" s="345">
        <f>Data!CN40/AC$4*100000*AC$3</f>
        <v>33303.465939276684</v>
      </c>
      <c r="AD39" s="345">
        <f>Data!CO40/AD$4*100000*AD$3</f>
        <v>72311.272214857177</v>
      </c>
      <c r="AE39" s="345">
        <f>Data!CP40/AE$4*100000*AE$3</f>
        <v>85931.497432164659</v>
      </c>
      <c r="AF39" s="345">
        <f>Data!CQ40/AF$4*100000*AF$3</f>
        <v>110514.49301476328</v>
      </c>
      <c r="AG39" s="345">
        <f>Data!CR40/AG$4*100000*AG$3</f>
        <v>79941.376324029043</v>
      </c>
      <c r="AH39" s="345">
        <f>Data!CS40/AH$4*100000*AH$3</f>
        <v>69570.402762938844</v>
      </c>
      <c r="AI39" s="345">
        <f>Data!CT40/AI$4*100000*AI$3</f>
        <v>34542.314335060444</v>
      </c>
      <c r="AJ39" s="345">
        <f>Data!CU40/AJ$4*100000*AJ$3</f>
        <v>50636.255558980221</v>
      </c>
      <c r="AK39" s="347" t="s">
        <v>352</v>
      </c>
      <c r="AL39" s="345">
        <f t="shared" si="3"/>
        <v>578431.77723347908</v>
      </c>
      <c r="AM39" s="345">
        <f>Data!CD40/AM$4*100000*AM$3</f>
        <v>0</v>
      </c>
      <c r="AN39" s="345">
        <f>Data!CE40/AN$4*100000*AN$3</f>
        <v>0</v>
      </c>
      <c r="AO39" s="345">
        <f>Data!CF40/AO$4*100000*AO$3</f>
        <v>0</v>
      </c>
      <c r="AP39" s="345">
        <f>Data!CG40/AP$4*100000*AP$3</f>
        <v>20259.775341602326</v>
      </c>
      <c r="AQ39" s="345">
        <f>Data!CH40/AQ$4*100000*AQ$3</f>
        <v>0</v>
      </c>
      <c r="AR39" s="345">
        <f>Data!CI40/AR$4*100000*AR$3</f>
        <v>42080.015148805462</v>
      </c>
      <c r="AS39" s="345">
        <f>Data!CJ40/AS$4*100000*AS$3</f>
        <v>20598.029455182121</v>
      </c>
      <c r="AT39" s="345">
        <f>Data!CK40/AT$4*100000*AT$3</f>
        <v>37761.181505412438</v>
      </c>
      <c r="AU39" s="345">
        <f>Data!CL40/AU$4*100000*AU$3</f>
        <v>55334.218680832229</v>
      </c>
      <c r="AV39" s="345">
        <f>Data!CM40/AV$4*100000*AV$3</f>
        <v>48103.047417133588</v>
      </c>
      <c r="AW39" s="345">
        <f>Data!CN40/AW$4*100000*AW$3</f>
        <v>23788.189956626204</v>
      </c>
      <c r="AX39" s="345">
        <f>Data!CO40/AX$4*100000*AX$3</f>
        <v>48207.514809904787</v>
      </c>
      <c r="AY39" s="345">
        <f>Data!CP40/AY$4*100000*AY$3</f>
        <v>68745.197945731736</v>
      </c>
      <c r="AZ39" s="345">
        <f>Data!CQ40/AZ$4*100000*AZ$3</f>
        <v>82885.869761072463</v>
      </c>
      <c r="BA39" s="345">
        <f>Data!CR40/BA$4*100000*BA$3</f>
        <v>53294.250882686028</v>
      </c>
      <c r="BB39" s="345">
        <f>Data!CS40/BB$4*100000*BB$3</f>
        <v>34785.201381469422</v>
      </c>
      <c r="BC39" s="345">
        <f>Data!CT40/BC$4*100000*BC$3</f>
        <v>17271.157167530222</v>
      </c>
      <c r="BD39" s="345">
        <f>Data!CU40/BD$4*100000*BD$3</f>
        <v>25318.127779490111</v>
      </c>
    </row>
    <row r="40" spans="1:56" ht="12" customHeight="1">
      <c r="A40" s="64"/>
      <c r="B40" s="144" t="str">
        <f>UPPER(LEFT(TRIM(Data!B41),1)) &amp; MID(TRIM(Data!B41),2,50)</f>
        <v>Mielominės ligos</v>
      </c>
      <c r="C40" s="123" t="str">
        <f>UPPER(LEFT(TRIM(Data!C41),1)) &amp; MID(TRIM(Data!C41),2,50)</f>
        <v>C90</v>
      </c>
      <c r="D40" s="124">
        <f>Data!BQ41</f>
        <v>84</v>
      </c>
      <c r="E40" s="125">
        <f t="shared" si="4"/>
        <v>5.2656455493384717</v>
      </c>
      <c r="F40" s="126">
        <f t="shared" si="5"/>
        <v>2.8550395108666549</v>
      </c>
      <c r="G40" s="126">
        <f t="shared" si="6"/>
        <v>1.8963884657221779</v>
      </c>
      <c r="H40" s="68"/>
      <c r="I40" s="68"/>
      <c r="J40" s="68"/>
      <c r="K40" s="68"/>
      <c r="L40" s="68"/>
      <c r="M40" s="68"/>
      <c r="N40" s="68"/>
      <c r="O40" s="68"/>
      <c r="P40" s="259"/>
      <c r="Q40" s="347" t="s">
        <v>352</v>
      </c>
      <c r="R40" s="345">
        <f t="shared" si="2"/>
        <v>285503.9510866655</v>
      </c>
      <c r="S40" s="345">
        <f>Data!CD41/S$4*100000*S$3</f>
        <v>0</v>
      </c>
      <c r="T40" s="345">
        <f>Data!CE41/T$4*100000*T$3</f>
        <v>0</v>
      </c>
      <c r="U40" s="345">
        <f>Data!CF41/U$4*100000*U$3</f>
        <v>0</v>
      </c>
      <c r="V40" s="345">
        <f>Data!CG41/V$4*100000*V$3</f>
        <v>0</v>
      </c>
      <c r="W40" s="345">
        <f>Data!CH41/W$4*100000*W$3</f>
        <v>0</v>
      </c>
      <c r="X40" s="345">
        <f>Data!CI41/X$4*100000*X$3</f>
        <v>0</v>
      </c>
      <c r="Y40" s="345">
        <f>Data!CJ41/Y$4*100000*Y$3</f>
        <v>0</v>
      </c>
      <c r="Z40" s="345">
        <f>Data!CK41/Z$4*100000*Z$3</f>
        <v>7342.4519593857522</v>
      </c>
      <c r="AA40" s="345">
        <f>Data!CL41/AA$4*100000*AA$3</f>
        <v>6455.6588460970934</v>
      </c>
      <c r="AB40" s="345">
        <f>Data!CM41/AB$4*100000*AB$3</f>
        <v>0</v>
      </c>
      <c r="AC40" s="345">
        <f>Data!CN41/AC$4*100000*AC$3</f>
        <v>27752.888282730564</v>
      </c>
      <c r="AD40" s="345">
        <f>Data!CO41/AD$4*100000*AD$3</f>
        <v>27812.027774945076</v>
      </c>
      <c r="AE40" s="345">
        <f>Data!CP41/AE$4*100000*AE$3</f>
        <v>30328.763799587527</v>
      </c>
      <c r="AF40" s="345">
        <f>Data!CQ41/AF$4*100000*AF$3</f>
        <v>62464.713443127082</v>
      </c>
      <c r="AG40" s="345">
        <f>Data!CR41/AG$4*100000*AG$3</f>
        <v>39970.688162014521</v>
      </c>
      <c r="AH40" s="345">
        <f>Data!CS41/AH$4*100000*AH$3</f>
        <v>37269.858623002954</v>
      </c>
      <c r="AI40" s="345">
        <f>Data!CT41/AI$4*100000*AI$3</f>
        <v>32897.442223867096</v>
      </c>
      <c r="AJ40" s="345">
        <f>Data!CU41/AJ$4*100000*AJ$3</f>
        <v>13209.457971907887</v>
      </c>
      <c r="AK40" s="347" t="s">
        <v>352</v>
      </c>
      <c r="AL40" s="345">
        <f t="shared" si="3"/>
        <v>189638.84657221779</v>
      </c>
      <c r="AM40" s="345">
        <f>Data!CD41/AM$4*100000*AM$3</f>
        <v>0</v>
      </c>
      <c r="AN40" s="345">
        <f>Data!CE41/AN$4*100000*AN$3</f>
        <v>0</v>
      </c>
      <c r="AO40" s="345">
        <f>Data!CF41/AO$4*100000*AO$3</f>
        <v>0</v>
      </c>
      <c r="AP40" s="345">
        <f>Data!CG41/AP$4*100000*AP$3</f>
        <v>0</v>
      </c>
      <c r="AQ40" s="345">
        <f>Data!CH41/AQ$4*100000*AQ$3</f>
        <v>0</v>
      </c>
      <c r="AR40" s="345">
        <f>Data!CI41/AR$4*100000*AR$3</f>
        <v>0</v>
      </c>
      <c r="AS40" s="345">
        <f>Data!CJ41/AS$4*100000*AS$3</f>
        <v>0</v>
      </c>
      <c r="AT40" s="345">
        <f>Data!CK41/AT$4*100000*AT$3</f>
        <v>6293.530250902073</v>
      </c>
      <c r="AU40" s="345">
        <f>Data!CL41/AU$4*100000*AU$3</f>
        <v>5533.4218680832228</v>
      </c>
      <c r="AV40" s="345">
        <f>Data!CM41/AV$4*100000*AV$3</f>
        <v>0</v>
      </c>
      <c r="AW40" s="345">
        <f>Data!CN41/AW$4*100000*AW$3</f>
        <v>19823.491630521832</v>
      </c>
      <c r="AX40" s="345">
        <f>Data!CO41/AX$4*100000*AX$3</f>
        <v>18541.351849963383</v>
      </c>
      <c r="AY40" s="345">
        <f>Data!CP41/AY$4*100000*AY$3</f>
        <v>24263.011039670022</v>
      </c>
      <c r="AZ40" s="345">
        <f>Data!CQ41/AZ$4*100000*AZ$3</f>
        <v>46848.535082345312</v>
      </c>
      <c r="BA40" s="345">
        <f>Data!CR41/BA$4*100000*BA$3</f>
        <v>26647.125441343014</v>
      </c>
      <c r="BB40" s="345">
        <f>Data!CS41/BB$4*100000*BB$3</f>
        <v>18634.929311501477</v>
      </c>
      <c r="BC40" s="345">
        <f>Data!CT41/BC$4*100000*BC$3</f>
        <v>16448.721111933548</v>
      </c>
      <c r="BD40" s="345">
        <f>Data!CU41/BD$4*100000*BD$3</f>
        <v>6604.7289859539433</v>
      </c>
    </row>
    <row r="41" spans="1:56" ht="12" customHeight="1">
      <c r="A41" s="64"/>
      <c r="B41" s="283" t="str">
        <f>UPPER(LEFT(TRIM(Data!B42),1)) &amp; MID(TRIM(Data!B42),2,50)</f>
        <v>Leukemijos</v>
      </c>
      <c r="C41" s="284" t="str">
        <f>UPPER(LEFT(TRIM(Data!C42),1)) &amp; MID(TRIM(Data!C42),2,50)</f>
        <v>C91-C95</v>
      </c>
      <c r="D41" s="285">
        <f>Data!BQ42</f>
        <v>220</v>
      </c>
      <c r="E41" s="286">
        <f t="shared" si="4"/>
        <v>13.790976438743616</v>
      </c>
      <c r="F41" s="287">
        <f t="shared" si="5"/>
        <v>8.6395808324240075</v>
      </c>
      <c r="G41" s="287">
        <f t="shared" si="6"/>
        <v>6.73168874914274</v>
      </c>
      <c r="H41" s="68"/>
      <c r="I41" s="68"/>
      <c r="J41" s="68"/>
      <c r="K41" s="68"/>
      <c r="L41" s="68"/>
      <c r="M41" s="68"/>
      <c r="N41" s="68"/>
      <c r="O41" s="68"/>
      <c r="P41" s="259"/>
      <c r="Q41" s="347" t="s">
        <v>352</v>
      </c>
      <c r="R41" s="345">
        <f t="shared" si="2"/>
        <v>863958.08324240067</v>
      </c>
      <c r="S41" s="345">
        <f>Data!CD42/S$4*100000*S$3</f>
        <v>43471.173178286153</v>
      </c>
      <c r="T41" s="345">
        <f>Data!CE42/T$4*100000*T$3</f>
        <v>21220.480795464879</v>
      </c>
      <c r="U41" s="345">
        <f>Data!CF42/U$4*100000*U$3</f>
        <v>29371.861756437331</v>
      </c>
      <c r="V41" s="345">
        <f>Data!CG42/V$4*100000*V$3</f>
        <v>15757.603043468474</v>
      </c>
      <c r="W41" s="345">
        <f>Data!CH42/W$4*100000*W$3</f>
        <v>0</v>
      </c>
      <c r="X41" s="345">
        <f>Data!CI42/X$4*100000*X$3</f>
        <v>7364.0026510409534</v>
      </c>
      <c r="Y41" s="345">
        <f>Data!CJ42/Y$4*100000*Y$3</f>
        <v>8010.344788126381</v>
      </c>
      <c r="Z41" s="345">
        <f>Data!CK42/Z$4*100000*Z$3</f>
        <v>7342.4519593857522</v>
      </c>
      <c r="AA41" s="345">
        <f>Data!CL42/AA$4*100000*AA$3</f>
        <v>25822.635384388373</v>
      </c>
      <c r="AB41" s="345">
        <f>Data!CM42/AB$4*100000*AB$3</f>
        <v>68591.382428134937</v>
      </c>
      <c r="AC41" s="345">
        <f>Data!CN42/AC$4*100000*AC$3</f>
        <v>38854.04359582279</v>
      </c>
      <c r="AD41" s="345">
        <f>Data!CO42/AD$4*100000*AD$3</f>
        <v>77873.67776984621</v>
      </c>
      <c r="AE41" s="345">
        <f>Data!CP42/AE$4*100000*AE$3</f>
        <v>116260.26123175219</v>
      </c>
      <c r="AF41" s="345">
        <f>Data!CQ42/AF$4*100000*AF$3</f>
        <v>100904.53710043606</v>
      </c>
      <c r="AG41" s="345">
        <f>Data!CR42/AG$4*100000*AG$3</f>
        <v>103257.61108520419</v>
      </c>
      <c r="AH41" s="345">
        <f>Data!CS42/AH$4*100000*AH$3</f>
        <v>89447.660695207087</v>
      </c>
      <c r="AI41" s="345">
        <f>Data!CT42/AI$4*100000*AI$3</f>
        <v>57570.523891767421</v>
      </c>
      <c r="AJ41" s="345">
        <f>Data!CU42/AJ$4*100000*AJ$3</f>
        <v>52837.831887631546</v>
      </c>
      <c r="AK41" s="347" t="s">
        <v>352</v>
      </c>
      <c r="AL41" s="345">
        <f t="shared" si="3"/>
        <v>673168.87491427397</v>
      </c>
      <c r="AM41" s="345">
        <f>Data!CD42/AM$4*100000*AM$3</f>
        <v>65206.759767429226</v>
      </c>
      <c r="AN41" s="345">
        <f>Data!CE42/AN$4*100000*AN$3</f>
        <v>30314.972564949829</v>
      </c>
      <c r="AO41" s="345">
        <f>Data!CF42/AO$4*100000*AO$3</f>
        <v>37763.822258276567</v>
      </c>
      <c r="AP41" s="345">
        <f>Data!CG42/AP$4*100000*AP$3</f>
        <v>20259.775341602326</v>
      </c>
      <c r="AQ41" s="345">
        <f>Data!CH42/AQ$4*100000*AQ$3</f>
        <v>0</v>
      </c>
      <c r="AR41" s="345">
        <f>Data!CI42/AR$4*100000*AR$3</f>
        <v>8416.0030297610901</v>
      </c>
      <c r="AS41" s="345">
        <f>Data!CJ42/AS$4*100000*AS$3</f>
        <v>6866.0098183940408</v>
      </c>
      <c r="AT41" s="345">
        <f>Data!CK42/AT$4*100000*AT$3</f>
        <v>6293.530250902073</v>
      </c>
      <c r="AU41" s="345">
        <f>Data!CL42/AU$4*100000*AU$3</f>
        <v>22133.687472332891</v>
      </c>
      <c r="AV41" s="345">
        <f>Data!CM42/AV$4*100000*AV$3</f>
        <v>58792.613509829949</v>
      </c>
      <c r="AW41" s="345">
        <f>Data!CN42/AW$4*100000*AW$3</f>
        <v>27752.888282730564</v>
      </c>
      <c r="AX41" s="345">
        <f>Data!CO42/AX$4*100000*AX$3</f>
        <v>51915.785179897466</v>
      </c>
      <c r="AY41" s="345">
        <f>Data!CP42/AY$4*100000*AY$3</f>
        <v>93008.208985401754</v>
      </c>
      <c r="AZ41" s="345">
        <f>Data!CQ42/AZ$4*100000*AZ$3</f>
        <v>75678.402825327037</v>
      </c>
      <c r="BA41" s="345">
        <f>Data!CR42/BA$4*100000*BA$3</f>
        <v>68838.407390136126</v>
      </c>
      <c r="BB41" s="345">
        <f>Data!CS42/BB$4*100000*BB$3</f>
        <v>44723.830347603543</v>
      </c>
      <c r="BC41" s="345">
        <f>Data!CT42/BC$4*100000*BC$3</f>
        <v>28785.261945883711</v>
      </c>
      <c r="BD41" s="345">
        <f>Data!CU42/BD$4*100000*BD$3</f>
        <v>26418.915943815773</v>
      </c>
    </row>
    <row r="42" spans="1:56" ht="12" customHeight="1">
      <c r="A42" s="64"/>
      <c r="B42" s="144" t="str">
        <f>UPPER(LEFT(TRIM(Data!B43),1)) &amp; MID(TRIM(Data!B43),2,50)</f>
        <v>Kiti limfinio, kraujodaros audinių</v>
      </c>
      <c r="C42" s="123" t="str">
        <f>UPPER(LEFT(TRIM(Data!C43),1)) &amp; MID(TRIM(Data!C43),2,50)</f>
        <v>C88, C96</v>
      </c>
      <c r="D42" s="124">
        <f>Data!BQ43</f>
        <v>5</v>
      </c>
      <c r="E42" s="125">
        <f t="shared" si="4"/>
        <v>0.31343128269871856</v>
      </c>
      <c r="F42" s="126">
        <f t="shared" si="5"/>
        <v>0.2274543450305016</v>
      </c>
      <c r="G42" s="126">
        <f t="shared" si="6"/>
        <v>0.19130958718131499</v>
      </c>
      <c r="H42" s="68"/>
      <c r="I42" s="68"/>
      <c r="J42" s="68"/>
      <c r="K42" s="68"/>
      <c r="L42" s="68"/>
      <c r="M42" s="68"/>
      <c r="N42" s="68"/>
      <c r="O42" s="68"/>
      <c r="P42" s="259"/>
      <c r="Q42" s="347" t="s">
        <v>352</v>
      </c>
      <c r="R42" s="345">
        <f t="shared" si="2"/>
        <v>22745.434503050161</v>
      </c>
      <c r="S42" s="345">
        <f>Data!CD43/S$4*100000*S$3</f>
        <v>0</v>
      </c>
      <c r="T42" s="345">
        <f>Data!CE43/T$4*100000*T$3</f>
        <v>0</v>
      </c>
      <c r="U42" s="345">
        <f>Data!CF43/U$4*100000*U$3</f>
        <v>0</v>
      </c>
      <c r="V42" s="345">
        <f>Data!CG43/V$4*100000*V$3</f>
        <v>0</v>
      </c>
      <c r="W42" s="345">
        <f>Data!CH43/W$4*100000*W$3</f>
        <v>6735.561842079941</v>
      </c>
      <c r="X42" s="345">
        <f>Data!CI43/X$4*100000*X$3</f>
        <v>0</v>
      </c>
      <c r="Y42" s="345">
        <f>Data!CJ43/Y$4*100000*Y$3</f>
        <v>0</v>
      </c>
      <c r="Z42" s="345">
        <f>Data!CK43/Z$4*100000*Z$3</f>
        <v>0</v>
      </c>
      <c r="AA42" s="345">
        <f>Data!CL43/AA$4*100000*AA$3</f>
        <v>0</v>
      </c>
      <c r="AB42" s="345">
        <f>Data!CM43/AB$4*100000*AB$3</f>
        <v>6235.58022073954</v>
      </c>
      <c r="AC42" s="345">
        <f>Data!CN43/AC$4*100000*AC$3</f>
        <v>0</v>
      </c>
      <c r="AD42" s="345">
        <f>Data!CO43/AD$4*100000*AD$3</f>
        <v>0</v>
      </c>
      <c r="AE42" s="345">
        <f>Data!CP43/AE$4*100000*AE$3</f>
        <v>0</v>
      </c>
      <c r="AF42" s="345">
        <f>Data!CQ43/AF$4*100000*AF$3</f>
        <v>4804.9779571636209</v>
      </c>
      <c r="AG42" s="345">
        <f>Data!CR43/AG$4*100000*AG$3</f>
        <v>0</v>
      </c>
      <c r="AH42" s="345">
        <f>Data!CS43/AH$4*100000*AH$3</f>
        <v>4969.3144830670608</v>
      </c>
      <c r="AI42" s="345">
        <f>Data!CT43/AI$4*100000*AI$3</f>
        <v>0</v>
      </c>
      <c r="AJ42" s="345">
        <f>Data!CU43/AJ$4*100000*AJ$3</f>
        <v>0</v>
      </c>
      <c r="AK42" s="347" t="s">
        <v>352</v>
      </c>
      <c r="AL42" s="345">
        <f t="shared" si="3"/>
        <v>19130.9587181315</v>
      </c>
      <c r="AM42" s="345">
        <f>Data!CD43/AM$4*100000*AM$3</f>
        <v>0</v>
      </c>
      <c r="AN42" s="345">
        <f>Data!CE43/AN$4*100000*AN$3</f>
        <v>0</v>
      </c>
      <c r="AO42" s="345">
        <f>Data!CF43/AO$4*100000*AO$3</f>
        <v>0</v>
      </c>
      <c r="AP42" s="345">
        <f>Data!CG43/AP$4*100000*AP$3</f>
        <v>0</v>
      </c>
      <c r="AQ42" s="345">
        <f>Data!CH43/AQ$4*100000*AQ$3</f>
        <v>7697.7849623770753</v>
      </c>
      <c r="AR42" s="345">
        <f>Data!CI43/AR$4*100000*AR$3</f>
        <v>0</v>
      </c>
      <c r="AS42" s="345">
        <f>Data!CJ43/AS$4*100000*AS$3</f>
        <v>0</v>
      </c>
      <c r="AT42" s="345">
        <f>Data!CK43/AT$4*100000*AT$3</f>
        <v>0</v>
      </c>
      <c r="AU42" s="345">
        <f>Data!CL43/AU$4*100000*AU$3</f>
        <v>0</v>
      </c>
      <c r="AV42" s="345">
        <f>Data!CM43/AV$4*100000*AV$3</f>
        <v>5344.7830463481769</v>
      </c>
      <c r="AW42" s="345">
        <f>Data!CN43/AW$4*100000*AW$3</f>
        <v>0</v>
      </c>
      <c r="AX42" s="345">
        <f>Data!CO43/AX$4*100000*AX$3</f>
        <v>0</v>
      </c>
      <c r="AY42" s="345">
        <f>Data!CP43/AY$4*100000*AY$3</f>
        <v>0</v>
      </c>
      <c r="AZ42" s="345">
        <f>Data!CQ43/AZ$4*100000*AZ$3</f>
        <v>3603.7334678727161</v>
      </c>
      <c r="BA42" s="345">
        <f>Data!CR43/BA$4*100000*BA$3</f>
        <v>0</v>
      </c>
      <c r="BB42" s="345">
        <f>Data!CS43/BB$4*100000*BB$3</f>
        <v>2484.6572415335304</v>
      </c>
      <c r="BC42" s="345">
        <f>Data!CT43/BC$4*100000*BC$3</f>
        <v>0</v>
      </c>
      <c r="BD42" s="345">
        <f>Data!CU43/BD$4*100000*BD$3</f>
        <v>0</v>
      </c>
    </row>
    <row r="43" spans="1:56" ht="24" customHeight="1">
      <c r="A43" s="64"/>
      <c r="B43" s="288"/>
      <c r="C43" s="288"/>
      <c r="D43" s="289"/>
      <c r="E43" s="290"/>
      <c r="F43" s="291"/>
      <c r="G43" s="291"/>
      <c r="H43" s="68"/>
      <c r="I43" s="68"/>
      <c r="J43" s="68"/>
      <c r="K43" s="68"/>
      <c r="L43" s="68"/>
      <c r="M43" s="68"/>
      <c r="N43" s="68"/>
      <c r="O43" s="68"/>
      <c r="P43" s="259"/>
      <c r="Q43" s="347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5"/>
      <c r="AK43" s="347"/>
      <c r="AL43" s="345"/>
      <c r="AM43" s="345"/>
      <c r="AN43" s="345"/>
      <c r="AO43" s="345"/>
      <c r="AP43" s="345"/>
      <c r="AQ43" s="345"/>
      <c r="AR43" s="345"/>
      <c r="AS43" s="345"/>
      <c r="AT43" s="345"/>
      <c r="AU43" s="345"/>
      <c r="AV43" s="345"/>
      <c r="AW43" s="345"/>
      <c r="AX43" s="345"/>
      <c r="AY43" s="345"/>
      <c r="AZ43" s="345"/>
      <c r="BA43" s="345"/>
      <c r="BB43" s="345"/>
      <c r="BC43" s="345"/>
      <c r="BD43" s="345"/>
    </row>
    <row r="44" spans="1:56" ht="12" customHeight="1">
      <c r="A44" s="64"/>
      <c r="B44" s="144" t="str">
        <f>UPPER(LEFT(TRIM(Data!B44),1)) &amp; MID(TRIM(Data!B44),2,50)</f>
        <v>Melanoma in situ</v>
      </c>
      <c r="C44" s="123" t="str">
        <f>UPPER(LEFT(TRIM(Data!C44),1)) &amp; MID(TRIM(Data!C44),2,50)</f>
        <v>D03</v>
      </c>
      <c r="D44" s="124">
        <f>Data!BQ44</f>
        <v>28</v>
      </c>
      <c r="E44" s="125">
        <f t="shared" si="4"/>
        <v>1.755215183112824</v>
      </c>
      <c r="F44" s="126">
        <f t="shared" si="5"/>
        <v>1.2714141646586135</v>
      </c>
      <c r="G44" s="126">
        <f t="shared" si="6"/>
        <v>0.9567559689705567</v>
      </c>
      <c r="H44" s="68"/>
      <c r="I44" s="68"/>
      <c r="J44" s="68"/>
      <c r="K44" s="68"/>
      <c r="L44" s="68"/>
      <c r="M44" s="68"/>
      <c r="N44" s="68"/>
      <c r="O44" s="68"/>
      <c r="P44" s="259"/>
      <c r="Q44" s="347" t="s">
        <v>352</v>
      </c>
      <c r="R44" s="345">
        <f t="shared" si="2"/>
        <v>127141.41646586134</v>
      </c>
      <c r="S44" s="345">
        <f>Data!CD44/S$4*100000*S$3</f>
        <v>0</v>
      </c>
      <c r="T44" s="345">
        <f>Data!CE44/T$4*100000*T$3</f>
        <v>0</v>
      </c>
      <c r="U44" s="345">
        <f>Data!CF44/U$4*100000*U$3</f>
        <v>0</v>
      </c>
      <c r="V44" s="345">
        <f>Data!CG44/V$4*100000*V$3</f>
        <v>0</v>
      </c>
      <c r="W44" s="345">
        <f>Data!CH44/W$4*100000*W$3</f>
        <v>0</v>
      </c>
      <c r="X44" s="345">
        <f>Data!CI44/X$4*100000*X$3</f>
        <v>7364.0026510409534</v>
      </c>
      <c r="Y44" s="345">
        <f>Data!CJ44/Y$4*100000*Y$3</f>
        <v>0</v>
      </c>
      <c r="Z44" s="345">
        <f>Data!CK44/Z$4*100000*Z$3</f>
        <v>7342.4519593857522</v>
      </c>
      <c r="AA44" s="345">
        <f>Data!CL44/AA$4*100000*AA$3</f>
        <v>6455.6588460970934</v>
      </c>
      <c r="AB44" s="345">
        <f>Data!CM44/AB$4*100000*AB$3</f>
        <v>12471.16044147908</v>
      </c>
      <c r="AC44" s="345">
        <f>Data!CN44/AC$4*100000*AC$3</f>
        <v>5550.5776565461138</v>
      </c>
      <c r="AD44" s="345">
        <f>Data!CO44/AD$4*100000*AD$3</f>
        <v>22249.622219956058</v>
      </c>
      <c r="AE44" s="345">
        <f>Data!CP44/AE$4*100000*AE$3</f>
        <v>20219.175866391684</v>
      </c>
      <c r="AF44" s="345">
        <f>Data!CQ44/AF$4*100000*AF$3</f>
        <v>19219.911828654484</v>
      </c>
      <c r="AG44" s="345">
        <f>Data!CR44/AG$4*100000*AG$3</f>
        <v>13323.562720671507</v>
      </c>
      <c r="AH44" s="345">
        <f>Data!CS44/AH$4*100000*AH$3</f>
        <v>7453.9717246005912</v>
      </c>
      <c r="AI44" s="345">
        <f>Data!CT44/AI$4*100000*AI$3</f>
        <v>3289.7442223867097</v>
      </c>
      <c r="AJ44" s="345">
        <f>Data!CU44/AJ$4*100000*AJ$3</f>
        <v>2201.5763286513143</v>
      </c>
      <c r="AK44" s="347" t="s">
        <v>352</v>
      </c>
      <c r="AL44" s="345">
        <f t="shared" si="3"/>
        <v>95675.596897055671</v>
      </c>
      <c r="AM44" s="345">
        <f>Data!CD44/AM$4*100000*AM$3</f>
        <v>0</v>
      </c>
      <c r="AN44" s="345">
        <f>Data!CE44/AN$4*100000*AN$3</f>
        <v>0</v>
      </c>
      <c r="AO44" s="345">
        <f>Data!CF44/AO$4*100000*AO$3</f>
        <v>0</v>
      </c>
      <c r="AP44" s="345">
        <f>Data!CG44/AP$4*100000*AP$3</f>
        <v>0</v>
      </c>
      <c r="AQ44" s="345">
        <f>Data!CH44/AQ$4*100000*AQ$3</f>
        <v>0</v>
      </c>
      <c r="AR44" s="345">
        <f>Data!CI44/AR$4*100000*AR$3</f>
        <v>8416.0030297610901</v>
      </c>
      <c r="AS44" s="345">
        <f>Data!CJ44/AS$4*100000*AS$3</f>
        <v>0</v>
      </c>
      <c r="AT44" s="345">
        <f>Data!CK44/AT$4*100000*AT$3</f>
        <v>6293.530250902073</v>
      </c>
      <c r="AU44" s="345">
        <f>Data!CL44/AU$4*100000*AU$3</f>
        <v>5533.4218680832228</v>
      </c>
      <c r="AV44" s="345">
        <f>Data!CM44/AV$4*100000*AV$3</f>
        <v>10689.566092696354</v>
      </c>
      <c r="AW44" s="345">
        <f>Data!CN44/AW$4*100000*AW$3</f>
        <v>3964.6983261043665</v>
      </c>
      <c r="AX44" s="345">
        <f>Data!CO44/AX$4*100000*AX$3</f>
        <v>14833.081479970704</v>
      </c>
      <c r="AY44" s="345">
        <f>Data!CP44/AY$4*100000*AY$3</f>
        <v>16175.340693113349</v>
      </c>
      <c r="AZ44" s="345">
        <f>Data!CQ44/AZ$4*100000*AZ$3</f>
        <v>14414.933871490864</v>
      </c>
      <c r="BA44" s="345">
        <f>Data!CR44/BA$4*100000*BA$3</f>
        <v>8882.3751471143387</v>
      </c>
      <c r="BB44" s="345">
        <f>Data!CS44/BB$4*100000*BB$3</f>
        <v>3726.9858623002956</v>
      </c>
      <c r="BC44" s="345">
        <f>Data!CT44/BC$4*100000*BC$3</f>
        <v>1644.8721111933548</v>
      </c>
      <c r="BD44" s="345">
        <f>Data!CU44/BD$4*100000*BD$3</f>
        <v>1100.7881643256571</v>
      </c>
    </row>
    <row r="45" spans="1:56" ht="12" customHeight="1">
      <c r="A45" s="64"/>
      <c r="B45" s="283" t="str">
        <f>UPPER(LEFT(TRIM(Data!B45),1)) &amp; MID(TRIM(Data!B45),2,50)</f>
        <v>Krūties navikai in situ</v>
      </c>
      <c r="C45" s="284" t="str">
        <f>UPPER(LEFT(TRIM(Data!C45),1)) &amp; MID(TRIM(Data!C45),2,50)</f>
        <v>D05</v>
      </c>
      <c r="D45" s="285">
        <f>Data!BQ45</f>
        <v>97</v>
      </c>
      <c r="E45" s="286">
        <f t="shared" si="4"/>
        <v>6.0805668843551404</v>
      </c>
      <c r="F45" s="287">
        <f t="shared" si="5"/>
        <v>4.9511158334955994</v>
      </c>
      <c r="G45" s="287">
        <f t="shared" si="6"/>
        <v>3.7586984568099999</v>
      </c>
      <c r="H45" s="68"/>
      <c r="I45" s="68"/>
      <c r="J45" s="68"/>
      <c r="K45" s="68"/>
      <c r="L45" s="68"/>
      <c r="M45" s="68"/>
      <c r="N45" s="68"/>
      <c r="O45" s="68"/>
      <c r="P45" s="259"/>
      <c r="Q45" s="347" t="s">
        <v>352</v>
      </c>
      <c r="R45" s="345">
        <f t="shared" si="2"/>
        <v>495111.58334955992</v>
      </c>
      <c r="S45" s="345">
        <f>Data!CD45/S$4*100000*S$3</f>
        <v>0</v>
      </c>
      <c r="T45" s="345">
        <f>Data!CE45/T$4*100000*T$3</f>
        <v>0</v>
      </c>
      <c r="U45" s="345">
        <f>Data!CF45/U$4*100000*U$3</f>
        <v>0</v>
      </c>
      <c r="V45" s="345">
        <f>Data!CG45/V$4*100000*V$3</f>
        <v>0</v>
      </c>
      <c r="W45" s="345">
        <f>Data!CH45/W$4*100000*W$3</f>
        <v>0</v>
      </c>
      <c r="X45" s="345">
        <f>Data!CI45/X$4*100000*X$3</f>
        <v>0</v>
      </c>
      <c r="Y45" s="345">
        <f>Data!CJ45/Y$4*100000*Y$3</f>
        <v>0</v>
      </c>
      <c r="Z45" s="345">
        <f>Data!CK45/Z$4*100000*Z$3</f>
        <v>36712.25979692876</v>
      </c>
      <c r="AA45" s="345">
        <f>Data!CL45/AA$4*100000*AA$3</f>
        <v>25822.635384388373</v>
      </c>
      <c r="AB45" s="345">
        <f>Data!CM45/AB$4*100000*AB$3</f>
        <v>93533.703311093108</v>
      </c>
      <c r="AC45" s="345">
        <f>Data!CN45/AC$4*100000*AC$3</f>
        <v>138764.44141365285</v>
      </c>
      <c r="AD45" s="345">
        <f>Data!CO45/AD$4*100000*AD$3</f>
        <v>33374.433329934087</v>
      </c>
      <c r="AE45" s="345">
        <f>Data!CP45/AE$4*100000*AE$3</f>
        <v>65712.321565772974</v>
      </c>
      <c r="AF45" s="345">
        <f>Data!CQ45/AF$4*100000*AF$3</f>
        <v>48049.779571636216</v>
      </c>
      <c r="AG45" s="345">
        <f>Data!CR45/AG$4*100000*AG$3</f>
        <v>33308.906801678771</v>
      </c>
      <c r="AH45" s="345">
        <f>Data!CS45/AH$4*100000*AH$3</f>
        <v>9938.6289661341216</v>
      </c>
      <c r="AI45" s="345">
        <f>Data!CT45/AI$4*100000*AI$3</f>
        <v>3289.7442223867097</v>
      </c>
      <c r="AJ45" s="345">
        <f>Data!CU45/AJ$4*100000*AJ$3</f>
        <v>6604.7289859539433</v>
      </c>
      <c r="AK45" s="347" t="s">
        <v>352</v>
      </c>
      <c r="AL45" s="345">
        <f t="shared" si="3"/>
        <v>375869.84568099998</v>
      </c>
      <c r="AM45" s="345">
        <f>Data!CD45/AM$4*100000*AM$3</f>
        <v>0</v>
      </c>
      <c r="AN45" s="345">
        <f>Data!CE45/AN$4*100000*AN$3</f>
        <v>0</v>
      </c>
      <c r="AO45" s="345">
        <f>Data!CF45/AO$4*100000*AO$3</f>
        <v>0</v>
      </c>
      <c r="AP45" s="345">
        <f>Data!CG45/AP$4*100000*AP$3</f>
        <v>0</v>
      </c>
      <c r="AQ45" s="345">
        <f>Data!CH45/AQ$4*100000*AQ$3</f>
        <v>0</v>
      </c>
      <c r="AR45" s="345">
        <f>Data!CI45/AR$4*100000*AR$3</f>
        <v>0</v>
      </c>
      <c r="AS45" s="345">
        <f>Data!CJ45/AS$4*100000*AS$3</f>
        <v>0</v>
      </c>
      <c r="AT45" s="345">
        <f>Data!CK45/AT$4*100000*AT$3</f>
        <v>31467.651254510365</v>
      </c>
      <c r="AU45" s="345">
        <f>Data!CL45/AU$4*100000*AU$3</f>
        <v>22133.687472332891</v>
      </c>
      <c r="AV45" s="345">
        <f>Data!CM45/AV$4*100000*AV$3</f>
        <v>80171.745695222664</v>
      </c>
      <c r="AW45" s="345">
        <f>Data!CN45/AW$4*100000*AW$3</f>
        <v>99117.458152609179</v>
      </c>
      <c r="AX45" s="345">
        <f>Data!CO45/AX$4*100000*AX$3</f>
        <v>22249.622219956054</v>
      </c>
      <c r="AY45" s="345">
        <f>Data!CP45/AY$4*100000*AY$3</f>
        <v>52569.857252618385</v>
      </c>
      <c r="AZ45" s="345">
        <f>Data!CQ45/AZ$4*100000*AZ$3</f>
        <v>36037.334678727158</v>
      </c>
      <c r="BA45" s="345">
        <f>Data!CR45/BA$4*100000*BA$3</f>
        <v>22205.937867785844</v>
      </c>
      <c r="BB45" s="345">
        <f>Data!CS45/BB$4*100000*BB$3</f>
        <v>4969.3144830670608</v>
      </c>
      <c r="BC45" s="345">
        <f>Data!CT45/BC$4*100000*BC$3</f>
        <v>1644.8721111933548</v>
      </c>
      <c r="BD45" s="345">
        <f>Data!CU45/BD$4*100000*BD$3</f>
        <v>3302.3644929769716</v>
      </c>
    </row>
    <row r="46" spans="1:56" ht="12" customHeight="1">
      <c r="A46" s="64"/>
      <c r="B46" s="144" t="str">
        <f>UPPER(LEFT(TRIM(Data!B46),1)) &amp; MID(TRIM(Data!B46),2,50)</f>
        <v>Gimdos kaklelio in situ</v>
      </c>
      <c r="C46" s="123" t="str">
        <f>UPPER(LEFT(TRIM(Data!C46),1)) &amp; MID(TRIM(Data!C46),2,50)</f>
        <v>D06</v>
      </c>
      <c r="D46" s="124">
        <f>Data!BQ46</f>
        <v>722</v>
      </c>
      <c r="E46" s="125">
        <f t="shared" si="4"/>
        <v>45.259477221694965</v>
      </c>
      <c r="F46" s="126">
        <f t="shared" si="5"/>
        <v>51.246066143401443</v>
      </c>
      <c r="G46" s="126">
        <f t="shared" si="6"/>
        <v>47.099643253267125</v>
      </c>
      <c r="H46" s="68"/>
      <c r="I46" s="68"/>
      <c r="J46" s="68"/>
      <c r="K46" s="68"/>
      <c r="L46" s="68"/>
      <c r="M46" s="68"/>
      <c r="N46" s="68"/>
      <c r="O46" s="68"/>
      <c r="P46" s="259"/>
      <c r="Q46" s="347" t="s">
        <v>352</v>
      </c>
      <c r="R46" s="345">
        <f t="shared" si="2"/>
        <v>5124606.6143401442</v>
      </c>
      <c r="S46" s="345">
        <f>Data!CD46/S$4*100000*S$3</f>
        <v>0</v>
      </c>
      <c r="T46" s="345">
        <f>Data!CE46/T$4*100000*T$3</f>
        <v>0</v>
      </c>
      <c r="U46" s="345">
        <f>Data!CF46/U$4*100000*U$3</f>
        <v>0</v>
      </c>
      <c r="V46" s="345">
        <f>Data!CG46/V$4*100000*V$3</f>
        <v>0</v>
      </c>
      <c r="W46" s="345">
        <f>Data!CH46/W$4*100000*W$3</f>
        <v>53884.494736639528</v>
      </c>
      <c r="X46" s="345">
        <f>Data!CI46/X$4*100000*X$3</f>
        <v>1266608.4559790441</v>
      </c>
      <c r="Y46" s="345">
        <f>Data!CJ46/Y$4*100000*Y$3</f>
        <v>1497934.475379633</v>
      </c>
      <c r="Z46" s="345">
        <f>Data!CK46/Z$4*100000*Z$3</f>
        <v>888436.68708567589</v>
      </c>
      <c r="AA46" s="345">
        <f>Data!CL46/AA$4*100000*AA$3</f>
        <v>658477.20230190351</v>
      </c>
      <c r="AB46" s="345">
        <f>Data!CM46/AB$4*100000*AB$3</f>
        <v>367899.23302363284</v>
      </c>
      <c r="AC46" s="345">
        <f>Data!CN46/AC$4*100000*AC$3</f>
        <v>227573.68391839066</v>
      </c>
      <c r="AD46" s="345">
        <f>Data!CO46/AD$4*100000*AD$3</f>
        <v>111248.1110997803</v>
      </c>
      <c r="AE46" s="345">
        <f>Data!CP46/AE$4*100000*AE$3</f>
        <v>20219.175866391684</v>
      </c>
      <c r="AF46" s="345">
        <f>Data!CQ46/AF$4*100000*AF$3</f>
        <v>24024.889785818108</v>
      </c>
      <c r="AG46" s="345">
        <f>Data!CR46/AG$4*100000*AG$3</f>
        <v>3330.8906801678768</v>
      </c>
      <c r="AH46" s="345">
        <f>Data!CS46/AH$4*100000*AH$3</f>
        <v>4969.3144830670608</v>
      </c>
      <c r="AI46" s="345">
        <f>Data!CT46/AI$4*100000*AI$3</f>
        <v>0</v>
      </c>
      <c r="AJ46" s="345">
        <f>Data!CU46/AJ$4*100000*AJ$3</f>
        <v>0</v>
      </c>
      <c r="AK46" s="347" t="s">
        <v>352</v>
      </c>
      <c r="AL46" s="345">
        <f t="shared" si="3"/>
        <v>4709964.3253267128</v>
      </c>
      <c r="AM46" s="345">
        <f>Data!CD46/AM$4*100000*AM$3</f>
        <v>0</v>
      </c>
      <c r="AN46" s="345">
        <f>Data!CE46/AN$4*100000*AN$3</f>
        <v>0</v>
      </c>
      <c r="AO46" s="345">
        <f>Data!CF46/AO$4*100000*AO$3</f>
        <v>0</v>
      </c>
      <c r="AP46" s="345">
        <f>Data!CG46/AP$4*100000*AP$3</f>
        <v>0</v>
      </c>
      <c r="AQ46" s="345">
        <f>Data!CH46/AQ$4*100000*AQ$3</f>
        <v>61582.279699016603</v>
      </c>
      <c r="AR46" s="345">
        <f>Data!CI46/AR$4*100000*AR$3</f>
        <v>1447552.5211189077</v>
      </c>
      <c r="AS46" s="345">
        <f>Data!CJ46/AS$4*100000*AS$3</f>
        <v>1283943.8360396854</v>
      </c>
      <c r="AT46" s="345">
        <f>Data!CK46/AT$4*100000*AT$3</f>
        <v>761517.16035915073</v>
      </c>
      <c r="AU46" s="345">
        <f>Data!CL46/AU$4*100000*AU$3</f>
        <v>564409.03054448869</v>
      </c>
      <c r="AV46" s="345">
        <f>Data!CM46/AV$4*100000*AV$3</f>
        <v>315342.19973454246</v>
      </c>
      <c r="AW46" s="345">
        <f>Data!CN46/AW$4*100000*AW$3</f>
        <v>162552.63137027904</v>
      </c>
      <c r="AX46" s="345">
        <f>Data!CO46/AX$4*100000*AX$3</f>
        <v>74165.407399853531</v>
      </c>
      <c r="AY46" s="345">
        <f>Data!CP46/AY$4*100000*AY$3</f>
        <v>16175.340693113349</v>
      </c>
      <c r="AZ46" s="345">
        <f>Data!CQ46/AZ$4*100000*AZ$3</f>
        <v>18018.667339363579</v>
      </c>
      <c r="BA46" s="345">
        <f>Data!CR46/BA$4*100000*BA$3</f>
        <v>2220.5937867785847</v>
      </c>
      <c r="BB46" s="345">
        <f>Data!CS46/BB$4*100000*BB$3</f>
        <v>2484.6572415335304</v>
      </c>
      <c r="BC46" s="345">
        <f>Data!CT46/BC$4*100000*BC$3</f>
        <v>0</v>
      </c>
      <c r="BD46" s="345">
        <f>Data!CU46/BD$4*100000*BD$3</f>
        <v>0</v>
      </c>
    </row>
    <row r="47" spans="1:56" ht="12" customHeight="1">
      <c r="A47" s="64"/>
      <c r="B47" s="283" t="str">
        <f>UPPER(LEFT(TRIM(Data!B47),1)) &amp; MID(TRIM(Data!B47),2,50)</f>
        <v>Šlapimo pūslės in situ</v>
      </c>
      <c r="C47" s="284" t="str">
        <f>UPPER(LEFT(TRIM(Data!C47),1)) &amp; MID(TRIM(Data!C47),2,50)</f>
        <v>D09.0</v>
      </c>
      <c r="D47" s="285">
        <f>Data!BQ47</f>
        <v>37</v>
      </c>
      <c r="E47" s="286">
        <f t="shared" si="4"/>
        <v>2.3193914919705176</v>
      </c>
      <c r="F47" s="287">
        <f t="shared" si="5"/>
        <v>1.4895104391653649</v>
      </c>
      <c r="G47" s="287">
        <f t="shared" si="6"/>
        <v>1.0917811242613429</v>
      </c>
      <c r="H47" s="68"/>
      <c r="I47" s="68"/>
      <c r="J47" s="68"/>
      <c r="K47" s="68"/>
      <c r="L47" s="68"/>
      <c r="M47" s="68"/>
      <c r="N47" s="68"/>
      <c r="O47" s="68"/>
      <c r="P47" s="259"/>
      <c r="Q47" s="347" t="s">
        <v>352</v>
      </c>
      <c r="R47" s="345">
        <f t="shared" si="2"/>
        <v>148951.0439165365</v>
      </c>
      <c r="S47" s="345">
        <f>Data!CD47/S$4*100000*S$3</f>
        <v>0</v>
      </c>
      <c r="T47" s="345">
        <f>Data!CE47/T$4*100000*T$3</f>
        <v>0</v>
      </c>
      <c r="U47" s="345">
        <f>Data!CF47/U$4*100000*U$3</f>
        <v>0</v>
      </c>
      <c r="V47" s="345">
        <f>Data!CG47/V$4*100000*V$3</f>
        <v>7878.8015217342372</v>
      </c>
      <c r="W47" s="345">
        <f>Data!CH47/W$4*100000*W$3</f>
        <v>0</v>
      </c>
      <c r="X47" s="345">
        <f>Data!CI47/X$4*100000*X$3</f>
        <v>0</v>
      </c>
      <c r="Y47" s="345">
        <f>Data!CJ47/Y$4*100000*Y$3</f>
        <v>0</v>
      </c>
      <c r="Z47" s="345">
        <f>Data!CK47/Z$4*100000*Z$3</f>
        <v>0</v>
      </c>
      <c r="AA47" s="345">
        <f>Data!CL47/AA$4*100000*AA$3</f>
        <v>6455.6588460970934</v>
      </c>
      <c r="AB47" s="345">
        <f>Data!CM47/AB$4*100000*AB$3</f>
        <v>6235.58022073954</v>
      </c>
      <c r="AC47" s="345">
        <f>Data!CN47/AC$4*100000*AC$3</f>
        <v>5550.5776565461138</v>
      </c>
      <c r="AD47" s="345">
        <f>Data!CO47/AD$4*100000*AD$3</f>
        <v>22249.622219956058</v>
      </c>
      <c r="AE47" s="345">
        <f>Data!CP47/AE$4*100000*AE$3</f>
        <v>30328.763799587527</v>
      </c>
      <c r="AF47" s="345">
        <f>Data!CQ47/AF$4*100000*AF$3</f>
        <v>28829.867742981729</v>
      </c>
      <c r="AG47" s="345">
        <f>Data!CR47/AG$4*100000*AG$3</f>
        <v>16654.453400839386</v>
      </c>
      <c r="AH47" s="345">
        <f>Data!CS47/AH$4*100000*AH$3</f>
        <v>9938.6289661341216</v>
      </c>
      <c r="AI47" s="345">
        <f>Data!CT47/AI$4*100000*AI$3</f>
        <v>8224.360555966774</v>
      </c>
      <c r="AJ47" s="345">
        <f>Data!CU47/AJ$4*100000*AJ$3</f>
        <v>6604.7289859539433</v>
      </c>
      <c r="AK47" s="347" t="s">
        <v>352</v>
      </c>
      <c r="AL47" s="345">
        <f t="shared" si="3"/>
        <v>109178.11242613428</v>
      </c>
      <c r="AM47" s="345">
        <f>Data!CD47/AM$4*100000*AM$3</f>
        <v>0</v>
      </c>
      <c r="AN47" s="345">
        <f>Data!CE47/AN$4*100000*AN$3</f>
        <v>0</v>
      </c>
      <c r="AO47" s="345">
        <f>Data!CF47/AO$4*100000*AO$3</f>
        <v>0</v>
      </c>
      <c r="AP47" s="345">
        <f>Data!CG47/AP$4*100000*AP$3</f>
        <v>10129.887670801163</v>
      </c>
      <c r="AQ47" s="345">
        <f>Data!CH47/AQ$4*100000*AQ$3</f>
        <v>0</v>
      </c>
      <c r="AR47" s="345">
        <f>Data!CI47/AR$4*100000*AR$3</f>
        <v>0</v>
      </c>
      <c r="AS47" s="345">
        <f>Data!CJ47/AS$4*100000*AS$3</f>
        <v>0</v>
      </c>
      <c r="AT47" s="345">
        <f>Data!CK47/AT$4*100000*AT$3</f>
        <v>0</v>
      </c>
      <c r="AU47" s="345">
        <f>Data!CL47/AU$4*100000*AU$3</f>
        <v>5533.4218680832228</v>
      </c>
      <c r="AV47" s="345">
        <f>Data!CM47/AV$4*100000*AV$3</f>
        <v>5344.7830463481769</v>
      </c>
      <c r="AW47" s="345">
        <f>Data!CN47/AW$4*100000*AW$3</f>
        <v>3964.6983261043665</v>
      </c>
      <c r="AX47" s="345">
        <f>Data!CO47/AX$4*100000*AX$3</f>
        <v>14833.081479970704</v>
      </c>
      <c r="AY47" s="345">
        <f>Data!CP47/AY$4*100000*AY$3</f>
        <v>24263.011039670022</v>
      </c>
      <c r="AZ47" s="345">
        <f>Data!CQ47/AZ$4*100000*AZ$3</f>
        <v>21622.400807236296</v>
      </c>
      <c r="BA47" s="345">
        <f>Data!CR47/BA$4*100000*BA$3</f>
        <v>11102.968933892922</v>
      </c>
      <c r="BB47" s="345">
        <f>Data!CS47/BB$4*100000*BB$3</f>
        <v>4969.3144830670608</v>
      </c>
      <c r="BC47" s="345">
        <f>Data!CT47/BC$4*100000*BC$3</f>
        <v>4112.180277983387</v>
      </c>
      <c r="BD47" s="345">
        <f>Data!CU47/BD$4*100000*BD$3</f>
        <v>3302.3644929769716</v>
      </c>
    </row>
    <row r="48" spans="1:56" ht="12" customHeight="1">
      <c r="A48" s="64"/>
      <c r="B48" s="144" t="str">
        <f>UPPER(LEFT(TRIM(Data!B48),1)) &amp; MID(TRIM(Data!B48),2,50)</f>
        <v>Nervų sistemos gerybiniai navikai</v>
      </c>
      <c r="C48" s="123" t="str">
        <f>UPPER(LEFT(TRIM(Data!C48),1)) &amp; MID(TRIM(Data!C48),2,50)</f>
        <v>D32, D33</v>
      </c>
      <c r="D48" s="124">
        <f>Data!BQ48</f>
        <v>114</v>
      </c>
      <c r="E48" s="125">
        <f t="shared" si="4"/>
        <v>7.1462332455307829</v>
      </c>
      <c r="F48" s="126">
        <f t="shared" si="5"/>
        <v>4.925569729598319</v>
      </c>
      <c r="G48" s="126">
        <f t="shared" si="6"/>
        <v>3.6754859898402636</v>
      </c>
      <c r="H48" s="68"/>
      <c r="I48" s="68"/>
      <c r="J48" s="68"/>
      <c r="K48" s="68"/>
      <c r="L48" s="68"/>
      <c r="M48" s="68"/>
      <c r="N48" s="68"/>
      <c r="O48" s="68"/>
      <c r="P48" s="259"/>
      <c r="Q48" s="347" t="s">
        <v>352</v>
      </c>
      <c r="R48" s="345">
        <f t="shared" si="2"/>
        <v>492556.97295983194</v>
      </c>
      <c r="S48" s="345">
        <f>Data!CD48/S$4*100000*S$3</f>
        <v>0</v>
      </c>
      <c r="T48" s="345">
        <f>Data!CE48/T$4*100000*T$3</f>
        <v>0</v>
      </c>
      <c r="U48" s="345">
        <f>Data!CF48/U$4*100000*U$3</f>
        <v>9790.6205854791115</v>
      </c>
      <c r="V48" s="345">
        <f>Data!CG48/V$4*100000*V$3</f>
        <v>7878.8015217342372</v>
      </c>
      <c r="W48" s="345">
        <f>Data!CH48/W$4*100000*W$3</f>
        <v>6735.561842079941</v>
      </c>
      <c r="X48" s="345">
        <f>Data!CI48/X$4*100000*X$3</f>
        <v>0</v>
      </c>
      <c r="Y48" s="345">
        <f>Data!CJ48/Y$4*100000*Y$3</f>
        <v>16020.689576252762</v>
      </c>
      <c r="Z48" s="345">
        <f>Data!CK48/Z$4*100000*Z$3</f>
        <v>22027.355878157254</v>
      </c>
      <c r="AA48" s="345">
        <f>Data!CL48/AA$4*100000*AA$3</f>
        <v>38733.953076582562</v>
      </c>
      <c r="AB48" s="345">
        <f>Data!CM48/AB$4*100000*AB$3</f>
        <v>31177.901103697703</v>
      </c>
      <c r="AC48" s="345">
        <f>Data!CN48/AC$4*100000*AC$3</f>
        <v>55505.776565461128</v>
      </c>
      <c r="AD48" s="345">
        <f>Data!CO48/AD$4*100000*AD$3</f>
        <v>44499.244439912116</v>
      </c>
      <c r="AE48" s="345">
        <f>Data!CP48/AE$4*100000*AE$3</f>
        <v>60657.527599175053</v>
      </c>
      <c r="AF48" s="345">
        <f>Data!CQ48/AF$4*100000*AF$3</f>
        <v>76879.647314617934</v>
      </c>
      <c r="AG48" s="345">
        <f>Data!CR48/AG$4*100000*AG$3</f>
        <v>46632.469522350279</v>
      </c>
      <c r="AH48" s="345">
        <f>Data!CS48/AH$4*100000*AH$3</f>
        <v>39754.515864536486</v>
      </c>
      <c r="AI48" s="345">
        <f>Data!CT48/AI$4*100000*AI$3</f>
        <v>16448.721111933548</v>
      </c>
      <c r="AJ48" s="345">
        <f>Data!CU48/AJ$4*100000*AJ$3</f>
        <v>19814.186957861828</v>
      </c>
      <c r="AK48" s="347" t="s">
        <v>352</v>
      </c>
      <c r="AL48" s="345">
        <f t="shared" si="3"/>
        <v>367548.59898402635</v>
      </c>
      <c r="AM48" s="345">
        <f>Data!CD48/AM$4*100000*AM$3</f>
        <v>0</v>
      </c>
      <c r="AN48" s="345">
        <f>Data!CE48/AN$4*100000*AN$3</f>
        <v>0</v>
      </c>
      <c r="AO48" s="345">
        <f>Data!CF48/AO$4*100000*AO$3</f>
        <v>12587.940752758857</v>
      </c>
      <c r="AP48" s="345">
        <f>Data!CG48/AP$4*100000*AP$3</f>
        <v>10129.887670801163</v>
      </c>
      <c r="AQ48" s="345">
        <f>Data!CH48/AQ$4*100000*AQ$3</f>
        <v>7697.7849623770753</v>
      </c>
      <c r="AR48" s="345">
        <f>Data!CI48/AR$4*100000*AR$3</f>
        <v>0</v>
      </c>
      <c r="AS48" s="345">
        <f>Data!CJ48/AS$4*100000*AS$3</f>
        <v>13732.019636788082</v>
      </c>
      <c r="AT48" s="345">
        <f>Data!CK48/AT$4*100000*AT$3</f>
        <v>18880.590752706219</v>
      </c>
      <c r="AU48" s="345">
        <f>Data!CL48/AU$4*100000*AU$3</f>
        <v>33200.531208499335</v>
      </c>
      <c r="AV48" s="345">
        <f>Data!CM48/AV$4*100000*AV$3</f>
        <v>26723.915231740888</v>
      </c>
      <c r="AW48" s="345">
        <f>Data!CN48/AW$4*100000*AW$3</f>
        <v>39646.983261043664</v>
      </c>
      <c r="AX48" s="345">
        <f>Data!CO48/AX$4*100000*AX$3</f>
        <v>29666.162959941408</v>
      </c>
      <c r="AY48" s="345">
        <f>Data!CP48/AY$4*100000*AY$3</f>
        <v>48526.022079340044</v>
      </c>
      <c r="AZ48" s="345">
        <f>Data!CQ48/AZ$4*100000*AZ$3</f>
        <v>57659.735485963458</v>
      </c>
      <c r="BA48" s="345">
        <f>Data!CR48/BA$4*100000*BA$3</f>
        <v>31088.313014900184</v>
      </c>
      <c r="BB48" s="345">
        <f>Data!CS48/BB$4*100000*BB$3</f>
        <v>19877.257932268243</v>
      </c>
      <c r="BC48" s="345">
        <f>Data!CT48/BC$4*100000*BC$3</f>
        <v>8224.360555966774</v>
      </c>
      <c r="BD48" s="345">
        <f>Data!CU48/BD$4*100000*BD$3</f>
        <v>9907.093478930914</v>
      </c>
    </row>
    <row r="49" spans="1:56" ht="12" customHeight="1">
      <c r="A49" s="64"/>
      <c r="B49" s="283" t="str">
        <f>UPPER(LEFT(TRIM(Data!B49),1)) &amp; MID(TRIM(Data!B49),2,50)</f>
        <v>Kiaušidžių</v>
      </c>
      <c r="C49" s="284" t="str">
        <f>UPPER(LEFT(TRIM(Data!C49),1)) &amp; MID(TRIM(Data!C49),2,50)</f>
        <v>D39.1</v>
      </c>
      <c r="D49" s="285">
        <f>Data!BQ49</f>
        <v>42</v>
      </c>
      <c r="E49" s="286">
        <f t="shared" si="4"/>
        <v>2.6328227746692359</v>
      </c>
      <c r="F49" s="287">
        <f t="shared" si="5"/>
        <v>2.3844801363879053</v>
      </c>
      <c r="G49" s="287">
        <f t="shared" si="6"/>
        <v>1.8807075510536519</v>
      </c>
      <c r="H49" s="68"/>
      <c r="I49" s="68"/>
      <c r="J49" s="68"/>
      <c r="K49" s="68"/>
      <c r="L49" s="68"/>
      <c r="M49" s="68"/>
      <c r="N49" s="68"/>
      <c r="O49" s="68"/>
      <c r="P49" s="259"/>
      <c r="Q49" s="347" t="s">
        <v>352</v>
      </c>
      <c r="R49" s="345">
        <f t="shared" si="2"/>
        <v>238448.01363879055</v>
      </c>
      <c r="S49" s="345">
        <f>Data!CD49/S$4*100000*S$3</f>
        <v>0</v>
      </c>
      <c r="T49" s="345">
        <f>Data!CE49/T$4*100000*T$3</f>
        <v>0</v>
      </c>
      <c r="U49" s="345">
        <f>Data!CF49/U$4*100000*U$3</f>
        <v>0</v>
      </c>
      <c r="V49" s="345">
        <f>Data!CG49/V$4*100000*V$3</f>
        <v>0</v>
      </c>
      <c r="W49" s="345">
        <f>Data!CH49/W$4*100000*W$3</f>
        <v>0</v>
      </c>
      <c r="X49" s="345">
        <f>Data!CI49/X$4*100000*X$3</f>
        <v>14728.005302081907</v>
      </c>
      <c r="Y49" s="345">
        <f>Data!CJ49/Y$4*100000*Y$3</f>
        <v>40051.723940631899</v>
      </c>
      <c r="Z49" s="345">
        <f>Data!CK49/Z$4*100000*Z$3</f>
        <v>36712.25979692876</v>
      </c>
      <c r="AA49" s="345">
        <f>Data!CL49/AA$4*100000*AA$3</f>
        <v>6455.6588460970934</v>
      </c>
      <c r="AB49" s="345">
        <f>Data!CM49/AB$4*100000*AB$3</f>
        <v>18706.740662218617</v>
      </c>
      <c r="AC49" s="345">
        <f>Data!CN49/AC$4*100000*AC$3</f>
        <v>22202.310626184455</v>
      </c>
      <c r="AD49" s="345">
        <f>Data!CO49/AD$4*100000*AD$3</f>
        <v>55624.055549890152</v>
      </c>
      <c r="AE49" s="345">
        <f>Data!CP49/AE$4*100000*AE$3</f>
        <v>10109.587933195842</v>
      </c>
      <c r="AF49" s="345">
        <f>Data!CQ49/AF$4*100000*AF$3</f>
        <v>19219.911828654484</v>
      </c>
      <c r="AG49" s="345">
        <f>Data!CR49/AG$4*100000*AG$3</f>
        <v>6661.7813603357536</v>
      </c>
      <c r="AH49" s="345">
        <f>Data!CS49/AH$4*100000*AH$3</f>
        <v>2484.6572415335304</v>
      </c>
      <c r="AI49" s="345">
        <f>Data!CT49/AI$4*100000*AI$3</f>
        <v>3289.7442223867097</v>
      </c>
      <c r="AJ49" s="345">
        <f>Data!CU49/AJ$4*100000*AJ$3</f>
        <v>2201.5763286513143</v>
      </c>
      <c r="AK49" s="347" t="s">
        <v>352</v>
      </c>
      <c r="AL49" s="345">
        <f t="shared" si="3"/>
        <v>188070.75510536518</v>
      </c>
      <c r="AM49" s="345">
        <f>Data!CD49/AM$4*100000*AM$3</f>
        <v>0</v>
      </c>
      <c r="AN49" s="345">
        <f>Data!CE49/AN$4*100000*AN$3</f>
        <v>0</v>
      </c>
      <c r="AO49" s="345">
        <f>Data!CF49/AO$4*100000*AO$3</f>
        <v>0</v>
      </c>
      <c r="AP49" s="345">
        <f>Data!CG49/AP$4*100000*AP$3</f>
        <v>0</v>
      </c>
      <c r="AQ49" s="345">
        <f>Data!CH49/AQ$4*100000*AQ$3</f>
        <v>0</v>
      </c>
      <c r="AR49" s="345">
        <f>Data!CI49/AR$4*100000*AR$3</f>
        <v>16832.00605952218</v>
      </c>
      <c r="AS49" s="345">
        <f>Data!CJ49/AS$4*100000*AS$3</f>
        <v>34330.049091970199</v>
      </c>
      <c r="AT49" s="345">
        <f>Data!CK49/AT$4*100000*AT$3</f>
        <v>31467.651254510365</v>
      </c>
      <c r="AU49" s="345">
        <f>Data!CL49/AU$4*100000*AU$3</f>
        <v>5533.4218680832228</v>
      </c>
      <c r="AV49" s="345">
        <f>Data!CM49/AV$4*100000*AV$3</f>
        <v>16034.349139044529</v>
      </c>
      <c r="AW49" s="345">
        <f>Data!CN49/AW$4*100000*AW$3</f>
        <v>15858.793304417466</v>
      </c>
      <c r="AX49" s="345">
        <f>Data!CO49/AX$4*100000*AX$3</f>
        <v>37082.703699926766</v>
      </c>
      <c r="AY49" s="345">
        <f>Data!CP49/AY$4*100000*AY$3</f>
        <v>8087.6703465566743</v>
      </c>
      <c r="AZ49" s="345">
        <f>Data!CQ49/AZ$4*100000*AZ$3</f>
        <v>14414.933871490864</v>
      </c>
      <c r="BA49" s="345">
        <f>Data!CR49/BA$4*100000*BA$3</f>
        <v>4441.1875735571693</v>
      </c>
      <c r="BB49" s="345">
        <f>Data!CS49/BB$4*100000*BB$3</f>
        <v>1242.3286207667652</v>
      </c>
      <c r="BC49" s="345">
        <f>Data!CT49/BC$4*100000*BC$3</f>
        <v>1644.8721111933548</v>
      </c>
      <c r="BD49" s="345">
        <f>Data!CU49/BD$4*100000*BD$3</f>
        <v>1100.7881643256571</v>
      </c>
    </row>
    <row r="50" spans="1:56" ht="12" customHeight="1">
      <c r="A50" s="64"/>
      <c r="B50" s="144" t="str">
        <f>UPPER(LEFT(TRIM(Data!B50),1)) &amp; MID(TRIM(Data!B50),2,50)</f>
        <v>Kiti nervų sistemos</v>
      </c>
      <c r="C50" s="123" t="str">
        <f>UPPER(LEFT(TRIM(Data!C50),1)) &amp; MID(TRIM(Data!C50),2,50)</f>
        <v>D42, D43</v>
      </c>
      <c r="D50" s="124">
        <f>Data!BQ50</f>
        <v>31</v>
      </c>
      <c r="E50" s="125">
        <f t="shared" si="4"/>
        <v>1.9432739527320553</v>
      </c>
      <c r="F50" s="126">
        <f t="shared" si="5"/>
        <v>1.3523451227589016</v>
      </c>
      <c r="G50" s="126">
        <f t="shared" si="6"/>
        <v>1.1956278595896053</v>
      </c>
      <c r="H50" s="68"/>
      <c r="I50" s="68"/>
      <c r="J50" s="68"/>
      <c r="K50" s="68"/>
      <c r="L50" s="68"/>
      <c r="M50" s="68"/>
      <c r="N50" s="68"/>
      <c r="O50" s="68"/>
      <c r="P50" s="259"/>
      <c r="Q50" s="347" t="s">
        <v>352</v>
      </c>
      <c r="R50" s="345">
        <f t="shared" si="2"/>
        <v>135234.51227589016</v>
      </c>
      <c r="S50" s="345">
        <f>Data!CD50/S$4*100000*S$3</f>
        <v>10867.793294571538</v>
      </c>
      <c r="T50" s="345">
        <f>Data!CE50/T$4*100000*T$3</f>
        <v>0</v>
      </c>
      <c r="U50" s="345">
        <f>Data!CF50/U$4*100000*U$3</f>
        <v>9790.6205854791115</v>
      </c>
      <c r="V50" s="345">
        <f>Data!CG50/V$4*100000*V$3</f>
        <v>7878.8015217342372</v>
      </c>
      <c r="W50" s="345">
        <f>Data!CH50/W$4*100000*W$3</f>
        <v>0</v>
      </c>
      <c r="X50" s="345">
        <f>Data!CI50/X$4*100000*X$3</f>
        <v>14728.005302081907</v>
      </c>
      <c r="Y50" s="345">
        <f>Data!CJ50/Y$4*100000*Y$3</f>
        <v>8010.344788126381</v>
      </c>
      <c r="Z50" s="345">
        <f>Data!CK50/Z$4*100000*Z$3</f>
        <v>7342.4519593857522</v>
      </c>
      <c r="AA50" s="345">
        <f>Data!CL50/AA$4*100000*AA$3</f>
        <v>12911.317692194187</v>
      </c>
      <c r="AB50" s="345">
        <f>Data!CM50/AB$4*100000*AB$3</f>
        <v>0</v>
      </c>
      <c r="AC50" s="345">
        <f>Data!CN50/AC$4*100000*AC$3</f>
        <v>11101.155313092228</v>
      </c>
      <c r="AD50" s="345">
        <f>Data!CO50/AD$4*100000*AD$3</f>
        <v>0</v>
      </c>
      <c r="AE50" s="345">
        <f>Data!CP50/AE$4*100000*AE$3</f>
        <v>10109.587933195842</v>
      </c>
      <c r="AF50" s="345">
        <f>Data!CQ50/AF$4*100000*AF$3</f>
        <v>0</v>
      </c>
      <c r="AG50" s="345">
        <f>Data!CR50/AG$4*100000*AG$3</f>
        <v>13323.562720671507</v>
      </c>
      <c r="AH50" s="345">
        <f>Data!CS50/AH$4*100000*AH$3</f>
        <v>9938.6289661341216</v>
      </c>
      <c r="AI50" s="345">
        <f>Data!CT50/AI$4*100000*AI$3</f>
        <v>8224.360555966774</v>
      </c>
      <c r="AJ50" s="345">
        <f>Data!CU50/AJ$4*100000*AJ$3</f>
        <v>11007.881643256571</v>
      </c>
      <c r="AK50" s="347" t="s">
        <v>352</v>
      </c>
      <c r="AL50" s="345">
        <f t="shared" si="3"/>
        <v>119562.78595896054</v>
      </c>
      <c r="AM50" s="345">
        <f>Data!CD50/AM$4*100000*AM$3</f>
        <v>16301.689941857307</v>
      </c>
      <c r="AN50" s="345">
        <f>Data!CE50/AN$4*100000*AN$3</f>
        <v>0</v>
      </c>
      <c r="AO50" s="345">
        <f>Data!CF50/AO$4*100000*AO$3</f>
        <v>12587.940752758857</v>
      </c>
      <c r="AP50" s="345">
        <f>Data!CG50/AP$4*100000*AP$3</f>
        <v>10129.887670801163</v>
      </c>
      <c r="AQ50" s="345">
        <f>Data!CH50/AQ$4*100000*AQ$3</f>
        <v>0</v>
      </c>
      <c r="AR50" s="345">
        <f>Data!CI50/AR$4*100000*AR$3</f>
        <v>16832.00605952218</v>
      </c>
      <c r="AS50" s="345">
        <f>Data!CJ50/AS$4*100000*AS$3</f>
        <v>6866.0098183940408</v>
      </c>
      <c r="AT50" s="345">
        <f>Data!CK50/AT$4*100000*AT$3</f>
        <v>6293.530250902073</v>
      </c>
      <c r="AU50" s="345">
        <f>Data!CL50/AU$4*100000*AU$3</f>
        <v>11066.843736166446</v>
      </c>
      <c r="AV50" s="345">
        <f>Data!CM50/AV$4*100000*AV$3</f>
        <v>0</v>
      </c>
      <c r="AW50" s="345">
        <f>Data!CN50/AW$4*100000*AW$3</f>
        <v>7929.396652208733</v>
      </c>
      <c r="AX50" s="345">
        <f>Data!CO50/AX$4*100000*AX$3</f>
        <v>0</v>
      </c>
      <c r="AY50" s="345">
        <f>Data!CP50/AY$4*100000*AY$3</f>
        <v>8087.6703465566743</v>
      </c>
      <c r="AZ50" s="345">
        <f>Data!CQ50/AZ$4*100000*AZ$3</f>
        <v>0</v>
      </c>
      <c r="BA50" s="345">
        <f>Data!CR50/BA$4*100000*BA$3</f>
        <v>8882.3751471143387</v>
      </c>
      <c r="BB50" s="345">
        <f>Data!CS50/BB$4*100000*BB$3</f>
        <v>4969.3144830670608</v>
      </c>
      <c r="BC50" s="345">
        <f>Data!CT50/BC$4*100000*BC$3</f>
        <v>4112.180277983387</v>
      </c>
      <c r="BD50" s="345">
        <f>Data!CU50/BD$4*100000*BD$3</f>
        <v>5503.9408216282854</v>
      </c>
    </row>
    <row r="51" spans="1:56" ht="12" customHeight="1">
      <c r="A51" s="64"/>
      <c r="B51" s="283" t="str">
        <f>UPPER(LEFT(TRIM(Data!B51),1)) &amp; MID(TRIM(Data!B51),2,50)</f>
        <v>Limfinio ir kraujodaros audinių</v>
      </c>
      <c r="C51" s="284" t="str">
        <f>UPPER(LEFT(TRIM(Data!C51),1)) &amp; MID(TRIM(Data!C51),2,50)</f>
        <v>D45-D47</v>
      </c>
      <c r="D51" s="285">
        <f>Data!BQ51</f>
        <v>209</v>
      </c>
      <c r="E51" s="286">
        <f t="shared" si="4"/>
        <v>13.101427616806438</v>
      </c>
      <c r="F51" s="287">
        <f t="shared" si="5"/>
        <v>7.6693406467671235</v>
      </c>
      <c r="G51" s="287">
        <f t="shared" si="6"/>
        <v>5.3556881011272637</v>
      </c>
      <c r="H51" s="68"/>
      <c r="I51" s="68"/>
      <c r="J51" s="68"/>
      <c r="K51" s="68"/>
      <c r="L51" s="68"/>
      <c r="M51" s="68"/>
      <c r="N51" s="68"/>
      <c r="O51" s="68"/>
      <c r="P51" s="259"/>
      <c r="Q51" s="347" t="s">
        <v>352</v>
      </c>
      <c r="R51" s="345">
        <f t="shared" si="2"/>
        <v>766934.06467671238</v>
      </c>
      <c r="S51" s="345">
        <f>Data!CD51/S$4*100000*S$3</f>
        <v>0</v>
      </c>
      <c r="T51" s="345">
        <f>Data!CE51/T$4*100000*T$3</f>
        <v>0</v>
      </c>
      <c r="U51" s="345">
        <f>Data!CF51/U$4*100000*U$3</f>
        <v>0</v>
      </c>
      <c r="V51" s="345">
        <f>Data!CG51/V$4*100000*V$3</f>
        <v>0</v>
      </c>
      <c r="W51" s="345">
        <f>Data!CH51/W$4*100000*W$3</f>
        <v>13471.123684159882</v>
      </c>
      <c r="X51" s="345">
        <f>Data!CI51/X$4*100000*X$3</f>
        <v>7364.0026510409534</v>
      </c>
      <c r="Y51" s="345">
        <f>Data!CJ51/Y$4*100000*Y$3</f>
        <v>16020.689576252762</v>
      </c>
      <c r="Z51" s="345">
        <f>Data!CK51/Z$4*100000*Z$3</f>
        <v>29369.807837543009</v>
      </c>
      <c r="AA51" s="345">
        <f>Data!CL51/AA$4*100000*AA$3</f>
        <v>25822.635384388373</v>
      </c>
      <c r="AB51" s="345">
        <f>Data!CM51/AB$4*100000*AB$3</f>
        <v>68591.382428134937</v>
      </c>
      <c r="AC51" s="345">
        <f>Data!CN51/AC$4*100000*AC$3</f>
        <v>72157.509535099482</v>
      </c>
      <c r="AD51" s="345">
        <f>Data!CO51/AD$4*100000*AD$3</f>
        <v>72311.272214857177</v>
      </c>
      <c r="AE51" s="345">
        <f>Data!CP51/AE$4*100000*AE$3</f>
        <v>70767.115532370895</v>
      </c>
      <c r="AF51" s="345">
        <f>Data!CQ51/AF$4*100000*AF$3</f>
        <v>91294.581186108815</v>
      </c>
      <c r="AG51" s="345">
        <f>Data!CR51/AG$4*100000*AG$3</f>
        <v>103257.61108520419</v>
      </c>
      <c r="AH51" s="345">
        <f>Data!CS51/AH$4*100000*AH$3</f>
        <v>84478.346212140037</v>
      </c>
      <c r="AI51" s="345">
        <f>Data!CT51/AI$4*100000*AI$3</f>
        <v>65794.884447734192</v>
      </c>
      <c r="AJ51" s="345">
        <f>Data!CU51/AJ$4*100000*AJ$3</f>
        <v>46233.102901677601</v>
      </c>
      <c r="AK51" s="347" t="s">
        <v>352</v>
      </c>
      <c r="AL51" s="345">
        <f t="shared" si="3"/>
        <v>535568.81011272641</v>
      </c>
      <c r="AM51" s="345">
        <f>Data!CD51/AM$4*100000*AM$3</f>
        <v>0</v>
      </c>
      <c r="AN51" s="345">
        <f>Data!CE51/AN$4*100000*AN$3</f>
        <v>0</v>
      </c>
      <c r="AO51" s="345">
        <f>Data!CF51/AO$4*100000*AO$3</f>
        <v>0</v>
      </c>
      <c r="AP51" s="345">
        <f>Data!CG51/AP$4*100000*AP$3</f>
        <v>0</v>
      </c>
      <c r="AQ51" s="345">
        <f>Data!CH51/AQ$4*100000*AQ$3</f>
        <v>15395.569924754151</v>
      </c>
      <c r="AR51" s="345">
        <f>Data!CI51/AR$4*100000*AR$3</f>
        <v>8416.0030297610901</v>
      </c>
      <c r="AS51" s="345">
        <f>Data!CJ51/AS$4*100000*AS$3</f>
        <v>13732.019636788082</v>
      </c>
      <c r="AT51" s="345">
        <f>Data!CK51/AT$4*100000*AT$3</f>
        <v>25174.121003608292</v>
      </c>
      <c r="AU51" s="345">
        <f>Data!CL51/AU$4*100000*AU$3</f>
        <v>22133.687472332891</v>
      </c>
      <c r="AV51" s="345">
        <f>Data!CM51/AV$4*100000*AV$3</f>
        <v>58792.613509829949</v>
      </c>
      <c r="AW51" s="345">
        <f>Data!CN51/AW$4*100000*AW$3</f>
        <v>51541.078239356772</v>
      </c>
      <c r="AX51" s="345">
        <f>Data!CO51/AX$4*100000*AX$3</f>
        <v>48207.514809904787</v>
      </c>
      <c r="AY51" s="345">
        <f>Data!CP51/AY$4*100000*AY$3</f>
        <v>56613.692425896719</v>
      </c>
      <c r="AZ51" s="345">
        <f>Data!CQ51/AZ$4*100000*AZ$3</f>
        <v>68470.935889581611</v>
      </c>
      <c r="BA51" s="345">
        <f>Data!CR51/BA$4*100000*BA$3</f>
        <v>68838.407390136126</v>
      </c>
      <c r="BB51" s="345">
        <f>Data!CS51/BB$4*100000*BB$3</f>
        <v>42239.173106070019</v>
      </c>
      <c r="BC51" s="345">
        <f>Data!CT51/BC$4*100000*BC$3</f>
        <v>32897.442223867096</v>
      </c>
      <c r="BD51" s="345">
        <f>Data!CU51/BD$4*100000*BD$3</f>
        <v>23116.551450838801</v>
      </c>
    </row>
    <row r="52" spans="1:56">
      <c r="A52" s="64"/>
      <c r="B52" s="64"/>
      <c r="C52" s="64"/>
      <c r="D52" s="64"/>
      <c r="E52" s="64"/>
      <c r="F52" s="64"/>
      <c r="G52" s="64"/>
      <c r="H52" s="68"/>
      <c r="I52" s="68"/>
      <c r="J52" s="68"/>
      <c r="K52" s="68"/>
      <c r="L52" s="68"/>
      <c r="M52" s="68"/>
      <c r="N52" s="68"/>
      <c r="O52" s="68"/>
      <c r="P52" s="259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1"/>
      <c r="AF52" s="341"/>
      <c r="AG52" s="341"/>
      <c r="AH52" s="341"/>
      <c r="AI52" s="341"/>
      <c r="AJ52" s="341"/>
      <c r="AK52" s="341"/>
      <c r="AL52" s="341"/>
      <c r="AM52" s="341"/>
      <c r="AN52" s="341"/>
      <c r="AO52" s="341"/>
      <c r="AP52" s="341"/>
      <c r="AQ52" s="341"/>
      <c r="AR52" s="341"/>
      <c r="AS52" s="341"/>
      <c r="AT52" s="341"/>
      <c r="AU52" s="341"/>
      <c r="AV52" s="341"/>
      <c r="AW52" s="341"/>
      <c r="AX52" s="341"/>
      <c r="AY52" s="341"/>
      <c r="AZ52" s="341"/>
      <c r="BA52" s="341"/>
      <c r="BB52" s="341"/>
      <c r="BC52" s="341"/>
      <c r="BD52" s="341"/>
    </row>
    <row r="53" spans="1:56">
      <c r="A53" s="64"/>
      <c r="B53" s="64"/>
      <c r="C53" s="64"/>
      <c r="D53" s="64"/>
      <c r="E53" s="64"/>
      <c r="F53" s="64"/>
      <c r="G53" s="64"/>
      <c r="H53" s="68"/>
      <c r="I53" s="68"/>
      <c r="J53" s="68"/>
      <c r="K53" s="68"/>
      <c r="L53" s="68"/>
      <c r="M53" s="68"/>
      <c r="N53" s="68"/>
      <c r="O53" s="68"/>
      <c r="P53" s="259"/>
      <c r="Q53" s="341"/>
      <c r="R53" s="341"/>
      <c r="S53" s="341"/>
      <c r="T53" s="341"/>
      <c r="U53" s="341"/>
      <c r="V53" s="341"/>
      <c r="W53" s="341"/>
      <c r="X53" s="341"/>
      <c r="Y53" s="341"/>
      <c r="Z53" s="341"/>
      <c r="AA53" s="341"/>
      <c r="AB53" s="341"/>
      <c r="AC53" s="341"/>
      <c r="AD53" s="341"/>
      <c r="AE53" s="341"/>
      <c r="AF53" s="341"/>
      <c r="AG53" s="341"/>
      <c r="AH53" s="341"/>
      <c r="AI53" s="341"/>
      <c r="AJ53" s="341"/>
      <c r="AK53" s="341"/>
      <c r="AL53" s="341"/>
      <c r="AM53" s="341"/>
      <c r="AN53" s="341"/>
      <c r="AO53" s="341"/>
      <c r="AP53" s="341"/>
      <c r="AQ53" s="341"/>
      <c r="AR53" s="341"/>
      <c r="AS53" s="341"/>
      <c r="AT53" s="341"/>
      <c r="AU53" s="341"/>
      <c r="AV53" s="341"/>
      <c r="AW53" s="341"/>
      <c r="AX53" s="341"/>
      <c r="AY53" s="341"/>
      <c r="AZ53" s="341"/>
      <c r="BA53" s="341"/>
      <c r="BB53" s="341"/>
      <c r="BC53" s="341"/>
      <c r="BD53" s="341"/>
    </row>
    <row r="54" spans="1:56">
      <c r="A54" s="31"/>
      <c r="B54" s="31"/>
      <c r="C54" s="31"/>
      <c r="D54" s="31"/>
      <c r="E54" s="31"/>
      <c r="F54" s="31"/>
      <c r="G54" s="31"/>
      <c r="H54" s="259"/>
      <c r="I54" s="259"/>
      <c r="J54" s="259"/>
      <c r="K54" s="259"/>
      <c r="L54" s="259"/>
      <c r="M54" s="259"/>
      <c r="N54" s="259"/>
      <c r="O54" s="259"/>
      <c r="P54" s="259"/>
      <c r="Q54" s="341" t="s">
        <v>407</v>
      </c>
      <c r="R54" s="345">
        <f>SUM(S54:AJ54)</f>
        <v>100000</v>
      </c>
      <c r="S54" s="346">
        <v>8000</v>
      </c>
      <c r="T54" s="346">
        <v>7000</v>
      </c>
      <c r="U54" s="346">
        <v>7000</v>
      </c>
      <c r="V54" s="346">
        <v>7000</v>
      </c>
      <c r="W54" s="346">
        <v>7000</v>
      </c>
      <c r="X54" s="346">
        <v>7000</v>
      </c>
      <c r="Y54" s="346">
        <v>7000</v>
      </c>
      <c r="Z54" s="346">
        <v>7000</v>
      </c>
      <c r="AA54" s="346">
        <v>7000</v>
      </c>
      <c r="AB54" s="346">
        <v>7000</v>
      </c>
      <c r="AC54" s="346">
        <v>7000</v>
      </c>
      <c r="AD54" s="346">
        <v>6000</v>
      </c>
      <c r="AE54" s="346">
        <v>5000</v>
      </c>
      <c r="AF54" s="346">
        <v>4000</v>
      </c>
      <c r="AG54" s="346">
        <v>3000</v>
      </c>
      <c r="AH54" s="346">
        <v>2000</v>
      </c>
      <c r="AI54" s="346">
        <v>1000</v>
      </c>
      <c r="AJ54" s="346">
        <v>1000</v>
      </c>
      <c r="AK54" s="341"/>
      <c r="AL54" s="341"/>
      <c r="AM54" s="341"/>
      <c r="AN54" s="341"/>
      <c r="AO54" s="341"/>
      <c r="AP54" s="341"/>
      <c r="AQ54" s="341"/>
      <c r="AR54" s="341"/>
      <c r="AS54" s="341"/>
      <c r="AT54" s="341"/>
      <c r="AU54" s="341"/>
      <c r="AV54" s="341"/>
      <c r="AW54" s="341"/>
      <c r="AX54" s="341"/>
      <c r="AY54" s="341"/>
      <c r="AZ54" s="341"/>
      <c r="BA54" s="341"/>
      <c r="BB54" s="341"/>
      <c r="BC54" s="341"/>
      <c r="BD54" s="341"/>
    </row>
    <row r="55" spans="1:56">
      <c r="A55" s="31"/>
      <c r="B55" s="31"/>
      <c r="C55" s="31"/>
      <c r="D55" s="31"/>
      <c r="E55" s="31"/>
      <c r="F55" s="31"/>
      <c r="G55" s="31"/>
      <c r="H55" s="259"/>
      <c r="I55" s="259"/>
      <c r="J55" s="259"/>
      <c r="K55" s="259"/>
      <c r="L55" s="259"/>
      <c r="M55" s="259"/>
      <c r="N55" s="259"/>
      <c r="O55" s="259"/>
      <c r="P55" s="259"/>
      <c r="Q55" s="341" t="s">
        <v>408</v>
      </c>
      <c r="R55" s="341">
        <v>100000</v>
      </c>
      <c r="S55" s="341">
        <v>12000</v>
      </c>
      <c r="T55" s="341">
        <v>10000</v>
      </c>
      <c r="U55" s="341">
        <v>9000</v>
      </c>
      <c r="V55" s="341">
        <v>9000</v>
      </c>
      <c r="W55" s="341">
        <v>8000</v>
      </c>
      <c r="X55" s="341">
        <v>8000</v>
      </c>
      <c r="Y55" s="341">
        <v>6000</v>
      </c>
      <c r="Z55" s="341">
        <v>6000</v>
      </c>
      <c r="AA55" s="341">
        <v>6000</v>
      </c>
      <c r="AB55" s="341">
        <v>6000</v>
      </c>
      <c r="AC55" s="341">
        <v>5000</v>
      </c>
      <c r="AD55" s="341">
        <v>4000</v>
      </c>
      <c r="AE55" s="341">
        <v>4000</v>
      </c>
      <c r="AF55" s="341">
        <v>3000</v>
      </c>
      <c r="AG55" s="341">
        <v>2000</v>
      </c>
      <c r="AH55" s="341">
        <v>1000</v>
      </c>
      <c r="AI55" s="341">
        <v>500</v>
      </c>
      <c r="AJ55" s="341">
        <v>500</v>
      </c>
      <c r="AK55" s="341"/>
      <c r="AL55" s="341"/>
      <c r="AM55" s="341"/>
      <c r="AN55" s="341"/>
      <c r="AO55" s="341"/>
      <c r="AP55" s="341"/>
      <c r="AQ55" s="341"/>
      <c r="AR55" s="341"/>
      <c r="AS55" s="341"/>
      <c r="AT55" s="341"/>
      <c r="AU55" s="341"/>
      <c r="AV55" s="341"/>
      <c r="AW55" s="341"/>
      <c r="AX55" s="341"/>
      <c r="AY55" s="341"/>
      <c r="AZ55" s="341"/>
      <c r="BA55" s="341"/>
      <c r="BB55" s="341"/>
      <c r="BC55" s="341"/>
      <c r="BD55" s="341"/>
    </row>
    <row r="56" spans="1:56">
      <c r="A56" s="31"/>
      <c r="B56" s="31"/>
      <c r="C56" s="31"/>
      <c r="D56" s="31"/>
      <c r="E56" s="31"/>
      <c r="F56" s="31"/>
      <c r="G56" s="31"/>
      <c r="H56" s="259"/>
      <c r="I56" s="259"/>
      <c r="J56" s="259"/>
      <c r="K56" s="259"/>
      <c r="L56" s="259"/>
      <c r="M56" s="259"/>
      <c r="N56" s="259"/>
      <c r="O56" s="259"/>
      <c r="P56" s="259"/>
      <c r="Q56" s="341"/>
      <c r="R56" s="341"/>
      <c r="S56" s="34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1"/>
      <c r="AJ56" s="341"/>
      <c r="AK56" s="341"/>
      <c r="AL56" s="341"/>
      <c r="AM56" s="341"/>
      <c r="AN56" s="341"/>
      <c r="AO56" s="341"/>
      <c r="AP56" s="341"/>
      <c r="AQ56" s="341"/>
      <c r="AR56" s="341"/>
      <c r="AS56" s="341"/>
      <c r="AT56" s="341"/>
      <c r="AU56" s="341"/>
      <c r="AV56" s="341"/>
      <c r="AW56" s="341"/>
      <c r="AX56" s="341"/>
      <c r="AY56" s="341"/>
      <c r="AZ56" s="341"/>
      <c r="BA56" s="341"/>
      <c r="BB56" s="341"/>
      <c r="BC56" s="341"/>
      <c r="BD56" s="341"/>
    </row>
    <row r="57" spans="1:56">
      <c r="A57" s="31"/>
      <c r="B57" s="31"/>
      <c r="C57" s="31"/>
      <c r="D57" s="31"/>
      <c r="E57" s="31"/>
      <c r="F57" s="31"/>
      <c r="G57" s="31"/>
      <c r="H57" s="259"/>
      <c r="I57" s="259"/>
      <c r="J57" s="259"/>
      <c r="K57" s="259"/>
      <c r="L57" s="259"/>
      <c r="M57" s="259"/>
      <c r="N57" s="259"/>
      <c r="O57" s="259"/>
      <c r="P57" s="259"/>
      <c r="Q57" s="341"/>
      <c r="R57" s="341"/>
      <c r="S57" s="341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1"/>
      <c r="AJ57" s="341"/>
      <c r="AK57" s="341"/>
      <c r="AL57" s="341"/>
      <c r="AM57" s="341"/>
      <c r="AN57" s="341"/>
      <c r="AO57" s="341"/>
      <c r="AP57" s="341"/>
      <c r="AQ57" s="341"/>
      <c r="AR57" s="341"/>
      <c r="AS57" s="341"/>
      <c r="AT57" s="341"/>
      <c r="AU57" s="341"/>
      <c r="AV57" s="341"/>
      <c r="AW57" s="341"/>
      <c r="AX57" s="341"/>
      <c r="AY57" s="341"/>
      <c r="AZ57" s="341"/>
      <c r="BA57" s="341"/>
      <c r="BB57" s="341"/>
      <c r="BC57" s="341"/>
      <c r="BD57" s="341"/>
    </row>
    <row r="58" spans="1:56">
      <c r="Q58" s="348"/>
      <c r="R58" s="348"/>
      <c r="S58" s="348"/>
      <c r="T58" s="348"/>
      <c r="U58" s="348"/>
      <c r="V58" s="348"/>
      <c r="W58" s="348"/>
      <c r="X58" s="348"/>
      <c r="Y58" s="348"/>
      <c r="Z58" s="348"/>
      <c r="AA58" s="348"/>
      <c r="AB58" s="348"/>
      <c r="AC58" s="348"/>
      <c r="AD58" s="348"/>
      <c r="AE58" s="348"/>
      <c r="AF58" s="348"/>
      <c r="AG58" s="348"/>
      <c r="AH58" s="348"/>
      <c r="AI58" s="348"/>
      <c r="AJ58" s="348"/>
      <c r="AK58" s="348"/>
      <c r="AL58" s="348"/>
      <c r="AM58" s="348"/>
      <c r="AN58" s="348"/>
      <c r="AO58" s="348"/>
      <c r="AP58" s="348"/>
      <c r="AQ58" s="348"/>
      <c r="AR58" s="348"/>
      <c r="AS58" s="348"/>
      <c r="AT58" s="348"/>
      <c r="AU58" s="348"/>
      <c r="AV58" s="348"/>
      <c r="AW58" s="348"/>
      <c r="AX58" s="348"/>
      <c r="AY58" s="348"/>
      <c r="AZ58" s="348"/>
      <c r="BA58" s="348"/>
      <c r="BB58" s="348"/>
      <c r="BC58" s="348"/>
      <c r="BD58" s="348"/>
    </row>
    <row r="59" spans="1:56">
      <c r="Q59" s="348"/>
      <c r="R59" s="348"/>
      <c r="S59" s="348"/>
      <c r="T59" s="348"/>
      <c r="U59" s="348"/>
      <c r="V59" s="348"/>
      <c r="W59" s="348"/>
      <c r="X59" s="348"/>
      <c r="Y59" s="348"/>
      <c r="Z59" s="348"/>
      <c r="AA59" s="348"/>
      <c r="AB59" s="348"/>
      <c r="AC59" s="348"/>
      <c r="AD59" s="348"/>
      <c r="AE59" s="348"/>
      <c r="AF59" s="348"/>
      <c r="AG59" s="348"/>
      <c r="AH59" s="348"/>
      <c r="AI59" s="348"/>
      <c r="AJ59" s="348"/>
      <c r="AK59" s="348"/>
      <c r="AL59" s="348"/>
      <c r="AM59" s="348"/>
      <c r="AN59" s="348"/>
      <c r="AO59" s="348"/>
      <c r="AP59" s="348"/>
      <c r="AQ59" s="348"/>
      <c r="AR59" s="348"/>
      <c r="AS59" s="348"/>
      <c r="AT59" s="348"/>
      <c r="AU59" s="348"/>
      <c r="AV59" s="348"/>
      <c r="AW59" s="348"/>
      <c r="AX59" s="348"/>
      <c r="AY59" s="348"/>
      <c r="AZ59" s="348"/>
      <c r="BA59" s="348"/>
      <c r="BB59" s="348"/>
      <c r="BC59" s="348"/>
      <c r="BD59" s="348"/>
    </row>
    <row r="60" spans="1:56">
      <c r="Q60" s="348"/>
      <c r="R60" s="348"/>
      <c r="S60" s="348"/>
      <c r="T60" s="348"/>
      <c r="U60" s="348"/>
      <c r="V60" s="348"/>
      <c r="W60" s="348"/>
      <c r="X60" s="348"/>
      <c r="Y60" s="348"/>
      <c r="Z60" s="348"/>
      <c r="AA60" s="348"/>
      <c r="AB60" s="348"/>
      <c r="AC60" s="348"/>
      <c r="AD60" s="348"/>
      <c r="AE60" s="348"/>
      <c r="AF60" s="348"/>
      <c r="AG60" s="348"/>
      <c r="AH60" s="348"/>
      <c r="AI60" s="348"/>
      <c r="AJ60" s="348"/>
      <c r="AK60" s="348"/>
      <c r="AL60" s="348"/>
      <c r="AM60" s="348"/>
      <c r="AN60" s="348"/>
      <c r="AO60" s="348"/>
      <c r="AP60" s="348"/>
      <c r="AQ60" s="348"/>
      <c r="AR60" s="348"/>
      <c r="AS60" s="348"/>
      <c r="AT60" s="348"/>
      <c r="AU60" s="348"/>
      <c r="AV60" s="348"/>
      <c r="AW60" s="348"/>
      <c r="AX60" s="348"/>
      <c r="AY60" s="348"/>
      <c r="AZ60" s="348"/>
      <c r="BA60" s="348"/>
      <c r="BB60" s="348"/>
      <c r="BC60" s="348"/>
      <c r="BD60" s="348"/>
    </row>
    <row r="61" spans="1:56">
      <c r="Q61" s="348"/>
      <c r="R61" s="348"/>
      <c r="S61" s="348"/>
      <c r="T61" s="348"/>
      <c r="U61" s="348"/>
      <c r="V61" s="348"/>
      <c r="W61" s="348"/>
      <c r="X61" s="348"/>
      <c r="Y61" s="348"/>
      <c r="Z61" s="348"/>
      <c r="AA61" s="348"/>
      <c r="AB61" s="348"/>
      <c r="AC61" s="348"/>
      <c r="AD61" s="348"/>
      <c r="AE61" s="348"/>
      <c r="AF61" s="348"/>
      <c r="AG61" s="348"/>
      <c r="AH61" s="348"/>
      <c r="AI61" s="348"/>
      <c r="AJ61" s="348"/>
      <c r="AK61" s="348"/>
      <c r="AL61" s="348"/>
      <c r="AM61" s="348"/>
      <c r="AN61" s="348"/>
      <c r="AO61" s="348"/>
      <c r="AP61" s="348"/>
      <c r="AQ61" s="348"/>
      <c r="AR61" s="348"/>
      <c r="AS61" s="348"/>
      <c r="AT61" s="348"/>
      <c r="AU61" s="348"/>
      <c r="AV61" s="348"/>
      <c r="AW61" s="348"/>
      <c r="AX61" s="348"/>
      <c r="AY61" s="348"/>
      <c r="AZ61" s="348"/>
      <c r="BA61" s="348"/>
      <c r="BB61" s="348"/>
      <c r="BC61" s="348"/>
      <c r="BD61" s="348"/>
    </row>
    <row r="62" spans="1:56">
      <c r="Q62" s="348"/>
      <c r="R62" s="348"/>
      <c r="S62" s="348"/>
      <c r="T62" s="348"/>
      <c r="U62" s="348"/>
      <c r="V62" s="348"/>
      <c r="W62" s="348"/>
      <c r="X62" s="348"/>
      <c r="Y62" s="348"/>
      <c r="Z62" s="348"/>
      <c r="AA62" s="348"/>
      <c r="AB62" s="348"/>
      <c r="AC62" s="348"/>
      <c r="AD62" s="348"/>
      <c r="AE62" s="348"/>
      <c r="AF62" s="348"/>
      <c r="AG62" s="348"/>
      <c r="AH62" s="348"/>
      <c r="AI62" s="348"/>
      <c r="AJ62" s="348"/>
      <c r="AK62" s="348"/>
      <c r="AL62" s="348"/>
      <c r="AM62" s="348"/>
      <c r="AN62" s="348"/>
      <c r="AO62" s="348"/>
      <c r="AP62" s="348"/>
      <c r="AQ62" s="348"/>
      <c r="AR62" s="348"/>
      <c r="AS62" s="348"/>
      <c r="AT62" s="348"/>
      <c r="AU62" s="348"/>
      <c r="AV62" s="348"/>
      <c r="AW62" s="348"/>
      <c r="AX62" s="348"/>
      <c r="AY62" s="348"/>
      <c r="AZ62" s="348"/>
      <c r="BA62" s="348"/>
      <c r="BB62" s="348"/>
      <c r="BC62" s="348"/>
      <c r="BD62" s="348"/>
    </row>
    <row r="63" spans="1:56">
      <c r="Q63" s="348"/>
      <c r="R63" s="348"/>
      <c r="S63" s="348"/>
      <c r="T63" s="348"/>
      <c r="U63" s="348"/>
      <c r="V63" s="348"/>
      <c r="W63" s="348"/>
      <c r="X63" s="348"/>
      <c r="Y63" s="348"/>
      <c r="Z63" s="348"/>
      <c r="AA63" s="348"/>
      <c r="AB63" s="348"/>
      <c r="AC63" s="348"/>
      <c r="AD63" s="348"/>
      <c r="AE63" s="348"/>
      <c r="AF63" s="348"/>
      <c r="AG63" s="348"/>
      <c r="AH63" s="348"/>
      <c r="AI63" s="348"/>
      <c r="AJ63" s="348"/>
      <c r="AK63" s="348"/>
      <c r="AL63" s="348"/>
      <c r="AM63" s="348"/>
      <c r="AN63" s="348"/>
      <c r="AO63" s="348"/>
      <c r="AP63" s="348"/>
      <c r="AQ63" s="348"/>
      <c r="AR63" s="348"/>
      <c r="AS63" s="348"/>
      <c r="AT63" s="348"/>
      <c r="AU63" s="348"/>
      <c r="AV63" s="348"/>
      <c r="AW63" s="348"/>
      <c r="AX63" s="348"/>
      <c r="AY63" s="348"/>
      <c r="AZ63" s="348"/>
      <c r="BA63" s="348"/>
      <c r="BB63" s="348"/>
      <c r="BC63" s="348"/>
      <c r="BD63" s="348"/>
    </row>
    <row r="64" spans="1:56">
      <c r="Q64" s="348"/>
      <c r="R64" s="348"/>
      <c r="S64" s="348"/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  <c r="AH64" s="348"/>
      <c r="AI64" s="348"/>
      <c r="AJ64" s="348"/>
      <c r="AK64" s="348"/>
      <c r="AL64" s="348"/>
      <c r="AM64" s="348"/>
      <c r="AN64" s="348"/>
      <c r="AO64" s="348"/>
      <c r="AP64" s="348"/>
      <c r="AQ64" s="348"/>
      <c r="AR64" s="348"/>
      <c r="AS64" s="348"/>
      <c r="AT64" s="348"/>
      <c r="AU64" s="348"/>
      <c r="AV64" s="348"/>
      <c r="AW64" s="348"/>
      <c r="AX64" s="348"/>
      <c r="AY64" s="348"/>
      <c r="AZ64" s="348"/>
      <c r="BA64" s="348"/>
      <c r="BB64" s="348"/>
      <c r="BC64" s="348"/>
      <c r="BD64" s="348"/>
    </row>
    <row r="65" spans="17:56">
      <c r="Q65" s="348"/>
      <c r="R65" s="348"/>
      <c r="S65" s="348"/>
      <c r="T65" s="348"/>
      <c r="U65" s="348"/>
      <c r="V65" s="348"/>
      <c r="W65" s="348"/>
      <c r="X65" s="348"/>
      <c r="Y65" s="348"/>
      <c r="Z65" s="348"/>
      <c r="AA65" s="348"/>
      <c r="AB65" s="348"/>
      <c r="AC65" s="348"/>
      <c r="AD65" s="348"/>
      <c r="AE65" s="348"/>
      <c r="AF65" s="348"/>
      <c r="AG65" s="348"/>
      <c r="AH65" s="348"/>
      <c r="AI65" s="348"/>
      <c r="AJ65" s="348"/>
      <c r="AK65" s="348"/>
      <c r="AL65" s="348"/>
      <c r="AM65" s="348"/>
      <c r="AN65" s="348"/>
      <c r="AO65" s="348"/>
      <c r="AP65" s="348"/>
      <c r="AQ65" s="348"/>
      <c r="AR65" s="348"/>
      <c r="AS65" s="348"/>
      <c r="AT65" s="348"/>
      <c r="AU65" s="348"/>
      <c r="AV65" s="348"/>
      <c r="AW65" s="348"/>
      <c r="AX65" s="348"/>
      <c r="AY65" s="348"/>
      <c r="AZ65" s="348"/>
      <c r="BA65" s="348"/>
      <c r="BB65" s="348"/>
      <c r="BC65" s="348"/>
      <c r="BD65" s="348"/>
    </row>
  </sheetData>
  <mergeCells count="9">
    <mergeCell ref="B1:D1"/>
    <mergeCell ref="S2:U2"/>
    <mergeCell ref="F4:G4"/>
    <mergeCell ref="AM2:AO2"/>
    <mergeCell ref="C4:C5"/>
    <mergeCell ref="B4:B5"/>
    <mergeCell ref="D4:D5"/>
    <mergeCell ref="E4:E5"/>
    <mergeCell ref="Q1:Q2"/>
  </mergeCells>
  <pageMargins left="0.59055118110236215" right="0.62992125984251968" top="1.5748031496062993" bottom="1.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21</vt:i4>
      </vt:variant>
    </vt:vector>
  </HeadingPairs>
  <TitlesOfParts>
    <vt:vector size="49" baseType="lpstr">
      <vt:lpstr>Data</vt:lpstr>
      <vt:lpstr>DataTarpin</vt:lpstr>
      <vt:lpstr>Populiacija</vt:lpstr>
      <vt:lpstr>Kiti grafikai</vt:lpstr>
      <vt:lpstr>GrafikaiSergVM</vt:lpstr>
      <vt:lpstr>GrafikaiSerg</vt:lpstr>
      <vt:lpstr>Lent02vm</vt:lpstr>
      <vt:lpstr>Lent02v</vt:lpstr>
      <vt:lpstr>Lent02m</vt:lpstr>
      <vt:lpstr>Lent04v</vt:lpstr>
      <vt:lpstr>Lent04m</vt:lpstr>
      <vt:lpstr>Lent06v</vt:lpstr>
      <vt:lpstr>Lent06m</vt:lpstr>
      <vt:lpstr>Lent08v</vt:lpstr>
      <vt:lpstr>Lent08m</vt:lpstr>
      <vt:lpstr>GrafikaiMirtVM</vt:lpstr>
      <vt:lpstr>GrafikaiMirt</vt:lpstr>
      <vt:lpstr>Lent10vm</vt:lpstr>
      <vt:lpstr>Lent10v</vt:lpstr>
      <vt:lpstr>Lent10m</vt:lpstr>
      <vt:lpstr>Lent12v</vt:lpstr>
      <vt:lpstr>Lent12m</vt:lpstr>
      <vt:lpstr>Len14v</vt:lpstr>
      <vt:lpstr>Lent14m</vt:lpstr>
      <vt:lpstr>Lent16v</vt:lpstr>
      <vt:lpstr>Lent16m</vt:lpstr>
      <vt:lpstr>Lent18v</vt:lpstr>
      <vt:lpstr>Lent18m</vt:lpstr>
      <vt:lpstr>Len14v!Print_Area</vt:lpstr>
      <vt:lpstr>Lent02m!Print_Area</vt:lpstr>
      <vt:lpstr>Lent02v!Print_Area</vt:lpstr>
      <vt:lpstr>Lent02vm!Print_Area</vt:lpstr>
      <vt:lpstr>Lent04m!Print_Area</vt:lpstr>
      <vt:lpstr>Lent04v!Print_Area</vt:lpstr>
      <vt:lpstr>Lent06m!Print_Area</vt:lpstr>
      <vt:lpstr>Lent06v!Print_Area</vt:lpstr>
      <vt:lpstr>Lent08m!Print_Area</vt:lpstr>
      <vt:lpstr>Lent08v!Print_Area</vt:lpstr>
      <vt:lpstr>Lent10m!Print_Area</vt:lpstr>
      <vt:lpstr>Lent10v!Print_Area</vt:lpstr>
      <vt:lpstr>Lent10vm!Print_Area</vt:lpstr>
      <vt:lpstr>Lent12m!Print_Area</vt:lpstr>
      <vt:lpstr>Lent12v!Print_Area</vt:lpstr>
      <vt:lpstr>Lent14m!Print_Area</vt:lpstr>
      <vt:lpstr>Lent16m!Print_Area</vt:lpstr>
      <vt:lpstr>Lent16v!Print_Area</vt:lpstr>
      <vt:lpstr>Lent18m!Print_Area</vt:lpstr>
      <vt:lpstr>Lent18v!Print_Area</vt:lpstr>
      <vt:lpstr>v_F90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user</cp:lastModifiedBy>
  <cp:lastPrinted>2011-06-30T06:54:32Z</cp:lastPrinted>
  <dcterms:created xsi:type="dcterms:W3CDTF">1996-10-14T23:33:28Z</dcterms:created>
  <dcterms:modified xsi:type="dcterms:W3CDTF">2020-11-17T17:54:23Z</dcterms:modified>
</cp:coreProperties>
</file>