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theme/themeOverride1.xml" ContentType="application/vnd.openxmlformats-officedocument.themeOverrid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chart19.xml" ContentType="application/vnd.openxmlformats-officedocument.drawingml.chart+xml"/>
  <Override PartName="/xl/charts/chart20.xml" ContentType="application/vnd.openxmlformats-officedocument.drawingml.chart+xml"/>
  <Override PartName="/xl/theme/themeOverride2.xml" ContentType="application/vnd.openxmlformats-officedocument.themeOverride+xml"/>
  <Override PartName="/xl/drawings/drawing5.xml" ContentType="application/vnd.openxmlformats-officedocument.drawing+xml"/>
  <Override PartName="/xl/charts/chart21.xml" ContentType="application/vnd.openxmlformats-officedocument.drawingml.chart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chart24.xml" ContentType="application/vnd.openxmlformats-officedocument.drawingml.chart+xml"/>
  <Override PartName="/xl/charts/chart25.xml" ContentType="application/vnd.openxmlformats-officedocument.drawingml.chart+xml"/>
  <Override PartName="/xl/charts/chart26.xml" ContentType="application/vnd.openxmlformats-officedocument.drawingml.chart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chart29.xml" ContentType="application/vnd.openxmlformats-officedocument.drawingml.chart+xml"/>
  <Override PartName="/xl/charts/chart30.xml" ContentType="application/vnd.openxmlformats-officedocument.drawingml.chart+xml"/>
  <Override PartName="/xl/charts/chart31.xml" ContentType="application/vnd.openxmlformats-officedocument.drawingml.chart+xml"/>
  <Override PartName="/xl/charts/chart32.xml" ContentType="application/vnd.openxmlformats-officedocument.drawingml.chart+xml"/>
  <Override PartName="/xl/theme/themeOverride3.xml" ContentType="application/vnd.openxmlformats-officedocument.themeOverride+xml"/>
  <Override PartName="/xl/drawings/drawing6.xml" ContentType="application/vnd.openxmlformats-officedocument.drawing+xml"/>
  <Override PartName="/xl/charts/chart33.xml" ContentType="application/vnd.openxmlformats-officedocument.drawingml.chart+xml"/>
  <Override PartName="/xl/charts/chart34.xml" ContentType="application/vnd.openxmlformats-officedocument.drawingml.chart+xml"/>
  <Override PartName="/xl/charts/chart35.xml" ContentType="application/vnd.openxmlformats-officedocument.drawingml.chart+xml"/>
  <Override PartName="/xl/charts/chart36.xml" ContentType="application/vnd.openxmlformats-officedocument.drawingml.chart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chart39.xml" ContentType="application/vnd.openxmlformats-officedocument.drawingml.chart+xml"/>
  <Override PartName="/xl/charts/chart40.xml" ContentType="application/vnd.openxmlformats-officedocument.drawingml.chart+xml"/>
  <Override PartName="/xl/charts/chart41.xml" ContentType="application/vnd.openxmlformats-officedocument.drawingml.chart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chart44.xml" ContentType="application/vnd.openxmlformats-officedocument.drawingml.chart+xml"/>
  <Override PartName="/xl/theme/themeOverride4.xml" ContentType="application/vnd.openxmlformats-officedocument.themeOverrid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120" yWindow="300" windowWidth="24540" windowHeight="11310" tabRatio="843" firstSheet="6" activeTab="6"/>
  </bookViews>
  <sheets>
    <sheet name="Data" sheetId="4" state="hidden" r:id="rId1"/>
    <sheet name="DataTarpin" sheetId="7" state="hidden" r:id="rId2"/>
    <sheet name="Populiacija" sheetId="18" state="hidden" r:id="rId3"/>
    <sheet name="Kiti grafikai" sheetId="51" state="hidden" r:id="rId4"/>
    <sheet name="GrafikaiSergVM" sheetId="50" state="hidden" r:id="rId5"/>
    <sheet name="GrafikaiSerg" sheetId="39" state="hidden" r:id="rId6"/>
    <sheet name="Lent02vm" sheetId="19" r:id="rId7"/>
    <sheet name="Lent02v" sheetId="47" r:id="rId8"/>
    <sheet name="Lent02m" sheetId="20" r:id="rId9"/>
    <sheet name="Lent04v" sheetId="8" r:id="rId10"/>
    <sheet name="Lent04m" sheetId="23" r:id="rId11"/>
    <sheet name="Lent06v" sheetId="9" r:id="rId12"/>
    <sheet name="Lent06m" sheetId="11" r:id="rId13"/>
    <sheet name="Lent08v" sheetId="43" r:id="rId14"/>
    <sheet name="Lent08m" sheetId="44" r:id="rId15"/>
    <sheet name="GrafikaiMirtVM" sheetId="49" state="hidden" r:id="rId16"/>
    <sheet name="GrafikaiMirt" sheetId="40" state="hidden" r:id="rId17"/>
    <sheet name="Lent10vm" sheetId="48" r:id="rId18"/>
    <sheet name="Lent10v" sheetId="36" r:id="rId19"/>
    <sheet name="Lent10m" sheetId="37" r:id="rId20"/>
    <sheet name="Lent12v" sheetId="12" r:id="rId21"/>
    <sheet name="Lent12m" sheetId="14" r:id="rId22"/>
    <sheet name="Len14v" sheetId="45" r:id="rId23"/>
    <sheet name="Lent14m" sheetId="46" r:id="rId24"/>
    <sheet name="Lent16v" sheetId="34" r:id="rId25"/>
    <sheet name="Lent16m" sheetId="35" r:id="rId26"/>
    <sheet name="Lent18v" sheetId="41" r:id="rId27"/>
    <sheet name="Lent18m" sheetId="42" r:id="rId28"/>
  </sheets>
  <definedNames>
    <definedName name="_xlnm._FilterDatabase" localSheetId="0" hidden="1">Data!$A$2:$EC$51</definedName>
    <definedName name="_xlnm.Print_Area" localSheetId="22">Len14v!$B$3:$AE$47</definedName>
    <definedName name="_xlnm.Print_Area" localSheetId="8">Lent02m!$B$4:$G$51</definedName>
    <definedName name="_xlnm.Print_Area" localSheetId="7">Lent02v!$B$4:$G$47</definedName>
    <definedName name="_xlnm.Print_Area" localSheetId="6">Lent02vm!$B$6:$G$55</definedName>
    <definedName name="_xlnm.Print_Area" localSheetId="10">Lent04m!$B$2:$Z$43</definedName>
    <definedName name="_xlnm.Print_Area" localSheetId="9">Lent04v!$B$2:$Q$45</definedName>
    <definedName name="_xlnm.Print_Area" localSheetId="12">Lent06m!$B$2:$AG$54</definedName>
    <definedName name="_xlnm.Print_Area" localSheetId="11">Lent06v!$B$2:$AE$50</definedName>
    <definedName name="_xlnm.Print_Area" localSheetId="14">Lent08m!$B$3:$AB$55</definedName>
    <definedName name="_xlnm.Print_Area" localSheetId="13">Lent08v!$B$3:$AF$52</definedName>
    <definedName name="_xlnm.Print_Area" localSheetId="19">Lent10m!$B$4:$G$51</definedName>
    <definedName name="_xlnm.Print_Area" localSheetId="18">Lent10v!$B$4:$G$47</definedName>
    <definedName name="_xlnm.Print_Area" localSheetId="17">Lent10vm!$B$6:$G$55</definedName>
    <definedName name="_xlnm.Print_Area" localSheetId="21">Lent12m!$B$2:$Z$54</definedName>
    <definedName name="_xlnm.Print_Area" localSheetId="20">Lent12v!$B$2:$AI$48</definedName>
    <definedName name="_xlnm.Print_Area" localSheetId="23">Lent14m!$B$3:$AD$57</definedName>
    <definedName name="_xlnm.Print_Area" localSheetId="25">Lent16m!$B$2:$L$51</definedName>
    <definedName name="_xlnm.Print_Area" localSheetId="24">Lent16v!$B$2:$L$51</definedName>
    <definedName name="_xlnm.Print_Area" localSheetId="27">Lent18m!$B$2:$K$41</definedName>
    <definedName name="_xlnm.Print_Area" localSheetId="26">Lent18v!$B$2:$K$40</definedName>
    <definedName name="v_F90">Data!$D$2</definedName>
    <definedName name="zzz" localSheetId="16">#REF!</definedName>
    <definedName name="zzz" localSheetId="15">#REF!</definedName>
    <definedName name="zzz" localSheetId="5">#REF!</definedName>
    <definedName name="zzz" localSheetId="4">#REF!</definedName>
    <definedName name="zzz" localSheetId="3">#REF!</definedName>
    <definedName name="zzz" localSheetId="22">#REF!</definedName>
    <definedName name="zzz" localSheetId="8">#REF!</definedName>
    <definedName name="zzz" localSheetId="7">#REF!</definedName>
    <definedName name="zzz" localSheetId="6">#REF!</definedName>
    <definedName name="zzz" localSheetId="10">#REF!</definedName>
    <definedName name="zzz" localSheetId="14">#REF!</definedName>
    <definedName name="zzz" localSheetId="13">#REF!</definedName>
    <definedName name="zzz" localSheetId="19">#REF!</definedName>
    <definedName name="zzz" localSheetId="18">#REF!</definedName>
    <definedName name="zzz" localSheetId="17">#REF!</definedName>
    <definedName name="zzz" localSheetId="23">#REF!</definedName>
    <definedName name="zzz" localSheetId="25">#REF!</definedName>
    <definedName name="zzz" localSheetId="24">#REF!</definedName>
    <definedName name="zzz" localSheetId="27">#REF!</definedName>
    <definedName name="zzz" localSheetId="26">#REF!</definedName>
    <definedName name="zzz">#REF!</definedName>
  </definedNames>
  <calcPr calcId="162913"/>
</workbook>
</file>

<file path=xl/calcChain.xml><?xml version="1.0" encoding="utf-8"?>
<calcChain xmlns="http://schemas.openxmlformats.org/spreadsheetml/2006/main">
  <c r="B2" i="41" l="1"/>
  <c r="Y20" i="49" l="1"/>
  <c r="F36" i="7"/>
  <c r="F35" i="7"/>
  <c r="F34" i="7"/>
  <c r="F31" i="7"/>
  <c r="F38" i="7"/>
  <c r="F32" i="7"/>
  <c r="F37" i="7"/>
  <c r="F29" i="7"/>
  <c r="F33" i="7"/>
  <c r="F30" i="7"/>
  <c r="F17" i="7"/>
  <c r="F24" i="7"/>
  <c r="F21" i="7"/>
  <c r="F20" i="7"/>
  <c r="F22" i="7"/>
  <c r="F25" i="7"/>
  <c r="F23" i="7"/>
  <c r="F19" i="7"/>
  <c r="F16" i="7"/>
  <c r="F18" i="7"/>
  <c r="F9" i="7"/>
  <c r="F3" i="7"/>
  <c r="F11" i="7"/>
  <c r="F7" i="7"/>
  <c r="F12" i="7"/>
  <c r="F10" i="7"/>
  <c r="F8" i="7"/>
  <c r="F5" i="7"/>
  <c r="F6" i="7"/>
  <c r="F4" i="7"/>
  <c r="B29" i="7"/>
  <c r="B35" i="7"/>
  <c r="B30" i="7"/>
  <c r="B31" i="7"/>
  <c r="B32" i="7"/>
  <c r="B33" i="7"/>
  <c r="B37" i="7"/>
  <c r="B36" i="7"/>
  <c r="B34" i="7"/>
  <c r="B38" i="7"/>
  <c r="B21" i="7"/>
  <c r="B22" i="7"/>
  <c r="B23" i="7"/>
  <c r="B26" i="7" s="1"/>
  <c r="B25" i="7"/>
  <c r="B24" i="7"/>
  <c r="B11" i="7"/>
  <c r="B8" i="7"/>
  <c r="B6" i="7"/>
  <c r="B7" i="7"/>
  <c r="B12" i="7"/>
  <c r="B9" i="7"/>
  <c r="B3" i="7"/>
  <c r="B10" i="7"/>
  <c r="B4" i="7"/>
  <c r="B5" i="7"/>
  <c r="AC22" i="40"/>
  <c r="Y21" i="40"/>
  <c r="AC19" i="39"/>
  <c r="Y15" i="39"/>
  <c r="F26" i="7" l="1"/>
  <c r="G19" i="7" s="1"/>
  <c r="F13" i="7"/>
  <c r="G6" i="7" s="1"/>
  <c r="G25" i="7"/>
  <c r="B39" i="7"/>
  <c r="C33" i="7" s="1"/>
  <c r="B13" i="7"/>
  <c r="C6" i="7" s="1"/>
  <c r="G18" i="7"/>
  <c r="G24" i="7"/>
  <c r="F39" i="7"/>
  <c r="G32" i="7" s="1"/>
  <c r="C25" i="7"/>
  <c r="C28" i="7"/>
  <c r="C37" i="7"/>
  <c r="C34" i="7"/>
  <c r="C24" i="7"/>
  <c r="C31" i="7"/>
  <c r="G20" i="7"/>
  <c r="C29" i="7"/>
  <c r="G37" i="7"/>
  <c r="G28" i="7"/>
  <c r="G36" i="7"/>
  <c r="G22" i="7"/>
  <c r="G17" i="7"/>
  <c r="G15" i="7"/>
  <c r="G21" i="7"/>
  <c r="G16" i="7"/>
  <c r="G23" i="7"/>
  <c r="G8" i="7"/>
  <c r="G2" i="7"/>
  <c r="G5" i="7"/>
  <c r="G9" i="7"/>
  <c r="G12" i="7"/>
  <c r="G4" i="7"/>
  <c r="G11" i="7"/>
  <c r="G7" i="7"/>
  <c r="G3" i="7"/>
  <c r="G10" i="7"/>
  <c r="C35" i="7"/>
  <c r="C30" i="7"/>
  <c r="C36" i="7"/>
  <c r="C22" i="7"/>
  <c r="C20" i="7"/>
  <c r="C21" i="7"/>
  <c r="C23" i="7"/>
  <c r="C8" i="7"/>
  <c r="C2" i="7"/>
  <c r="C5" i="7"/>
  <c r="C4" i="7"/>
  <c r="C11" i="7"/>
  <c r="C7" i="7"/>
  <c r="C3" i="7"/>
  <c r="C10" i="7"/>
  <c r="B2" i="42"/>
  <c r="B2" i="48"/>
  <c r="I54" i="39"/>
  <c r="I53" i="39"/>
  <c r="I52" i="39"/>
  <c r="I51" i="39"/>
  <c r="I50" i="39"/>
  <c r="I49" i="39"/>
  <c r="I48" i="39"/>
  <c r="I47" i="39"/>
  <c r="I46" i="39"/>
  <c r="I45" i="39"/>
  <c r="I44" i="39"/>
  <c r="S54" i="39"/>
  <c r="S53" i="39"/>
  <c r="S52" i="39"/>
  <c r="S51" i="39"/>
  <c r="S50" i="39"/>
  <c r="S49" i="39"/>
  <c r="S48" i="39"/>
  <c r="S47" i="39"/>
  <c r="S45" i="39"/>
  <c r="S46" i="39"/>
  <c r="S44" i="39"/>
  <c r="I80" i="39"/>
  <c r="I79" i="39"/>
  <c r="I78" i="39"/>
  <c r="I77" i="39"/>
  <c r="I76" i="39"/>
  <c r="I75" i="39"/>
  <c r="I74" i="39"/>
  <c r="I73" i="39"/>
  <c r="I72" i="39"/>
  <c r="I71" i="39"/>
  <c r="I70" i="39"/>
  <c r="I67" i="39"/>
  <c r="I66" i="39"/>
  <c r="I65" i="39"/>
  <c r="I64" i="39"/>
  <c r="I63" i="39"/>
  <c r="I62" i="39"/>
  <c r="I61" i="39"/>
  <c r="I60" i="39"/>
  <c r="I59" i="39"/>
  <c r="I58" i="39"/>
  <c r="I57" i="39"/>
  <c r="S67" i="39"/>
  <c r="S66" i="39"/>
  <c r="S65" i="39"/>
  <c r="S64" i="39"/>
  <c r="S63" i="39"/>
  <c r="S62" i="39"/>
  <c r="S61" i="39"/>
  <c r="S60" i="39"/>
  <c r="S59" i="39"/>
  <c r="S58" i="39"/>
  <c r="S57" i="39"/>
  <c r="S80" i="39"/>
  <c r="S79" i="39"/>
  <c r="S78" i="39"/>
  <c r="S77" i="39"/>
  <c r="S76" i="39"/>
  <c r="S75" i="39"/>
  <c r="S74" i="39"/>
  <c r="S73" i="39"/>
  <c r="S72" i="39"/>
  <c r="S71" i="39"/>
  <c r="S70" i="39"/>
  <c r="M69" i="39"/>
  <c r="C69" i="39"/>
  <c r="M56" i="39"/>
  <c r="C56" i="39"/>
  <c r="M43" i="39"/>
  <c r="C43" i="39"/>
  <c r="I26" i="50"/>
  <c r="AB3" i="51"/>
  <c r="F48" i="51"/>
  <c r="F32" i="51"/>
  <c r="F33" i="51"/>
  <c r="F34" i="51"/>
  <c r="F35" i="51"/>
  <c r="F36" i="51"/>
  <c r="F37" i="51"/>
  <c r="F38" i="51"/>
  <c r="F39" i="51"/>
  <c r="F40" i="51"/>
  <c r="F41" i="51"/>
  <c r="F42" i="51"/>
  <c r="F43" i="51"/>
  <c r="F44" i="51"/>
  <c r="F45" i="51"/>
  <c r="F46" i="51"/>
  <c r="F47" i="51"/>
  <c r="F31" i="51"/>
  <c r="E32" i="51"/>
  <c r="E33" i="51"/>
  <c r="E34" i="51"/>
  <c r="E35" i="51"/>
  <c r="E36" i="51"/>
  <c r="E37" i="51"/>
  <c r="E38" i="51"/>
  <c r="E39" i="51"/>
  <c r="E40" i="51"/>
  <c r="E41" i="51"/>
  <c r="E42" i="51"/>
  <c r="E43" i="51"/>
  <c r="E44" i="51"/>
  <c r="E45" i="51"/>
  <c r="E46" i="51"/>
  <c r="E47" i="51"/>
  <c r="E48" i="51"/>
  <c r="E31" i="51"/>
  <c r="G30" i="7" l="1"/>
  <c r="C12" i="7"/>
  <c r="G29" i="7"/>
  <c r="G39" i="7" s="1"/>
  <c r="G35" i="7"/>
  <c r="G38" i="7"/>
  <c r="C32" i="7"/>
  <c r="C38" i="7"/>
  <c r="G34" i="7"/>
  <c r="G31" i="7"/>
  <c r="G33" i="7"/>
  <c r="C9" i="7"/>
  <c r="C13" i="7" s="1"/>
  <c r="C39" i="7"/>
  <c r="G26" i="7"/>
  <c r="G13" i="7"/>
  <c r="C26" i="7"/>
  <c r="AE23" i="51"/>
  <c r="F30" i="51"/>
  <c r="AD23" i="51"/>
  <c r="E30" i="51"/>
  <c r="F6" i="23" l="1"/>
  <c r="F7" i="23"/>
  <c r="F8" i="23"/>
  <c r="F9" i="23"/>
  <c r="F10" i="23"/>
  <c r="F11" i="23"/>
  <c r="F12" i="23"/>
  <c r="F13" i="23"/>
  <c r="F14" i="23"/>
  <c r="L25" i="8"/>
  <c r="L26" i="8"/>
  <c r="L27" i="8"/>
  <c r="L28" i="8"/>
  <c r="L29" i="8"/>
  <c r="L30" i="8"/>
  <c r="L31" i="8"/>
  <c r="L32" i="8"/>
  <c r="L33" i="8"/>
  <c r="L34" i="8"/>
  <c r="L35" i="8"/>
  <c r="L6" i="8"/>
  <c r="L7" i="8"/>
  <c r="L8" i="8"/>
  <c r="L9" i="8"/>
  <c r="L10" i="8"/>
  <c r="L11" i="8"/>
  <c r="L12" i="8"/>
  <c r="L13" i="8"/>
  <c r="L14" i="8"/>
  <c r="L15" i="8"/>
  <c r="L16" i="8"/>
  <c r="H25" i="8"/>
  <c r="H26" i="8"/>
  <c r="H27" i="8"/>
  <c r="H28" i="8"/>
  <c r="H29" i="8"/>
  <c r="H30" i="8"/>
  <c r="H31" i="8"/>
  <c r="H32" i="8"/>
  <c r="H33" i="8"/>
  <c r="H34" i="8"/>
  <c r="H35" i="8"/>
  <c r="H6" i="8"/>
  <c r="H7" i="8"/>
  <c r="H8" i="8"/>
  <c r="H9" i="8"/>
  <c r="H10" i="8"/>
  <c r="H11" i="8"/>
  <c r="H12" i="8"/>
  <c r="H13" i="8"/>
  <c r="H14" i="8"/>
  <c r="H15" i="8"/>
  <c r="H16" i="8"/>
  <c r="F25" i="8"/>
  <c r="F26" i="8"/>
  <c r="F27" i="8"/>
  <c r="F28" i="8"/>
  <c r="F29" i="8"/>
  <c r="F30" i="8"/>
  <c r="F31" i="8"/>
  <c r="F32" i="8"/>
  <c r="F33" i="8"/>
  <c r="F34" i="8"/>
  <c r="F35" i="8"/>
  <c r="F6" i="8"/>
  <c r="F7" i="8"/>
  <c r="F8" i="8"/>
  <c r="F9" i="8"/>
  <c r="F10" i="8"/>
  <c r="F11" i="8"/>
  <c r="F12" i="8"/>
  <c r="F13" i="8"/>
  <c r="F14" i="8"/>
  <c r="F15" i="8"/>
  <c r="F16" i="8"/>
  <c r="D25" i="8"/>
  <c r="D26" i="8"/>
  <c r="D27" i="8"/>
  <c r="D28" i="8"/>
  <c r="D29" i="8"/>
  <c r="D30" i="8"/>
  <c r="D31" i="8"/>
  <c r="D32" i="8"/>
  <c r="D33" i="8"/>
  <c r="D34" i="8"/>
  <c r="D35" i="8"/>
  <c r="Y22" i="51" l="1"/>
  <c r="X22" i="51"/>
  <c r="Y21" i="51"/>
  <c r="X21" i="51"/>
  <c r="Y20" i="51"/>
  <c r="X20" i="51"/>
  <c r="Y19" i="51"/>
  <c r="X19" i="51"/>
  <c r="Y18" i="51"/>
  <c r="X18" i="51"/>
  <c r="Y17" i="51"/>
  <c r="X17" i="51"/>
  <c r="Y16" i="51"/>
  <c r="X16" i="51"/>
  <c r="Y15" i="51"/>
  <c r="X15" i="51"/>
  <c r="Y14" i="51"/>
  <c r="X14" i="51"/>
  <c r="Y13" i="51"/>
  <c r="X13" i="51"/>
  <c r="Y12" i="51"/>
  <c r="X12" i="51"/>
  <c r="Y11" i="51"/>
  <c r="X11" i="51"/>
  <c r="Y10" i="51"/>
  <c r="X10" i="51"/>
  <c r="Y9" i="51"/>
  <c r="X9" i="51"/>
  <c r="Y8" i="51"/>
  <c r="X8" i="51"/>
  <c r="Y7" i="51"/>
  <c r="X7" i="51"/>
  <c r="Y6" i="51"/>
  <c r="X6" i="51"/>
  <c r="Y5" i="51"/>
  <c r="X5" i="51"/>
  <c r="T3" i="51"/>
  <c r="S40" i="50" l="1"/>
  <c r="I40" i="50"/>
  <c r="S39" i="50"/>
  <c r="I39" i="50"/>
  <c r="S38" i="50"/>
  <c r="I38" i="50"/>
  <c r="S37" i="50"/>
  <c r="I37" i="50"/>
  <c r="S36" i="50"/>
  <c r="I36" i="50"/>
  <c r="S35" i="50"/>
  <c r="I35" i="50"/>
  <c r="S34" i="50"/>
  <c r="I34" i="50"/>
  <c r="S33" i="50"/>
  <c r="I33" i="50"/>
  <c r="S32" i="50"/>
  <c r="I32" i="50"/>
  <c r="S31" i="50"/>
  <c r="I31" i="50"/>
  <c r="S30" i="50"/>
  <c r="I30" i="50"/>
  <c r="M29" i="50"/>
  <c r="C29" i="50"/>
  <c r="S27" i="50"/>
  <c r="I27" i="50"/>
  <c r="S26" i="50"/>
  <c r="S25" i="50"/>
  <c r="I25" i="50"/>
  <c r="S24" i="50"/>
  <c r="I24" i="50"/>
  <c r="S23" i="50"/>
  <c r="I23" i="50"/>
  <c r="S22" i="50"/>
  <c r="I22" i="50"/>
  <c r="S21" i="50"/>
  <c r="I21" i="50"/>
  <c r="S20" i="50"/>
  <c r="I20" i="50"/>
  <c r="S19" i="50"/>
  <c r="I19" i="50"/>
  <c r="S18" i="50"/>
  <c r="I18" i="50"/>
  <c r="S17" i="50"/>
  <c r="I17" i="50"/>
  <c r="M16" i="50"/>
  <c r="C16" i="50"/>
  <c r="S14" i="50"/>
  <c r="I14" i="50"/>
  <c r="S13" i="50"/>
  <c r="I13" i="50"/>
  <c r="S12" i="50"/>
  <c r="I12" i="50"/>
  <c r="S11" i="50"/>
  <c r="I11" i="50"/>
  <c r="S10" i="50"/>
  <c r="I10" i="50"/>
  <c r="S9" i="50"/>
  <c r="I9" i="50"/>
  <c r="S8" i="50"/>
  <c r="I8" i="50"/>
  <c r="S7" i="50"/>
  <c r="I7" i="50"/>
  <c r="S6" i="50"/>
  <c r="I6" i="50"/>
  <c r="S5" i="50"/>
  <c r="I5" i="50"/>
  <c r="S4" i="50"/>
  <c r="I4" i="50"/>
  <c r="M3" i="50"/>
  <c r="C3" i="50"/>
  <c r="S79" i="49"/>
  <c r="I79" i="49"/>
  <c r="S78" i="49"/>
  <c r="I78" i="49"/>
  <c r="S77" i="49"/>
  <c r="I77" i="49"/>
  <c r="S76" i="49"/>
  <c r="I76" i="49"/>
  <c r="S75" i="49"/>
  <c r="I75" i="49"/>
  <c r="S74" i="49"/>
  <c r="I74" i="49"/>
  <c r="S73" i="49"/>
  <c r="I73" i="49"/>
  <c r="S72" i="49"/>
  <c r="I72" i="49"/>
  <c r="S71" i="49"/>
  <c r="I71" i="49"/>
  <c r="S70" i="49"/>
  <c r="I70" i="49"/>
  <c r="S69" i="49"/>
  <c r="I69" i="49"/>
  <c r="M68" i="49"/>
  <c r="C68" i="49"/>
  <c r="S66" i="49"/>
  <c r="I66" i="49"/>
  <c r="S65" i="49"/>
  <c r="I65" i="49"/>
  <c r="S64" i="49"/>
  <c r="I64" i="49"/>
  <c r="S63" i="49"/>
  <c r="I63" i="49"/>
  <c r="S62" i="49"/>
  <c r="I62" i="49"/>
  <c r="S61" i="49"/>
  <c r="I61" i="49"/>
  <c r="S60" i="49"/>
  <c r="I60" i="49"/>
  <c r="S59" i="49"/>
  <c r="I59" i="49"/>
  <c r="S58" i="49"/>
  <c r="I58" i="49"/>
  <c r="S57" i="49"/>
  <c r="I57" i="49"/>
  <c r="S56" i="49"/>
  <c r="I56" i="49"/>
  <c r="M55" i="49"/>
  <c r="C55" i="49"/>
  <c r="S53" i="49"/>
  <c r="I53" i="49"/>
  <c r="S52" i="49"/>
  <c r="I52" i="49"/>
  <c r="S51" i="49"/>
  <c r="I51" i="49"/>
  <c r="S50" i="49"/>
  <c r="I50" i="49"/>
  <c r="S49" i="49"/>
  <c r="I49" i="49"/>
  <c r="S48" i="49"/>
  <c r="I48" i="49"/>
  <c r="S47" i="49"/>
  <c r="I47" i="49"/>
  <c r="S46" i="49"/>
  <c r="I46" i="49"/>
  <c r="S45" i="49"/>
  <c r="I45" i="49"/>
  <c r="S44" i="49"/>
  <c r="I44" i="49"/>
  <c r="S43" i="49"/>
  <c r="I43" i="49"/>
  <c r="M42" i="49"/>
  <c r="C42" i="49"/>
  <c r="S40" i="49"/>
  <c r="I40" i="49"/>
  <c r="S39" i="49"/>
  <c r="I39" i="49"/>
  <c r="S38" i="49"/>
  <c r="I38" i="49"/>
  <c r="S37" i="49"/>
  <c r="I37" i="49"/>
  <c r="S36" i="49"/>
  <c r="I36" i="49"/>
  <c r="S35" i="49"/>
  <c r="I35" i="49"/>
  <c r="S34" i="49"/>
  <c r="I34" i="49"/>
  <c r="S33" i="49"/>
  <c r="I33" i="49"/>
  <c r="S32" i="49"/>
  <c r="I32" i="49"/>
  <c r="S31" i="49"/>
  <c r="I31" i="49"/>
  <c r="S30" i="49"/>
  <c r="I30" i="49"/>
  <c r="M29" i="49"/>
  <c r="C29" i="49"/>
  <c r="S27" i="49"/>
  <c r="I27" i="49"/>
  <c r="S26" i="49"/>
  <c r="I26" i="49"/>
  <c r="S25" i="49"/>
  <c r="I25" i="49"/>
  <c r="S24" i="49"/>
  <c r="I24" i="49"/>
  <c r="S23" i="49"/>
  <c r="I23" i="49"/>
  <c r="S22" i="49"/>
  <c r="I22" i="49"/>
  <c r="S21" i="49"/>
  <c r="I21" i="49"/>
  <c r="S20" i="49"/>
  <c r="I20" i="49"/>
  <c r="S19" i="49"/>
  <c r="I19" i="49"/>
  <c r="S18" i="49"/>
  <c r="I18" i="49"/>
  <c r="S17" i="49"/>
  <c r="I17" i="49"/>
  <c r="M16" i="49"/>
  <c r="C16" i="49"/>
  <c r="S14" i="49"/>
  <c r="I14" i="49"/>
  <c r="S13" i="49"/>
  <c r="I13" i="49"/>
  <c r="S12" i="49"/>
  <c r="I12" i="49"/>
  <c r="S11" i="49"/>
  <c r="I11" i="49"/>
  <c r="S10" i="49"/>
  <c r="I10" i="49"/>
  <c r="S9" i="49"/>
  <c r="I9" i="49"/>
  <c r="S8" i="49"/>
  <c r="I8" i="49"/>
  <c r="S7" i="49"/>
  <c r="I7" i="49"/>
  <c r="S6" i="49"/>
  <c r="I6" i="49"/>
  <c r="S5" i="49"/>
  <c r="I5" i="49"/>
  <c r="S4" i="49"/>
  <c r="I4" i="49"/>
  <c r="M3" i="49"/>
  <c r="C3" i="49"/>
  <c r="C49" i="48"/>
  <c r="C50" i="48"/>
  <c r="C51" i="48"/>
  <c r="C52" i="48"/>
  <c r="C53" i="48"/>
  <c r="C54" i="48"/>
  <c r="C55" i="48"/>
  <c r="B49" i="48"/>
  <c r="B50" i="48"/>
  <c r="B51" i="48"/>
  <c r="B52" i="48"/>
  <c r="B53" i="48"/>
  <c r="B54" i="48"/>
  <c r="B55" i="48"/>
  <c r="C9" i="19"/>
  <c r="C10" i="19"/>
  <c r="C11" i="19"/>
  <c r="C12" i="19"/>
  <c r="C13" i="19"/>
  <c r="C14" i="19"/>
  <c r="C15" i="19"/>
  <c r="C16" i="19"/>
  <c r="C17" i="19"/>
  <c r="C18" i="19"/>
  <c r="C19" i="19"/>
  <c r="C20" i="19"/>
  <c r="C21" i="19"/>
  <c r="C22" i="19"/>
  <c r="C23" i="19"/>
  <c r="C24" i="19"/>
  <c r="C25" i="19"/>
  <c r="C26" i="19"/>
  <c r="C27" i="19"/>
  <c r="C28" i="19"/>
  <c r="C29" i="19"/>
  <c r="C30" i="19"/>
  <c r="C31" i="19"/>
  <c r="C32" i="19"/>
  <c r="C33" i="19"/>
  <c r="C34" i="19"/>
  <c r="C35" i="19"/>
  <c r="C36" i="19"/>
  <c r="C37" i="19"/>
  <c r="C38" i="19"/>
  <c r="C39" i="19"/>
  <c r="C40" i="19"/>
  <c r="C41" i="19"/>
  <c r="C42" i="19"/>
  <c r="C43" i="19"/>
  <c r="C44" i="19"/>
  <c r="C45" i="19"/>
  <c r="C46" i="19"/>
  <c r="C8" i="19"/>
  <c r="C9" i="48"/>
  <c r="C10" i="48"/>
  <c r="C11" i="48"/>
  <c r="C12" i="48"/>
  <c r="C13" i="48"/>
  <c r="C14" i="48"/>
  <c r="C15" i="48"/>
  <c r="C16" i="48"/>
  <c r="C17" i="48"/>
  <c r="C18" i="48"/>
  <c r="C19" i="48"/>
  <c r="C20" i="48"/>
  <c r="C21" i="48"/>
  <c r="C22" i="48"/>
  <c r="C23" i="48"/>
  <c r="C24" i="48"/>
  <c r="C25" i="48"/>
  <c r="C26" i="48"/>
  <c r="C27" i="48"/>
  <c r="C28" i="48"/>
  <c r="C29" i="48"/>
  <c r="C30" i="48"/>
  <c r="C31" i="48"/>
  <c r="C32" i="48"/>
  <c r="C33" i="48"/>
  <c r="C34" i="48"/>
  <c r="C35" i="48"/>
  <c r="C36" i="48"/>
  <c r="C37" i="48"/>
  <c r="C38" i="48"/>
  <c r="C39" i="48"/>
  <c r="C40" i="48"/>
  <c r="C41" i="48"/>
  <c r="C42" i="48"/>
  <c r="C43" i="48"/>
  <c r="C44" i="48"/>
  <c r="C45" i="48"/>
  <c r="C46" i="48"/>
  <c r="B9" i="48"/>
  <c r="B10" i="48"/>
  <c r="B11" i="48"/>
  <c r="B12" i="48"/>
  <c r="B13" i="48"/>
  <c r="B14" i="48"/>
  <c r="B15" i="48"/>
  <c r="B16" i="48"/>
  <c r="B17" i="48"/>
  <c r="B18" i="48"/>
  <c r="B19" i="48"/>
  <c r="B20" i="48"/>
  <c r="B21" i="48"/>
  <c r="B22" i="48"/>
  <c r="B23" i="48"/>
  <c r="B24" i="48"/>
  <c r="B25" i="48"/>
  <c r="B26" i="48"/>
  <c r="B27" i="48"/>
  <c r="B28" i="48"/>
  <c r="B29" i="48"/>
  <c r="B30" i="48"/>
  <c r="B31" i="48"/>
  <c r="B32" i="48"/>
  <c r="B33" i="48"/>
  <c r="B34" i="48"/>
  <c r="B35" i="48"/>
  <c r="B36" i="48"/>
  <c r="B37" i="48"/>
  <c r="B38" i="48"/>
  <c r="B39" i="48"/>
  <c r="B40" i="48"/>
  <c r="B41" i="48"/>
  <c r="B42" i="48"/>
  <c r="B43" i="48"/>
  <c r="B44" i="48"/>
  <c r="B45" i="48"/>
  <c r="B46" i="48"/>
  <c r="S58" i="48"/>
  <c r="C48" i="48"/>
  <c r="B48" i="48"/>
  <c r="C8" i="48"/>
  <c r="B8" i="48"/>
  <c r="AM3" i="48"/>
  <c r="S3" i="48"/>
  <c r="W2" i="48"/>
  <c r="C49" i="19"/>
  <c r="C50" i="19"/>
  <c r="C51" i="19"/>
  <c r="C52" i="19"/>
  <c r="C53" i="19"/>
  <c r="C54" i="19"/>
  <c r="C55" i="19"/>
  <c r="B49" i="19"/>
  <c r="B50" i="19"/>
  <c r="B51" i="19"/>
  <c r="B52" i="19"/>
  <c r="B53" i="19"/>
  <c r="B54" i="19"/>
  <c r="B55" i="19"/>
  <c r="B9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R50" i="47"/>
  <c r="C47" i="47"/>
  <c r="B47" i="47"/>
  <c r="C46" i="47"/>
  <c r="B46" i="47"/>
  <c r="C45" i="47"/>
  <c r="B45" i="47"/>
  <c r="C44" i="47"/>
  <c r="B44" i="47"/>
  <c r="C43" i="47"/>
  <c r="B43" i="47"/>
  <c r="C42" i="47"/>
  <c r="B42" i="47"/>
  <c r="C40" i="47"/>
  <c r="B40" i="47"/>
  <c r="C39" i="47"/>
  <c r="B39" i="47"/>
  <c r="C38" i="47"/>
  <c r="B38" i="47"/>
  <c r="C37" i="47"/>
  <c r="B37" i="47"/>
  <c r="C36" i="47"/>
  <c r="B36" i="47"/>
  <c r="C35" i="47"/>
  <c r="B35" i="47"/>
  <c r="C34" i="47"/>
  <c r="B34" i="47"/>
  <c r="C33" i="47"/>
  <c r="B33" i="47"/>
  <c r="C32" i="47"/>
  <c r="B32" i="47"/>
  <c r="C31" i="47"/>
  <c r="B31" i="47"/>
  <c r="C30" i="47"/>
  <c r="B30" i="47"/>
  <c r="C29" i="47"/>
  <c r="B29" i="47"/>
  <c r="C28" i="47"/>
  <c r="B28" i="47"/>
  <c r="B27" i="47"/>
  <c r="C26" i="47"/>
  <c r="B26" i="47"/>
  <c r="C25" i="47"/>
  <c r="B25" i="47"/>
  <c r="C24" i="47"/>
  <c r="B24" i="47"/>
  <c r="C23" i="47"/>
  <c r="B23" i="47"/>
  <c r="C22" i="47"/>
  <c r="B22" i="47"/>
  <c r="C21" i="47"/>
  <c r="B21" i="47"/>
  <c r="C20" i="47"/>
  <c r="B20" i="47"/>
  <c r="C19" i="47"/>
  <c r="B19" i="47"/>
  <c r="C18" i="47"/>
  <c r="B18" i="47"/>
  <c r="C17" i="47"/>
  <c r="B17" i="47"/>
  <c r="C16" i="47"/>
  <c r="B16" i="47"/>
  <c r="C15" i="47"/>
  <c r="B15" i="47"/>
  <c r="C14" i="47"/>
  <c r="B14" i="47"/>
  <c r="C13" i="47"/>
  <c r="B13" i="47"/>
  <c r="C12" i="47"/>
  <c r="B12" i="47"/>
  <c r="C11" i="47"/>
  <c r="B11" i="47"/>
  <c r="C10" i="47"/>
  <c r="B10" i="47"/>
  <c r="C9" i="47"/>
  <c r="B9" i="47"/>
  <c r="C8" i="47"/>
  <c r="B8" i="47"/>
  <c r="C7" i="47"/>
  <c r="B7" i="47"/>
  <c r="C6" i="47"/>
  <c r="B6" i="47"/>
  <c r="AL3" i="47"/>
  <c r="R3" i="47"/>
  <c r="V2" i="47"/>
  <c r="X2" i="47" s="1"/>
  <c r="B2" i="47"/>
  <c r="AD7" i="51" l="1"/>
  <c r="AB7" i="51" s="1"/>
  <c r="AD11" i="51"/>
  <c r="AD15" i="51"/>
  <c r="AB15" i="51" s="1"/>
  <c r="AD19" i="51"/>
  <c r="AB19" i="51" s="1"/>
  <c r="AD8" i="51"/>
  <c r="AD12" i="51"/>
  <c r="AD16" i="51"/>
  <c r="AD20" i="51"/>
  <c r="AB20" i="51" s="1"/>
  <c r="AD5" i="51"/>
  <c r="AB5" i="51" s="1"/>
  <c r="AD9" i="51"/>
  <c r="AD13" i="51"/>
  <c r="AB13" i="51" s="1"/>
  <c r="AD17" i="51"/>
  <c r="AB17" i="51" s="1"/>
  <c r="AD21" i="51"/>
  <c r="AB21" i="51" s="1"/>
  <c r="AD6" i="51"/>
  <c r="AB6" i="51" s="1"/>
  <c r="AD10" i="51"/>
  <c r="AB10" i="51" s="1"/>
  <c r="AD14" i="51"/>
  <c r="AB14" i="51" s="1"/>
  <c r="AD18" i="51"/>
  <c r="AB18" i="51" s="1"/>
  <c r="AD22" i="51"/>
  <c r="AB22" i="51" s="1"/>
  <c r="AB16" i="51"/>
  <c r="AB12" i="51"/>
  <c r="AB11" i="51"/>
  <c r="AB9" i="51"/>
  <c r="AB8" i="51"/>
  <c r="AP2" i="47"/>
  <c r="AR2" i="47" s="1"/>
  <c r="Y2" i="48"/>
  <c r="AQ2" i="48"/>
  <c r="AS2" i="48" s="1"/>
  <c r="BD4" i="47"/>
  <c r="BB4" i="47"/>
  <c r="AZ4" i="47"/>
  <c r="AX4" i="47"/>
  <c r="AV4" i="47"/>
  <c r="AT4" i="47"/>
  <c r="AR4" i="47"/>
  <c r="AP4" i="47"/>
  <c r="AN4" i="47"/>
  <c r="AI4" i="47"/>
  <c r="AG4" i="47"/>
  <c r="AE4" i="47"/>
  <c r="AC4" i="47"/>
  <c r="AA4" i="47"/>
  <c r="Y4" i="47"/>
  <c r="W4" i="47"/>
  <c r="U4" i="47"/>
  <c r="S4" i="47"/>
  <c r="BC4" i="47"/>
  <c r="BA4" i="47"/>
  <c r="AY4" i="47"/>
  <c r="AW4" i="47"/>
  <c r="AU4" i="47"/>
  <c r="AS4" i="47"/>
  <c r="AQ4" i="47"/>
  <c r="AO4" i="47"/>
  <c r="AM4" i="47"/>
  <c r="AJ4" i="47"/>
  <c r="U2" i="45" s="1"/>
  <c r="AH4" i="47"/>
  <c r="AF4" i="47"/>
  <c r="AD4" i="47"/>
  <c r="AB4" i="47"/>
  <c r="Z4" i="47"/>
  <c r="X4" i="47"/>
  <c r="V4" i="47"/>
  <c r="T4" i="47"/>
  <c r="S40" i="40"/>
  <c r="S25" i="39"/>
  <c r="E2" i="45" l="1"/>
  <c r="E2" i="43"/>
  <c r="I2" i="45"/>
  <c r="I2" i="43"/>
  <c r="M2" i="45"/>
  <c r="M2" i="43"/>
  <c r="Q2" i="45"/>
  <c r="Q2" i="43"/>
  <c r="D2" i="45"/>
  <c r="D2" i="43"/>
  <c r="H2" i="45"/>
  <c r="H2" i="43"/>
  <c r="L2" i="45"/>
  <c r="L2" i="43"/>
  <c r="P2" i="45"/>
  <c r="P2" i="43"/>
  <c r="T2" i="45"/>
  <c r="T2" i="43"/>
  <c r="G2" i="45"/>
  <c r="G2" i="43"/>
  <c r="K2" i="45"/>
  <c r="K2" i="43"/>
  <c r="O2" i="45"/>
  <c r="O2" i="43"/>
  <c r="S2" i="45"/>
  <c r="S2" i="43"/>
  <c r="F2" i="45"/>
  <c r="F2" i="43"/>
  <c r="J2" i="45"/>
  <c r="J2" i="43"/>
  <c r="N2" i="45"/>
  <c r="N2" i="43"/>
  <c r="R2" i="45"/>
  <c r="R2" i="43"/>
  <c r="BE4" i="48"/>
  <c r="BC4" i="48"/>
  <c r="BA4" i="48"/>
  <c r="AY4" i="48"/>
  <c r="AW4" i="48"/>
  <c r="AU4" i="48"/>
  <c r="AS4" i="48"/>
  <c r="AQ4" i="48"/>
  <c r="AO4" i="48"/>
  <c r="AK4" i="48"/>
  <c r="AI4" i="48"/>
  <c r="AG4" i="48"/>
  <c r="AE4" i="48"/>
  <c r="AC4" i="48"/>
  <c r="AA4" i="48"/>
  <c r="Y4" i="48"/>
  <c r="W4" i="48"/>
  <c r="U4" i="48"/>
  <c r="BE5" i="48"/>
  <c r="BC5" i="48"/>
  <c r="BA5" i="48"/>
  <c r="AY5" i="48"/>
  <c r="AW5" i="48"/>
  <c r="AU5" i="48"/>
  <c r="AS5" i="48"/>
  <c r="AQ5" i="48"/>
  <c r="AO5" i="48"/>
  <c r="AJ5" i="48"/>
  <c r="AH5" i="48"/>
  <c r="AF5" i="48"/>
  <c r="AD5" i="48"/>
  <c r="AB5" i="48"/>
  <c r="Z5" i="48"/>
  <c r="X5" i="48"/>
  <c r="V5" i="48"/>
  <c r="T5" i="48"/>
  <c r="BD4" i="48"/>
  <c r="BB4" i="48"/>
  <c r="AZ4" i="48"/>
  <c r="AX4" i="48"/>
  <c r="AV4" i="48"/>
  <c r="AT4" i="48"/>
  <c r="AR4" i="48"/>
  <c r="AP4" i="48"/>
  <c r="AN4" i="48"/>
  <c r="AJ4" i="48"/>
  <c r="AH4" i="48"/>
  <c r="AF4" i="48"/>
  <c r="AD4" i="48"/>
  <c r="AB4" i="48"/>
  <c r="Z4" i="48"/>
  <c r="X4" i="48"/>
  <c r="V4" i="48"/>
  <c r="T4" i="48"/>
  <c r="BD5" i="48"/>
  <c r="BB5" i="48"/>
  <c r="AZ5" i="48"/>
  <c r="AX5" i="48"/>
  <c r="AV5" i="48"/>
  <c r="AT5" i="48"/>
  <c r="AR5" i="48"/>
  <c r="AP5" i="48"/>
  <c r="AN5" i="48"/>
  <c r="AK5" i="48"/>
  <c r="AI5" i="48"/>
  <c r="AG5" i="48"/>
  <c r="AE5" i="48"/>
  <c r="AC5" i="48"/>
  <c r="AA5" i="48"/>
  <c r="Y5" i="48"/>
  <c r="W5" i="48"/>
  <c r="U5" i="48"/>
  <c r="T47" i="47"/>
  <c r="T46" i="47"/>
  <c r="T45" i="47"/>
  <c r="T44" i="47"/>
  <c r="T43" i="47"/>
  <c r="T42" i="47"/>
  <c r="T40" i="47"/>
  <c r="T39" i="47"/>
  <c r="T38" i="47"/>
  <c r="T37" i="47"/>
  <c r="T36" i="47"/>
  <c r="T35" i="47"/>
  <c r="T34" i="47"/>
  <c r="T33" i="47"/>
  <c r="T32" i="47"/>
  <c r="T31" i="47"/>
  <c r="T26" i="47"/>
  <c r="T25" i="47"/>
  <c r="T24" i="47"/>
  <c r="T23" i="47"/>
  <c r="T30" i="47"/>
  <c r="T29" i="47"/>
  <c r="T28" i="47"/>
  <c r="T27" i="47"/>
  <c r="T22" i="47"/>
  <c r="T21" i="47"/>
  <c r="T20" i="47"/>
  <c r="T19" i="47"/>
  <c r="T18" i="47"/>
  <c r="T17" i="47"/>
  <c r="T16" i="47"/>
  <c r="T15" i="47"/>
  <c r="T14" i="47"/>
  <c r="T13" i="47"/>
  <c r="T12" i="47"/>
  <c r="T11" i="47"/>
  <c r="T10" i="47"/>
  <c r="T9" i="47"/>
  <c r="T8" i="47"/>
  <c r="T7" i="47"/>
  <c r="T6" i="47"/>
  <c r="X47" i="47"/>
  <c r="X46" i="47"/>
  <c r="X45" i="47"/>
  <c r="X44" i="47"/>
  <c r="X43" i="47"/>
  <c r="X42" i="47"/>
  <c r="X40" i="47"/>
  <c r="X39" i="47"/>
  <c r="X38" i="47"/>
  <c r="X37" i="47"/>
  <c r="X36" i="47"/>
  <c r="X35" i="47"/>
  <c r="X34" i="47"/>
  <c r="X33" i="47"/>
  <c r="X32" i="47"/>
  <c r="X31" i="47"/>
  <c r="X26" i="47"/>
  <c r="X25" i="47"/>
  <c r="X24" i="47"/>
  <c r="X23" i="47"/>
  <c r="X30" i="47"/>
  <c r="X29" i="47"/>
  <c r="X28" i="47"/>
  <c r="X27" i="47"/>
  <c r="X22" i="47"/>
  <c r="X21" i="47"/>
  <c r="X20" i="47"/>
  <c r="X19" i="47"/>
  <c r="X18" i="47"/>
  <c r="X17" i="47"/>
  <c r="X16" i="47"/>
  <c r="X15" i="47"/>
  <c r="X14" i="47"/>
  <c r="X13" i="47"/>
  <c r="X12" i="47"/>
  <c r="X11" i="47"/>
  <c r="X10" i="47"/>
  <c r="X9" i="47"/>
  <c r="X8" i="47"/>
  <c r="X7" i="47"/>
  <c r="X6" i="47"/>
  <c r="AB47" i="47"/>
  <c r="AB46" i="47"/>
  <c r="AB45" i="47"/>
  <c r="AB44" i="47"/>
  <c r="AB43" i="47"/>
  <c r="AB42" i="47"/>
  <c r="AB40" i="47"/>
  <c r="AB39" i="47"/>
  <c r="AB38" i="47"/>
  <c r="AB37" i="47"/>
  <c r="AB36" i="47"/>
  <c r="AB35" i="47"/>
  <c r="AB34" i="47"/>
  <c r="AB33" i="47"/>
  <c r="AB32" i="47"/>
  <c r="AB31" i="47"/>
  <c r="AB26" i="47"/>
  <c r="AB25" i="47"/>
  <c r="AB24" i="47"/>
  <c r="AB23" i="47"/>
  <c r="AB30" i="47"/>
  <c r="AB29" i="47"/>
  <c r="AB28" i="47"/>
  <c r="AB27" i="47"/>
  <c r="AB22" i="47"/>
  <c r="AB21" i="47"/>
  <c r="AB20" i="47"/>
  <c r="AB19" i="47"/>
  <c r="AB18" i="47"/>
  <c r="AB17" i="47"/>
  <c r="AB16" i="47"/>
  <c r="AB15" i="47"/>
  <c r="AB14" i="47"/>
  <c r="AB13" i="47"/>
  <c r="AB12" i="47"/>
  <c r="AB11" i="47"/>
  <c r="AB10" i="47"/>
  <c r="AB9" i="47"/>
  <c r="AB8" i="47"/>
  <c r="AB7" i="47"/>
  <c r="AB6" i="47"/>
  <c r="AF47" i="47"/>
  <c r="AF46" i="47"/>
  <c r="AF45" i="47"/>
  <c r="AF44" i="47"/>
  <c r="AF43" i="47"/>
  <c r="AF42" i="47"/>
  <c r="AF40" i="47"/>
  <c r="AF39" i="47"/>
  <c r="AF38" i="47"/>
  <c r="AF37" i="47"/>
  <c r="AF36" i="47"/>
  <c r="AF35" i="47"/>
  <c r="AF34" i="47"/>
  <c r="AF33" i="47"/>
  <c r="AF32" i="47"/>
  <c r="AF31" i="47"/>
  <c r="AF26" i="47"/>
  <c r="AF25" i="47"/>
  <c r="AF24" i="47"/>
  <c r="AF23" i="47"/>
  <c r="AF30" i="47"/>
  <c r="AF29" i="47"/>
  <c r="AF28" i="47"/>
  <c r="AF27" i="47"/>
  <c r="AF22" i="47"/>
  <c r="AF21" i="47"/>
  <c r="AF20" i="47"/>
  <c r="AF19" i="47"/>
  <c r="AF18" i="47"/>
  <c r="AF17" i="47"/>
  <c r="AF16" i="47"/>
  <c r="AF15" i="47"/>
  <c r="AF14" i="47"/>
  <c r="AF13" i="47"/>
  <c r="AF12" i="47"/>
  <c r="AF11" i="47"/>
  <c r="AF10" i="47"/>
  <c r="AF9" i="47"/>
  <c r="AF8" i="47"/>
  <c r="AF7" i="47"/>
  <c r="AF6" i="47"/>
  <c r="AJ47" i="47"/>
  <c r="AJ46" i="47"/>
  <c r="AJ45" i="47"/>
  <c r="AJ44" i="47"/>
  <c r="AJ43" i="47"/>
  <c r="AJ42" i="47"/>
  <c r="AJ40" i="47"/>
  <c r="AJ39" i="47"/>
  <c r="AJ38" i="47"/>
  <c r="AJ37" i="47"/>
  <c r="AJ36" i="47"/>
  <c r="AJ35" i="47"/>
  <c r="AJ34" i="47"/>
  <c r="AJ33" i="47"/>
  <c r="AJ32" i="47"/>
  <c r="AJ31" i="47"/>
  <c r="AJ26" i="47"/>
  <c r="AJ25" i="47"/>
  <c r="AJ24" i="47"/>
  <c r="AJ23" i="47"/>
  <c r="AJ30" i="47"/>
  <c r="AJ29" i="47"/>
  <c r="AJ28" i="47"/>
  <c r="AJ27" i="47"/>
  <c r="AJ22" i="47"/>
  <c r="AJ21" i="47"/>
  <c r="AJ20" i="47"/>
  <c r="AJ19" i="47"/>
  <c r="AJ18" i="47"/>
  <c r="AJ17" i="47"/>
  <c r="AJ16" i="47"/>
  <c r="AJ15" i="47"/>
  <c r="AJ14" i="47"/>
  <c r="AJ13" i="47"/>
  <c r="AJ12" i="47"/>
  <c r="AJ11" i="47"/>
  <c r="AJ10" i="47"/>
  <c r="AJ9" i="47"/>
  <c r="AJ8" i="47"/>
  <c r="AJ7" i="47"/>
  <c r="AJ6" i="47"/>
  <c r="AO47" i="47"/>
  <c r="AO46" i="47"/>
  <c r="AO45" i="47"/>
  <c r="AO44" i="47"/>
  <c r="AO43" i="47"/>
  <c r="AO42" i="47"/>
  <c r="AO40" i="47"/>
  <c r="AO39" i="47"/>
  <c r="AO38" i="47"/>
  <c r="AO37" i="47"/>
  <c r="AO36" i="47"/>
  <c r="AO35" i="47"/>
  <c r="AO34" i="47"/>
  <c r="AO33" i="47"/>
  <c r="AO32" i="47"/>
  <c r="AO31" i="47"/>
  <c r="AO26" i="47"/>
  <c r="AO25" i="47"/>
  <c r="AO24" i="47"/>
  <c r="AO23" i="47"/>
  <c r="AO30" i="47"/>
  <c r="AO29" i="47"/>
  <c r="AO28" i="47"/>
  <c r="AO27" i="47"/>
  <c r="AO22" i="47"/>
  <c r="AO21" i="47"/>
  <c r="AO20" i="47"/>
  <c r="AO19" i="47"/>
  <c r="AO18" i="47"/>
  <c r="AO17" i="47"/>
  <c r="AO16" i="47"/>
  <c r="AO15" i="47"/>
  <c r="AO14" i="47"/>
  <c r="AO13" i="47"/>
  <c r="AO12" i="47"/>
  <c r="AO11" i="47"/>
  <c r="AO10" i="47"/>
  <c r="AO9" i="47"/>
  <c r="AO8" i="47"/>
  <c r="AO7" i="47"/>
  <c r="AO6" i="47"/>
  <c r="AS47" i="47"/>
  <c r="AS46" i="47"/>
  <c r="AS45" i="47"/>
  <c r="AS44" i="47"/>
  <c r="AS43" i="47"/>
  <c r="AS42" i="47"/>
  <c r="AS40" i="47"/>
  <c r="AS39" i="47"/>
  <c r="AS38" i="47"/>
  <c r="AS37" i="47"/>
  <c r="AS36" i="47"/>
  <c r="AS35" i="47"/>
  <c r="AS34" i="47"/>
  <c r="AS33" i="47"/>
  <c r="AS32" i="47"/>
  <c r="AS31" i="47"/>
  <c r="AS26" i="47"/>
  <c r="AS25" i="47"/>
  <c r="AS24" i="47"/>
  <c r="AS23" i="47"/>
  <c r="AS30" i="47"/>
  <c r="AS29" i="47"/>
  <c r="AS28" i="47"/>
  <c r="AS27" i="47"/>
  <c r="AS22" i="47"/>
  <c r="AS21" i="47"/>
  <c r="AS20" i="47"/>
  <c r="AS19" i="47"/>
  <c r="AS18" i="47"/>
  <c r="AS17" i="47"/>
  <c r="AS16" i="47"/>
  <c r="AS15" i="47"/>
  <c r="AS14" i="47"/>
  <c r="AS13" i="47"/>
  <c r="AS12" i="47"/>
  <c r="AS11" i="47"/>
  <c r="AS10" i="47"/>
  <c r="AS9" i="47"/>
  <c r="AS8" i="47"/>
  <c r="AS7" i="47"/>
  <c r="AS6" i="47"/>
  <c r="AW47" i="47"/>
  <c r="AW46" i="47"/>
  <c r="AW45" i="47"/>
  <c r="AW44" i="47"/>
  <c r="AW43" i="47"/>
  <c r="AW42" i="47"/>
  <c r="AW40" i="47"/>
  <c r="AW39" i="47"/>
  <c r="AW38" i="47"/>
  <c r="AW37" i="47"/>
  <c r="AW36" i="47"/>
  <c r="AW35" i="47"/>
  <c r="AW34" i="47"/>
  <c r="AW33" i="47"/>
  <c r="AW32" i="47"/>
  <c r="AW31" i="47"/>
  <c r="AW26" i="47"/>
  <c r="AW25" i="47"/>
  <c r="AW24" i="47"/>
  <c r="AW23" i="47"/>
  <c r="AW30" i="47"/>
  <c r="AW29" i="47"/>
  <c r="AW28" i="47"/>
  <c r="AW27" i="47"/>
  <c r="AW22" i="47"/>
  <c r="AW21" i="47"/>
  <c r="AW20" i="47"/>
  <c r="AW19" i="47"/>
  <c r="AW18" i="47"/>
  <c r="AW17" i="47"/>
  <c r="AW16" i="47"/>
  <c r="AW15" i="47"/>
  <c r="AW14" i="47"/>
  <c r="AW13" i="47"/>
  <c r="AW12" i="47"/>
  <c r="AW11" i="47"/>
  <c r="AW10" i="47"/>
  <c r="AW9" i="47"/>
  <c r="AW8" i="47"/>
  <c r="AW7" i="47"/>
  <c r="AW6" i="47"/>
  <c r="BA47" i="47"/>
  <c r="BA46" i="47"/>
  <c r="BA45" i="47"/>
  <c r="BA44" i="47"/>
  <c r="BA43" i="47"/>
  <c r="BA42" i="47"/>
  <c r="BA40" i="47"/>
  <c r="BA39" i="47"/>
  <c r="BA38" i="47"/>
  <c r="BA37" i="47"/>
  <c r="BA36" i="47"/>
  <c r="BA35" i="47"/>
  <c r="BA34" i="47"/>
  <c r="BA33" i="47"/>
  <c r="BA32" i="47"/>
  <c r="BA31" i="47"/>
  <c r="BA26" i="47"/>
  <c r="BA25" i="47"/>
  <c r="BA24" i="47"/>
  <c r="BA23" i="47"/>
  <c r="BA22" i="47"/>
  <c r="BA30" i="47"/>
  <c r="BA29" i="47"/>
  <c r="BA28" i="47"/>
  <c r="BA27" i="47"/>
  <c r="BA21" i="47"/>
  <c r="BA20" i="47"/>
  <c r="BA19" i="47"/>
  <c r="BA18" i="47"/>
  <c r="BA17" i="47"/>
  <c r="BA16" i="47"/>
  <c r="BA15" i="47"/>
  <c r="BA14" i="47"/>
  <c r="BA13" i="47"/>
  <c r="BA12" i="47"/>
  <c r="BA11" i="47"/>
  <c r="BA10" i="47"/>
  <c r="BA9" i="47"/>
  <c r="BA8" i="47"/>
  <c r="BA7" i="47"/>
  <c r="BA6" i="47"/>
  <c r="S47" i="47"/>
  <c r="S46" i="47"/>
  <c r="S45" i="47"/>
  <c r="S44" i="47"/>
  <c r="S43" i="47"/>
  <c r="S42" i="47"/>
  <c r="S40" i="47"/>
  <c r="S39" i="47"/>
  <c r="S38" i="47"/>
  <c r="S37" i="47"/>
  <c r="S36" i="47"/>
  <c r="S35" i="47"/>
  <c r="S34" i="47"/>
  <c r="S33" i="47"/>
  <c r="S32" i="47"/>
  <c r="S31" i="47"/>
  <c r="S30" i="47"/>
  <c r="S29" i="47"/>
  <c r="S28" i="47"/>
  <c r="S27" i="47"/>
  <c r="S26" i="47"/>
  <c r="S25" i="47"/>
  <c r="S24" i="47"/>
  <c r="S23" i="47"/>
  <c r="S22" i="47"/>
  <c r="S21" i="47"/>
  <c r="S20" i="47"/>
  <c r="S19" i="47"/>
  <c r="S18" i="47"/>
  <c r="S17" i="47"/>
  <c r="S16" i="47"/>
  <c r="S15" i="47"/>
  <c r="S14" i="47"/>
  <c r="S13" i="47"/>
  <c r="S12" i="47"/>
  <c r="S11" i="47"/>
  <c r="S10" i="47"/>
  <c r="S9" i="47"/>
  <c r="S8" i="47"/>
  <c r="S7" i="47"/>
  <c r="S6" i="47"/>
  <c r="R4" i="47"/>
  <c r="W47" i="47"/>
  <c r="W46" i="47"/>
  <c r="W45" i="47"/>
  <c r="W44" i="47"/>
  <c r="W43" i="47"/>
  <c r="W42" i="47"/>
  <c r="W40" i="47"/>
  <c r="W39" i="47"/>
  <c r="W38" i="47"/>
  <c r="W37" i="47"/>
  <c r="W36" i="47"/>
  <c r="W35" i="47"/>
  <c r="W34" i="47"/>
  <c r="W33" i="47"/>
  <c r="W32" i="47"/>
  <c r="W31" i="47"/>
  <c r="W30" i="47"/>
  <c r="W29" i="47"/>
  <c r="W28" i="47"/>
  <c r="W27" i="47"/>
  <c r="W26" i="47"/>
  <c r="W25" i="47"/>
  <c r="W24" i="47"/>
  <c r="W23" i="47"/>
  <c r="W22" i="47"/>
  <c r="W21" i="47"/>
  <c r="W20" i="47"/>
  <c r="W19" i="47"/>
  <c r="W18" i="47"/>
  <c r="W17" i="47"/>
  <c r="W16" i="47"/>
  <c r="W15" i="47"/>
  <c r="W14" i="47"/>
  <c r="W13" i="47"/>
  <c r="W12" i="47"/>
  <c r="W11" i="47"/>
  <c r="W10" i="47"/>
  <c r="W9" i="47"/>
  <c r="W8" i="47"/>
  <c r="W7" i="47"/>
  <c r="W6" i="47"/>
  <c r="AA47" i="47"/>
  <c r="AA46" i="47"/>
  <c r="AA45" i="47"/>
  <c r="AA44" i="47"/>
  <c r="AA43" i="47"/>
  <c r="AA42" i="47"/>
  <c r="AA40" i="47"/>
  <c r="AA39" i="47"/>
  <c r="AA38" i="47"/>
  <c r="AA37" i="47"/>
  <c r="AA36" i="47"/>
  <c r="AA35" i="47"/>
  <c r="AA34" i="47"/>
  <c r="AA33" i="47"/>
  <c r="AA32" i="47"/>
  <c r="AA31" i="47"/>
  <c r="AA30" i="47"/>
  <c r="AA29" i="47"/>
  <c r="AA28" i="47"/>
  <c r="AA27" i="47"/>
  <c r="AA26" i="47"/>
  <c r="AA25" i="47"/>
  <c r="AA24" i="47"/>
  <c r="AA23" i="47"/>
  <c r="AA22" i="47"/>
  <c r="AA21" i="47"/>
  <c r="AA20" i="47"/>
  <c r="AA19" i="47"/>
  <c r="AA18" i="47"/>
  <c r="AA17" i="47"/>
  <c r="AA16" i="47"/>
  <c r="AA15" i="47"/>
  <c r="AA14" i="47"/>
  <c r="AA13" i="47"/>
  <c r="AA12" i="47"/>
  <c r="AA11" i="47"/>
  <c r="AA10" i="47"/>
  <c r="AA9" i="47"/>
  <c r="AA8" i="47"/>
  <c r="AA7" i="47"/>
  <c r="AA6" i="47"/>
  <c r="AE47" i="47"/>
  <c r="AE46" i="47"/>
  <c r="AE45" i="47"/>
  <c r="AE44" i="47"/>
  <c r="AE43" i="47"/>
  <c r="AE42" i="47"/>
  <c r="AE40" i="47"/>
  <c r="AE39" i="47"/>
  <c r="AE38" i="47"/>
  <c r="AE37" i="47"/>
  <c r="AE36" i="47"/>
  <c r="AE35" i="47"/>
  <c r="AE34" i="47"/>
  <c r="AE33" i="47"/>
  <c r="AE32" i="47"/>
  <c r="AE31" i="47"/>
  <c r="AE30" i="47"/>
  <c r="AE29" i="47"/>
  <c r="AE28" i="47"/>
  <c r="AE27" i="47"/>
  <c r="AE26" i="47"/>
  <c r="AE25" i="47"/>
  <c r="AE24" i="47"/>
  <c r="AE23" i="47"/>
  <c r="AE22" i="47"/>
  <c r="AE21" i="47"/>
  <c r="AE20" i="47"/>
  <c r="AE19" i="47"/>
  <c r="AE18" i="47"/>
  <c r="AE17" i="47"/>
  <c r="AE16" i="47"/>
  <c r="AE15" i="47"/>
  <c r="AE14" i="47"/>
  <c r="AE13" i="47"/>
  <c r="AE12" i="47"/>
  <c r="AE11" i="47"/>
  <c r="AE10" i="47"/>
  <c r="AE9" i="47"/>
  <c r="AE8" i="47"/>
  <c r="AE7" i="47"/>
  <c r="AE6" i="47"/>
  <c r="AI47" i="47"/>
  <c r="AI46" i="47"/>
  <c r="AI45" i="47"/>
  <c r="AI44" i="47"/>
  <c r="AI43" i="47"/>
  <c r="AI42" i="47"/>
  <c r="AI40" i="47"/>
  <c r="AI39" i="47"/>
  <c r="AI38" i="47"/>
  <c r="AI37" i="47"/>
  <c r="AI36" i="47"/>
  <c r="AI35" i="47"/>
  <c r="AI34" i="47"/>
  <c r="AI33" i="47"/>
  <c r="AI32" i="47"/>
  <c r="AI31" i="47"/>
  <c r="AI30" i="47"/>
  <c r="AI29" i="47"/>
  <c r="AI28" i="47"/>
  <c r="AI27" i="47"/>
  <c r="AI26" i="47"/>
  <c r="AI25" i="47"/>
  <c r="AI24" i="47"/>
  <c r="AI23" i="47"/>
  <c r="AI22" i="47"/>
  <c r="AI21" i="47"/>
  <c r="AI20" i="47"/>
  <c r="AI19" i="47"/>
  <c r="AI18" i="47"/>
  <c r="AI17" i="47"/>
  <c r="AI16" i="47"/>
  <c r="AI15" i="47"/>
  <c r="AI14" i="47"/>
  <c r="AI13" i="47"/>
  <c r="AI12" i="47"/>
  <c r="AI11" i="47"/>
  <c r="AI10" i="47"/>
  <c r="AI9" i="47"/>
  <c r="AI8" i="47"/>
  <c r="AI7" i="47"/>
  <c r="AI6" i="47"/>
  <c r="AP47" i="47"/>
  <c r="AP46" i="47"/>
  <c r="AP45" i="47"/>
  <c r="AP44" i="47"/>
  <c r="AP43" i="47"/>
  <c r="AP42" i="47"/>
  <c r="AP40" i="47"/>
  <c r="AP39" i="47"/>
  <c r="AP38" i="47"/>
  <c r="AP37" i="47"/>
  <c r="AP36" i="47"/>
  <c r="AP35" i="47"/>
  <c r="AP34" i="47"/>
  <c r="AP33" i="47"/>
  <c r="AP32" i="47"/>
  <c r="AP31" i="47"/>
  <c r="AP30" i="47"/>
  <c r="AP29" i="47"/>
  <c r="AP28" i="47"/>
  <c r="AP27" i="47"/>
  <c r="AP26" i="47"/>
  <c r="AP25" i="47"/>
  <c r="AP24" i="47"/>
  <c r="AP23" i="47"/>
  <c r="AP22" i="47"/>
  <c r="AP21" i="47"/>
  <c r="AP20" i="47"/>
  <c r="AP19" i="47"/>
  <c r="AP18" i="47"/>
  <c r="AP17" i="47"/>
  <c r="AP16" i="47"/>
  <c r="AP15" i="47"/>
  <c r="AP14" i="47"/>
  <c r="AP13" i="47"/>
  <c r="AP12" i="47"/>
  <c r="AP11" i="47"/>
  <c r="AP10" i="47"/>
  <c r="AP9" i="47"/>
  <c r="AP8" i="47"/>
  <c r="AP7" i="47"/>
  <c r="AP6" i="47"/>
  <c r="AT47" i="47"/>
  <c r="AT46" i="47"/>
  <c r="AT45" i="47"/>
  <c r="AT44" i="47"/>
  <c r="AT43" i="47"/>
  <c r="AT42" i="47"/>
  <c r="AT40" i="47"/>
  <c r="AT39" i="47"/>
  <c r="AT38" i="47"/>
  <c r="AT37" i="47"/>
  <c r="AT36" i="47"/>
  <c r="AT35" i="47"/>
  <c r="AT34" i="47"/>
  <c r="AT33" i="47"/>
  <c r="AT32" i="47"/>
  <c r="AT31" i="47"/>
  <c r="AT30" i="47"/>
  <c r="AT29" i="47"/>
  <c r="AT28" i="47"/>
  <c r="AT27" i="47"/>
  <c r="AT26" i="47"/>
  <c r="AT25" i="47"/>
  <c r="AT24" i="47"/>
  <c r="AT23" i="47"/>
  <c r="AT22" i="47"/>
  <c r="AT21" i="47"/>
  <c r="AT20" i="47"/>
  <c r="AT19" i="47"/>
  <c r="AT18" i="47"/>
  <c r="AT17" i="47"/>
  <c r="AT16" i="47"/>
  <c r="AT15" i="47"/>
  <c r="AT14" i="47"/>
  <c r="AT13" i="47"/>
  <c r="AT12" i="47"/>
  <c r="AT11" i="47"/>
  <c r="AT10" i="47"/>
  <c r="AT9" i="47"/>
  <c r="AT8" i="47"/>
  <c r="AT7" i="47"/>
  <c r="AT6" i="47"/>
  <c r="AX47" i="47"/>
  <c r="AX46" i="47"/>
  <c r="AX45" i="47"/>
  <c r="AX44" i="47"/>
  <c r="AX43" i="47"/>
  <c r="AX42" i="47"/>
  <c r="AX40" i="47"/>
  <c r="AX39" i="47"/>
  <c r="AX38" i="47"/>
  <c r="AX37" i="47"/>
  <c r="AX36" i="47"/>
  <c r="AX35" i="47"/>
  <c r="AX34" i="47"/>
  <c r="AX33" i="47"/>
  <c r="AX32" i="47"/>
  <c r="AX31" i="47"/>
  <c r="AX30" i="47"/>
  <c r="AX29" i="47"/>
  <c r="AX28" i="47"/>
  <c r="AX27" i="47"/>
  <c r="AX26" i="47"/>
  <c r="AX25" i="47"/>
  <c r="AX24" i="47"/>
  <c r="AX23" i="47"/>
  <c r="AX22" i="47"/>
  <c r="AX21" i="47"/>
  <c r="AX20" i="47"/>
  <c r="AX19" i="47"/>
  <c r="AX18" i="47"/>
  <c r="AX17" i="47"/>
  <c r="AX16" i="47"/>
  <c r="AX15" i="47"/>
  <c r="AX14" i="47"/>
  <c r="AX13" i="47"/>
  <c r="AX12" i="47"/>
  <c r="AX11" i="47"/>
  <c r="AX10" i="47"/>
  <c r="AX9" i="47"/>
  <c r="AX8" i="47"/>
  <c r="AX7" i="47"/>
  <c r="AX6" i="47"/>
  <c r="BB47" i="47"/>
  <c r="BB46" i="47"/>
  <c r="BB45" i="47"/>
  <c r="BB44" i="47"/>
  <c r="BB43" i="47"/>
  <c r="BB42" i="47"/>
  <c r="BB40" i="47"/>
  <c r="BB39" i="47"/>
  <c r="BB38" i="47"/>
  <c r="BB37" i="47"/>
  <c r="BB36" i="47"/>
  <c r="BB35" i="47"/>
  <c r="BB34" i="47"/>
  <c r="BB33" i="47"/>
  <c r="BB32" i="47"/>
  <c r="BB31" i="47"/>
  <c r="BB30" i="47"/>
  <c r="BB29" i="47"/>
  <c r="BB28" i="47"/>
  <c r="BB27" i="47"/>
  <c r="BB26" i="47"/>
  <c r="BB25" i="47"/>
  <c r="BB24" i="47"/>
  <c r="BB23" i="47"/>
  <c r="BB22" i="47"/>
  <c r="BB21" i="47"/>
  <c r="BB20" i="47"/>
  <c r="BB19" i="47"/>
  <c r="BB18" i="47"/>
  <c r="BB17" i="47"/>
  <c r="BB16" i="47"/>
  <c r="BB15" i="47"/>
  <c r="BB14" i="47"/>
  <c r="BB13" i="47"/>
  <c r="BB12" i="47"/>
  <c r="BB11" i="47"/>
  <c r="BB10" i="47"/>
  <c r="BB9" i="47"/>
  <c r="BB8" i="47"/>
  <c r="BB7" i="47"/>
  <c r="BB6" i="47"/>
  <c r="V47" i="47"/>
  <c r="V46" i="47"/>
  <c r="V45" i="47"/>
  <c r="V44" i="47"/>
  <c r="V43" i="47"/>
  <c r="V42" i="47"/>
  <c r="V40" i="47"/>
  <c r="V39" i="47"/>
  <c r="V38" i="47"/>
  <c r="V37" i="47"/>
  <c r="V36" i="47"/>
  <c r="V35" i="47"/>
  <c r="V34" i="47"/>
  <c r="V33" i="47"/>
  <c r="V32" i="47"/>
  <c r="V31" i="47"/>
  <c r="V26" i="47"/>
  <c r="V25" i="47"/>
  <c r="V24" i="47"/>
  <c r="V23" i="47"/>
  <c r="V30" i="47"/>
  <c r="V29" i="47"/>
  <c r="V28" i="47"/>
  <c r="V27" i="47"/>
  <c r="V22" i="47"/>
  <c r="V21" i="47"/>
  <c r="V20" i="47"/>
  <c r="V19" i="47"/>
  <c r="V18" i="47"/>
  <c r="V17" i="47"/>
  <c r="V16" i="47"/>
  <c r="V15" i="47"/>
  <c r="V14" i="47"/>
  <c r="V13" i="47"/>
  <c r="V12" i="47"/>
  <c r="V11" i="47"/>
  <c r="V10" i="47"/>
  <c r="V9" i="47"/>
  <c r="V8" i="47"/>
  <c r="V7" i="47"/>
  <c r="V6" i="47"/>
  <c r="Z47" i="47"/>
  <c r="Z46" i="47"/>
  <c r="Z45" i="47"/>
  <c r="Z44" i="47"/>
  <c r="Z43" i="47"/>
  <c r="Z42" i="47"/>
  <c r="Z40" i="47"/>
  <c r="Z39" i="47"/>
  <c r="Z38" i="47"/>
  <c r="Z37" i="47"/>
  <c r="Z36" i="47"/>
  <c r="Z35" i="47"/>
  <c r="Z34" i="47"/>
  <c r="Z33" i="47"/>
  <c r="Z32" i="47"/>
  <c r="Z31" i="47"/>
  <c r="Z26" i="47"/>
  <c r="Z25" i="47"/>
  <c r="Z24" i="47"/>
  <c r="Z23" i="47"/>
  <c r="Z30" i="47"/>
  <c r="Z29" i="47"/>
  <c r="Z28" i="47"/>
  <c r="Z27" i="47"/>
  <c r="Z22" i="47"/>
  <c r="Z21" i="47"/>
  <c r="Z20" i="47"/>
  <c r="Z19" i="47"/>
  <c r="Z18" i="47"/>
  <c r="Z17" i="47"/>
  <c r="Z16" i="47"/>
  <c r="Z15" i="47"/>
  <c r="Z14" i="47"/>
  <c r="Z13" i="47"/>
  <c r="Z12" i="47"/>
  <c r="Z11" i="47"/>
  <c r="Z10" i="47"/>
  <c r="Z9" i="47"/>
  <c r="Z8" i="47"/>
  <c r="Z7" i="47"/>
  <c r="Z6" i="47"/>
  <c r="AD47" i="47"/>
  <c r="AD46" i="47"/>
  <c r="AD45" i="47"/>
  <c r="AD44" i="47"/>
  <c r="AD43" i="47"/>
  <c r="AD42" i="47"/>
  <c r="AD40" i="47"/>
  <c r="AD39" i="47"/>
  <c r="AD38" i="47"/>
  <c r="AD37" i="47"/>
  <c r="AD36" i="47"/>
  <c r="AD35" i="47"/>
  <c r="AD34" i="47"/>
  <c r="AD33" i="47"/>
  <c r="AD32" i="47"/>
  <c r="AD31" i="47"/>
  <c r="AD26" i="47"/>
  <c r="AD25" i="47"/>
  <c r="AD24" i="47"/>
  <c r="AD23" i="47"/>
  <c r="AD30" i="47"/>
  <c r="AD29" i="47"/>
  <c r="AD28" i="47"/>
  <c r="AD27" i="47"/>
  <c r="AD22" i="47"/>
  <c r="AD21" i="47"/>
  <c r="AD20" i="47"/>
  <c r="AD19" i="47"/>
  <c r="AD18" i="47"/>
  <c r="AD17" i="47"/>
  <c r="AD16" i="47"/>
  <c r="AD15" i="47"/>
  <c r="AD14" i="47"/>
  <c r="AD13" i="47"/>
  <c r="AD12" i="47"/>
  <c r="AD11" i="47"/>
  <c r="AD10" i="47"/>
  <c r="AD9" i="47"/>
  <c r="AD8" i="47"/>
  <c r="AD7" i="47"/>
  <c r="AD6" i="47"/>
  <c r="AH47" i="47"/>
  <c r="AH46" i="47"/>
  <c r="AH45" i="47"/>
  <c r="AH44" i="47"/>
  <c r="AH43" i="47"/>
  <c r="AH42" i="47"/>
  <c r="AH40" i="47"/>
  <c r="AH39" i="47"/>
  <c r="AH38" i="47"/>
  <c r="AH37" i="47"/>
  <c r="AH36" i="47"/>
  <c r="AH35" i="47"/>
  <c r="AH34" i="47"/>
  <c r="AH33" i="47"/>
  <c r="AH32" i="47"/>
  <c r="AH31" i="47"/>
  <c r="AH26" i="47"/>
  <c r="AH25" i="47"/>
  <c r="AH24" i="47"/>
  <c r="AH23" i="47"/>
  <c r="AH30" i="47"/>
  <c r="AH29" i="47"/>
  <c r="AH28" i="47"/>
  <c r="AH27" i="47"/>
  <c r="AH22" i="47"/>
  <c r="AH21" i="47"/>
  <c r="AH20" i="47"/>
  <c r="AH19" i="47"/>
  <c r="AH18" i="47"/>
  <c r="AH17" i="47"/>
  <c r="AH16" i="47"/>
  <c r="AH15" i="47"/>
  <c r="AH14" i="47"/>
  <c r="AH13" i="47"/>
  <c r="AH12" i="47"/>
  <c r="AH11" i="47"/>
  <c r="AH10" i="47"/>
  <c r="AH9" i="47"/>
  <c r="AH8" i="47"/>
  <c r="AH7" i="47"/>
  <c r="AH6" i="47"/>
  <c r="AM47" i="47"/>
  <c r="AM46" i="47"/>
  <c r="AM45" i="47"/>
  <c r="AM44" i="47"/>
  <c r="AM43" i="47"/>
  <c r="AM42" i="47"/>
  <c r="AM40" i="47"/>
  <c r="AM39" i="47"/>
  <c r="AM38" i="47"/>
  <c r="AM37" i="47"/>
  <c r="AM36" i="47"/>
  <c r="AM35" i="47"/>
  <c r="AM34" i="47"/>
  <c r="AM33" i="47"/>
  <c r="AM32" i="47"/>
  <c r="AM31" i="47"/>
  <c r="AM26" i="47"/>
  <c r="AM25" i="47"/>
  <c r="AM24" i="47"/>
  <c r="AM23" i="47"/>
  <c r="AM30" i="47"/>
  <c r="AM29" i="47"/>
  <c r="AM28" i="47"/>
  <c r="AM27" i="47"/>
  <c r="AM22" i="47"/>
  <c r="AM21" i="47"/>
  <c r="AM20" i="47"/>
  <c r="AM19" i="47"/>
  <c r="AM18" i="47"/>
  <c r="AM17" i="47"/>
  <c r="AM16" i="47"/>
  <c r="AM15" i="47"/>
  <c r="AM14" i="47"/>
  <c r="AM13" i="47"/>
  <c r="AM12" i="47"/>
  <c r="AM11" i="47"/>
  <c r="AM10" i="47"/>
  <c r="AM9" i="47"/>
  <c r="AM8" i="47"/>
  <c r="AM7" i="47"/>
  <c r="AL4" i="47"/>
  <c r="AM6" i="47"/>
  <c r="AQ47" i="47"/>
  <c r="AQ46" i="47"/>
  <c r="AQ45" i="47"/>
  <c r="AQ44" i="47"/>
  <c r="AQ43" i="47"/>
  <c r="AQ42" i="47"/>
  <c r="AQ40" i="47"/>
  <c r="AQ39" i="47"/>
  <c r="AQ38" i="47"/>
  <c r="AQ37" i="47"/>
  <c r="AQ36" i="47"/>
  <c r="AQ35" i="47"/>
  <c r="AQ34" i="47"/>
  <c r="AQ33" i="47"/>
  <c r="AQ32" i="47"/>
  <c r="AQ31" i="47"/>
  <c r="AQ26" i="47"/>
  <c r="AQ25" i="47"/>
  <c r="AQ24" i="47"/>
  <c r="AQ23" i="47"/>
  <c r="AQ30" i="47"/>
  <c r="AQ29" i="47"/>
  <c r="AQ28" i="47"/>
  <c r="AQ27" i="47"/>
  <c r="AQ22" i="47"/>
  <c r="AQ21" i="47"/>
  <c r="AQ20" i="47"/>
  <c r="AQ19" i="47"/>
  <c r="AQ18" i="47"/>
  <c r="AQ17" i="47"/>
  <c r="AQ16" i="47"/>
  <c r="AQ15" i="47"/>
  <c r="AQ14" i="47"/>
  <c r="AQ13" i="47"/>
  <c r="AQ12" i="47"/>
  <c r="AQ11" i="47"/>
  <c r="AQ10" i="47"/>
  <c r="AQ9" i="47"/>
  <c r="AQ8" i="47"/>
  <c r="AQ7" i="47"/>
  <c r="AQ6" i="47"/>
  <c r="AU47" i="47"/>
  <c r="AU46" i="47"/>
  <c r="AU45" i="47"/>
  <c r="AU44" i="47"/>
  <c r="AU43" i="47"/>
  <c r="AU42" i="47"/>
  <c r="AU40" i="47"/>
  <c r="AU39" i="47"/>
  <c r="AU38" i="47"/>
  <c r="AU37" i="47"/>
  <c r="AU36" i="47"/>
  <c r="AU35" i="47"/>
  <c r="AU34" i="47"/>
  <c r="AU33" i="47"/>
  <c r="AU32" i="47"/>
  <c r="AU31" i="47"/>
  <c r="AU26" i="47"/>
  <c r="AU25" i="47"/>
  <c r="AU24" i="47"/>
  <c r="AU23" i="47"/>
  <c r="AU30" i="47"/>
  <c r="AU29" i="47"/>
  <c r="AU28" i="47"/>
  <c r="AU27" i="47"/>
  <c r="AU22" i="47"/>
  <c r="AU21" i="47"/>
  <c r="AU20" i="47"/>
  <c r="AU19" i="47"/>
  <c r="AU18" i="47"/>
  <c r="AU17" i="47"/>
  <c r="AU16" i="47"/>
  <c r="AU15" i="47"/>
  <c r="AU14" i="47"/>
  <c r="AU13" i="47"/>
  <c r="AU12" i="47"/>
  <c r="AU11" i="47"/>
  <c r="AU10" i="47"/>
  <c r="AU9" i="47"/>
  <c r="AU8" i="47"/>
  <c r="AU7" i="47"/>
  <c r="AU6" i="47"/>
  <c r="AY47" i="47"/>
  <c r="AY46" i="47"/>
  <c r="AY45" i="47"/>
  <c r="AY44" i="47"/>
  <c r="AY43" i="47"/>
  <c r="AY42" i="47"/>
  <c r="AY40" i="47"/>
  <c r="AY39" i="47"/>
  <c r="AY38" i="47"/>
  <c r="AY37" i="47"/>
  <c r="AY36" i="47"/>
  <c r="AY35" i="47"/>
  <c r="AY34" i="47"/>
  <c r="AY33" i="47"/>
  <c r="AY32" i="47"/>
  <c r="AY31" i="47"/>
  <c r="AY26" i="47"/>
  <c r="AY25" i="47"/>
  <c r="AY24" i="47"/>
  <c r="AY23" i="47"/>
  <c r="AY22" i="47"/>
  <c r="AY30" i="47"/>
  <c r="AY29" i="47"/>
  <c r="AY28" i="47"/>
  <c r="AY27" i="47"/>
  <c r="AY21" i="47"/>
  <c r="AY20" i="47"/>
  <c r="AY19" i="47"/>
  <c r="AY18" i="47"/>
  <c r="AY17" i="47"/>
  <c r="AY16" i="47"/>
  <c r="AY15" i="47"/>
  <c r="AY14" i="47"/>
  <c r="AY13" i="47"/>
  <c r="AY12" i="47"/>
  <c r="AY11" i="47"/>
  <c r="AY10" i="47"/>
  <c r="AY9" i="47"/>
  <c r="AY8" i="47"/>
  <c r="AY7" i="47"/>
  <c r="AY6" i="47"/>
  <c r="BC47" i="47"/>
  <c r="BC46" i="47"/>
  <c r="BC45" i="47"/>
  <c r="BC44" i="47"/>
  <c r="BC43" i="47"/>
  <c r="BC42" i="47"/>
  <c r="BC40" i="47"/>
  <c r="BC39" i="47"/>
  <c r="BC38" i="47"/>
  <c r="BC37" i="47"/>
  <c r="BC36" i="47"/>
  <c r="BC35" i="47"/>
  <c r="BC34" i="47"/>
  <c r="BC33" i="47"/>
  <c r="BC32" i="47"/>
  <c r="BC31" i="47"/>
  <c r="BC26" i="47"/>
  <c r="BC25" i="47"/>
  <c r="BC24" i="47"/>
  <c r="BC23" i="47"/>
  <c r="BC22" i="47"/>
  <c r="BC30" i="47"/>
  <c r="BC29" i="47"/>
  <c r="BC28" i="47"/>
  <c r="BC27" i="47"/>
  <c r="BC21" i="47"/>
  <c r="BC20" i="47"/>
  <c r="BC19" i="47"/>
  <c r="BC18" i="47"/>
  <c r="BC17" i="47"/>
  <c r="BC16" i="47"/>
  <c r="BC15" i="47"/>
  <c r="BC14" i="47"/>
  <c r="BC13" i="47"/>
  <c r="BC12" i="47"/>
  <c r="BC11" i="47"/>
  <c r="BC10" i="47"/>
  <c r="BC9" i="47"/>
  <c r="BC8" i="47"/>
  <c r="BC7" i="47"/>
  <c r="BC6" i="47"/>
  <c r="U47" i="47"/>
  <c r="U46" i="47"/>
  <c r="U45" i="47"/>
  <c r="U44" i="47"/>
  <c r="U43" i="47"/>
  <c r="U42" i="47"/>
  <c r="U40" i="47"/>
  <c r="U39" i="47"/>
  <c r="U38" i="47"/>
  <c r="U37" i="47"/>
  <c r="U36" i="47"/>
  <c r="U35" i="47"/>
  <c r="U34" i="47"/>
  <c r="U33" i="47"/>
  <c r="U32" i="47"/>
  <c r="U31" i="47"/>
  <c r="U30" i="47"/>
  <c r="U29" i="47"/>
  <c r="U28" i="47"/>
  <c r="U27" i="47"/>
  <c r="U26" i="47"/>
  <c r="U25" i="47"/>
  <c r="U24" i="47"/>
  <c r="U23" i="47"/>
  <c r="U22" i="47"/>
  <c r="U21" i="47"/>
  <c r="U20" i="47"/>
  <c r="U19" i="47"/>
  <c r="U18" i="47"/>
  <c r="U17" i="47"/>
  <c r="U16" i="47"/>
  <c r="U15" i="47"/>
  <c r="U14" i="47"/>
  <c r="U13" i="47"/>
  <c r="U12" i="47"/>
  <c r="U11" i="47"/>
  <c r="U10" i="47"/>
  <c r="U9" i="47"/>
  <c r="U8" i="47"/>
  <c r="U7" i="47"/>
  <c r="U6" i="47"/>
  <c r="Y47" i="47"/>
  <c r="Y46" i="47"/>
  <c r="Y45" i="47"/>
  <c r="Y44" i="47"/>
  <c r="Y43" i="47"/>
  <c r="Y42" i="47"/>
  <c r="Y40" i="47"/>
  <c r="Y39" i="47"/>
  <c r="Y38" i="47"/>
  <c r="Y37" i="47"/>
  <c r="Y36" i="47"/>
  <c r="Y35" i="47"/>
  <c r="Y34" i="47"/>
  <c r="Y33" i="47"/>
  <c r="Y32" i="47"/>
  <c r="Y31" i="47"/>
  <c r="Y30" i="47"/>
  <c r="Y29" i="47"/>
  <c r="Y28" i="47"/>
  <c r="Y27" i="47"/>
  <c r="Y26" i="47"/>
  <c r="Y25" i="47"/>
  <c r="Y24" i="47"/>
  <c r="Y23" i="47"/>
  <c r="Y22" i="47"/>
  <c r="Y21" i="47"/>
  <c r="Y20" i="47"/>
  <c r="Y19" i="47"/>
  <c r="Y18" i="47"/>
  <c r="Y17" i="47"/>
  <c r="Y16" i="47"/>
  <c r="Y15" i="47"/>
  <c r="Y14" i="47"/>
  <c r="Y13" i="47"/>
  <c r="Y12" i="47"/>
  <c r="Y11" i="47"/>
  <c r="Y10" i="47"/>
  <c r="Y9" i="47"/>
  <c r="Y8" i="47"/>
  <c r="Y7" i="47"/>
  <c r="Y6" i="47"/>
  <c r="AC47" i="47"/>
  <c r="AC46" i="47"/>
  <c r="AC45" i="47"/>
  <c r="AC44" i="47"/>
  <c r="AC43" i="47"/>
  <c r="AC42" i="47"/>
  <c r="AC40" i="47"/>
  <c r="AC39" i="47"/>
  <c r="AC38" i="47"/>
  <c r="AC37" i="47"/>
  <c r="AC36" i="47"/>
  <c r="AC35" i="47"/>
  <c r="AC34" i="47"/>
  <c r="AC33" i="47"/>
  <c r="AC32" i="47"/>
  <c r="AC31" i="47"/>
  <c r="AC30" i="47"/>
  <c r="AC29" i="47"/>
  <c r="AC28" i="47"/>
  <c r="AC27" i="47"/>
  <c r="AC26" i="47"/>
  <c r="AC25" i="47"/>
  <c r="AC24" i="47"/>
  <c r="AC23" i="47"/>
  <c r="AC22" i="47"/>
  <c r="AC21" i="47"/>
  <c r="AC20" i="47"/>
  <c r="AC19" i="47"/>
  <c r="AC18" i="47"/>
  <c r="AC17" i="47"/>
  <c r="AC16" i="47"/>
  <c r="AC15" i="47"/>
  <c r="AC14" i="47"/>
  <c r="AC13" i="47"/>
  <c r="AC12" i="47"/>
  <c r="AC11" i="47"/>
  <c r="AC10" i="47"/>
  <c r="AC9" i="47"/>
  <c r="AC8" i="47"/>
  <c r="AC7" i="47"/>
  <c r="AC6" i="47"/>
  <c r="AG47" i="47"/>
  <c r="AG46" i="47"/>
  <c r="AG45" i="47"/>
  <c r="AG44" i="47"/>
  <c r="AG43" i="47"/>
  <c r="AG42" i="47"/>
  <c r="AG40" i="47"/>
  <c r="AG39" i="47"/>
  <c r="AG38" i="47"/>
  <c r="AG37" i="47"/>
  <c r="AG36" i="47"/>
  <c r="AG35" i="47"/>
  <c r="AG34" i="47"/>
  <c r="AG33" i="47"/>
  <c r="AG32" i="47"/>
  <c r="AG31" i="47"/>
  <c r="AG30" i="47"/>
  <c r="AG29" i="47"/>
  <c r="AG28" i="47"/>
  <c r="AG27" i="47"/>
  <c r="AG26" i="47"/>
  <c r="AG25" i="47"/>
  <c r="AG24" i="47"/>
  <c r="AG23" i="47"/>
  <c r="AG22" i="47"/>
  <c r="AG21" i="47"/>
  <c r="AG20" i="47"/>
  <c r="AG19" i="47"/>
  <c r="AG18" i="47"/>
  <c r="AG17" i="47"/>
  <c r="AG16" i="47"/>
  <c r="AG15" i="47"/>
  <c r="AG14" i="47"/>
  <c r="AG13" i="47"/>
  <c r="AG12" i="47"/>
  <c r="AG11" i="47"/>
  <c r="AG10" i="47"/>
  <c r="AG9" i="47"/>
  <c r="AG8" i="47"/>
  <c r="AG7" i="47"/>
  <c r="AG6" i="47"/>
  <c r="AN47" i="47"/>
  <c r="AN46" i="47"/>
  <c r="AN45" i="47"/>
  <c r="AN44" i="47"/>
  <c r="AN43" i="47"/>
  <c r="AN42" i="47"/>
  <c r="AN40" i="47"/>
  <c r="AN39" i="47"/>
  <c r="AN38" i="47"/>
  <c r="AN37" i="47"/>
  <c r="AN36" i="47"/>
  <c r="AN35" i="47"/>
  <c r="AN34" i="47"/>
  <c r="AN33" i="47"/>
  <c r="AN32" i="47"/>
  <c r="AN31" i="47"/>
  <c r="AN30" i="47"/>
  <c r="AN29" i="47"/>
  <c r="AN28" i="47"/>
  <c r="AN27" i="47"/>
  <c r="AN26" i="47"/>
  <c r="AN25" i="47"/>
  <c r="AN24" i="47"/>
  <c r="AN23" i="47"/>
  <c r="AN22" i="47"/>
  <c r="AN21" i="47"/>
  <c r="AN20" i="47"/>
  <c r="AN19" i="47"/>
  <c r="AN18" i="47"/>
  <c r="AN17" i="47"/>
  <c r="AN16" i="47"/>
  <c r="AN15" i="47"/>
  <c r="AN14" i="47"/>
  <c r="AN13" i="47"/>
  <c r="AN12" i="47"/>
  <c r="AN11" i="47"/>
  <c r="AN10" i="47"/>
  <c r="AN9" i="47"/>
  <c r="AN8" i="47"/>
  <c r="AN7" i="47"/>
  <c r="AN6" i="47"/>
  <c r="AR47" i="47"/>
  <c r="AR46" i="47"/>
  <c r="AR45" i="47"/>
  <c r="AR44" i="47"/>
  <c r="AR43" i="47"/>
  <c r="AR42" i="47"/>
  <c r="AR40" i="47"/>
  <c r="AR39" i="47"/>
  <c r="AR38" i="47"/>
  <c r="AR37" i="47"/>
  <c r="AR36" i="47"/>
  <c r="AR35" i="47"/>
  <c r="AR34" i="47"/>
  <c r="AR33" i="47"/>
  <c r="AR32" i="47"/>
  <c r="AR31" i="47"/>
  <c r="AR30" i="47"/>
  <c r="AR29" i="47"/>
  <c r="AR28" i="47"/>
  <c r="AR27" i="47"/>
  <c r="AR26" i="47"/>
  <c r="AR25" i="47"/>
  <c r="AR24" i="47"/>
  <c r="AR23" i="47"/>
  <c r="AR22" i="47"/>
  <c r="AR21" i="47"/>
  <c r="AR20" i="47"/>
  <c r="AR19" i="47"/>
  <c r="AR18" i="47"/>
  <c r="AR17" i="47"/>
  <c r="AR16" i="47"/>
  <c r="AR15" i="47"/>
  <c r="AR14" i="47"/>
  <c r="AR13" i="47"/>
  <c r="AR12" i="47"/>
  <c r="AR11" i="47"/>
  <c r="AR10" i="47"/>
  <c r="AR9" i="47"/>
  <c r="AR8" i="47"/>
  <c r="AR7" i="47"/>
  <c r="AR6" i="47"/>
  <c r="AV47" i="47"/>
  <c r="AV46" i="47"/>
  <c r="AV45" i="47"/>
  <c r="AV44" i="47"/>
  <c r="AV43" i="47"/>
  <c r="AV42" i="47"/>
  <c r="AV40" i="47"/>
  <c r="AV39" i="47"/>
  <c r="AV38" i="47"/>
  <c r="AV37" i="47"/>
  <c r="AV36" i="47"/>
  <c r="AV35" i="47"/>
  <c r="AV34" i="47"/>
  <c r="AV33" i="47"/>
  <c r="AV32" i="47"/>
  <c r="AV31" i="47"/>
  <c r="AV30" i="47"/>
  <c r="AV29" i="47"/>
  <c r="AV28" i="47"/>
  <c r="AV27" i="47"/>
  <c r="AV26" i="47"/>
  <c r="AV25" i="47"/>
  <c r="AV24" i="47"/>
  <c r="AV23" i="47"/>
  <c r="AV22" i="47"/>
  <c r="AV21" i="47"/>
  <c r="AV20" i="47"/>
  <c r="AV19" i="47"/>
  <c r="AV18" i="47"/>
  <c r="AV17" i="47"/>
  <c r="AV16" i="47"/>
  <c r="AV15" i="47"/>
  <c r="AV14" i="47"/>
  <c r="AV13" i="47"/>
  <c r="AV12" i="47"/>
  <c r="AV11" i="47"/>
  <c r="AV10" i="47"/>
  <c r="AV9" i="47"/>
  <c r="AV8" i="47"/>
  <c r="AV7" i="47"/>
  <c r="AV6" i="47"/>
  <c r="AZ47" i="47"/>
  <c r="AZ46" i="47"/>
  <c r="AZ45" i="47"/>
  <c r="AZ44" i="47"/>
  <c r="AZ43" i="47"/>
  <c r="AZ42" i="47"/>
  <c r="AZ40" i="47"/>
  <c r="AZ39" i="47"/>
  <c r="AZ38" i="47"/>
  <c r="AZ37" i="47"/>
  <c r="AZ36" i="47"/>
  <c r="AZ35" i="47"/>
  <c r="AZ34" i="47"/>
  <c r="AZ33" i="47"/>
  <c r="AZ32" i="47"/>
  <c r="AZ31" i="47"/>
  <c r="AZ30" i="47"/>
  <c r="AZ29" i="47"/>
  <c r="AZ28" i="47"/>
  <c r="AZ27" i="47"/>
  <c r="AZ26" i="47"/>
  <c r="AZ25" i="47"/>
  <c r="AZ24" i="47"/>
  <c r="AZ23" i="47"/>
  <c r="AZ22" i="47"/>
  <c r="AZ21" i="47"/>
  <c r="AZ20" i="47"/>
  <c r="AZ19" i="47"/>
  <c r="AZ18" i="47"/>
  <c r="AZ17" i="47"/>
  <c r="AZ16" i="47"/>
  <c r="AZ15" i="47"/>
  <c r="AZ14" i="47"/>
  <c r="AZ13" i="47"/>
  <c r="AZ12" i="47"/>
  <c r="AZ11" i="47"/>
  <c r="AZ10" i="47"/>
  <c r="AZ9" i="47"/>
  <c r="AZ8" i="47"/>
  <c r="AZ7" i="47"/>
  <c r="AZ6" i="47"/>
  <c r="BD47" i="47"/>
  <c r="BD46" i="47"/>
  <c r="BD45" i="47"/>
  <c r="BD44" i="47"/>
  <c r="BD43" i="47"/>
  <c r="BD42" i="47"/>
  <c r="BD40" i="47"/>
  <c r="BD39" i="47"/>
  <c r="BD38" i="47"/>
  <c r="BD37" i="47"/>
  <c r="BD36" i="47"/>
  <c r="BD35" i="47"/>
  <c r="BD34" i="47"/>
  <c r="BD33" i="47"/>
  <c r="BD32" i="47"/>
  <c r="BD31" i="47"/>
  <c r="BD30" i="47"/>
  <c r="BD29" i="47"/>
  <c r="BD28" i="47"/>
  <c r="BD27" i="47"/>
  <c r="BD26" i="47"/>
  <c r="BD25" i="47"/>
  <c r="BD24" i="47"/>
  <c r="BD23" i="47"/>
  <c r="BD22" i="47"/>
  <c r="BD21" i="47"/>
  <c r="BD20" i="47"/>
  <c r="BD19" i="47"/>
  <c r="BD18" i="47"/>
  <c r="BD17" i="47"/>
  <c r="BD16" i="47"/>
  <c r="BD15" i="47"/>
  <c r="BD14" i="47"/>
  <c r="BD13" i="47"/>
  <c r="BD12" i="47"/>
  <c r="BD11" i="47"/>
  <c r="BD10" i="47"/>
  <c r="BD9" i="47"/>
  <c r="BD8" i="47"/>
  <c r="BD7" i="47"/>
  <c r="BD6" i="47"/>
  <c r="AD6" i="48" l="1"/>
  <c r="AD51" i="48" s="1"/>
  <c r="V6" i="48"/>
  <c r="V49" i="48" s="1"/>
  <c r="T6" i="48"/>
  <c r="T52" i="48" s="1"/>
  <c r="AB6" i="48"/>
  <c r="AB51" i="48" s="1"/>
  <c r="AJ6" i="48"/>
  <c r="AJ26" i="48" s="1"/>
  <c r="X6" i="48"/>
  <c r="X49" i="48" s="1"/>
  <c r="AF6" i="48"/>
  <c r="AF51" i="48" s="1"/>
  <c r="AM5" i="48"/>
  <c r="Z6" i="48"/>
  <c r="Z51" i="48" s="1"/>
  <c r="AH6" i="48"/>
  <c r="AH49" i="48" s="1"/>
  <c r="T26" i="48"/>
  <c r="AP6" i="48"/>
  <c r="AT6" i="48"/>
  <c r="AX6" i="48"/>
  <c r="BB6" i="48"/>
  <c r="S5" i="48"/>
  <c r="S4" i="48"/>
  <c r="U6" i="48"/>
  <c r="Y6" i="48"/>
  <c r="AC6" i="48"/>
  <c r="AG6" i="48"/>
  <c r="AK6" i="48"/>
  <c r="AQ6" i="48"/>
  <c r="AU6" i="48"/>
  <c r="AY6" i="48"/>
  <c r="BC6" i="48"/>
  <c r="V51" i="48"/>
  <c r="V10" i="48"/>
  <c r="V11" i="48"/>
  <c r="V14" i="48"/>
  <c r="V20" i="48"/>
  <c r="V21" i="48"/>
  <c r="V25" i="48"/>
  <c r="V33" i="48"/>
  <c r="V37" i="48"/>
  <c r="V39" i="48"/>
  <c r="V43" i="48"/>
  <c r="V44" i="48"/>
  <c r="AD26" i="48"/>
  <c r="AD49" i="48"/>
  <c r="AD52" i="48"/>
  <c r="AD54" i="48"/>
  <c r="AD55" i="48"/>
  <c r="AD10" i="48"/>
  <c r="AD11" i="48"/>
  <c r="AD48" i="48"/>
  <c r="AD13" i="48"/>
  <c r="AD14" i="48"/>
  <c r="AD15" i="48"/>
  <c r="AD17" i="48"/>
  <c r="AD18" i="48"/>
  <c r="AD19" i="48"/>
  <c r="AD21" i="48"/>
  <c r="AD22" i="48"/>
  <c r="AD23" i="48"/>
  <c r="AD25" i="48"/>
  <c r="AD33" i="48"/>
  <c r="AD34" i="48"/>
  <c r="AD36" i="48"/>
  <c r="AD37" i="48"/>
  <c r="AD38" i="48"/>
  <c r="AD40" i="48"/>
  <c r="AD41" i="48"/>
  <c r="AD42" i="48"/>
  <c r="AD44" i="48"/>
  <c r="AD45" i="48"/>
  <c r="AD46" i="48"/>
  <c r="AM4" i="48"/>
  <c r="AN6" i="48"/>
  <c r="AR6" i="48"/>
  <c r="AV6" i="48"/>
  <c r="AZ6" i="48"/>
  <c r="BD6" i="48"/>
  <c r="W6" i="48"/>
  <c r="AA6" i="48"/>
  <c r="AE6" i="48"/>
  <c r="AI6" i="48"/>
  <c r="AO6" i="48"/>
  <c r="AS6" i="48"/>
  <c r="AW6" i="48"/>
  <c r="BA6" i="48"/>
  <c r="BE6" i="48"/>
  <c r="AL8" i="47"/>
  <c r="G8" i="47" s="1"/>
  <c r="AL10" i="47"/>
  <c r="G10" i="47" s="1"/>
  <c r="AL12" i="47"/>
  <c r="G12" i="47" s="1"/>
  <c r="AL14" i="47"/>
  <c r="G14" i="47" s="1"/>
  <c r="AL16" i="47"/>
  <c r="G16" i="47" s="1"/>
  <c r="AL18" i="47"/>
  <c r="G18" i="47" s="1"/>
  <c r="AL20" i="47"/>
  <c r="G20" i="47" s="1"/>
  <c r="AL22" i="47"/>
  <c r="G22" i="47" s="1"/>
  <c r="AL28" i="47"/>
  <c r="G28" i="47" s="1"/>
  <c r="AL30" i="47"/>
  <c r="G30" i="47" s="1"/>
  <c r="AL24" i="47"/>
  <c r="G24" i="47" s="1"/>
  <c r="AL26" i="47"/>
  <c r="G26" i="47" s="1"/>
  <c r="G32" i="19" s="1"/>
  <c r="AL32" i="47"/>
  <c r="G32" i="47" s="1"/>
  <c r="AL34" i="47"/>
  <c r="G34" i="47" s="1"/>
  <c r="AL36" i="47"/>
  <c r="G36" i="47" s="1"/>
  <c r="AL38" i="47"/>
  <c r="G38" i="47" s="1"/>
  <c r="AL40" i="47"/>
  <c r="G40" i="47" s="1"/>
  <c r="AL43" i="47"/>
  <c r="G43" i="47" s="1"/>
  <c r="AL45" i="47"/>
  <c r="G45" i="47" s="1"/>
  <c r="AL47" i="47"/>
  <c r="G47" i="47" s="1"/>
  <c r="R6" i="47"/>
  <c r="F6" i="47" s="1"/>
  <c r="R8" i="47"/>
  <c r="F8" i="47" s="1"/>
  <c r="R10" i="47"/>
  <c r="F10" i="47" s="1"/>
  <c r="R12" i="47"/>
  <c r="F12" i="47" s="1"/>
  <c r="R14" i="47"/>
  <c r="F14" i="47" s="1"/>
  <c r="R16" i="47"/>
  <c r="F16" i="47" s="1"/>
  <c r="R18" i="47"/>
  <c r="F18" i="47" s="1"/>
  <c r="R20" i="47"/>
  <c r="F20" i="47" s="1"/>
  <c r="R22" i="47"/>
  <c r="F22" i="47" s="1"/>
  <c r="R24" i="47"/>
  <c r="F24" i="47" s="1"/>
  <c r="R26" i="47"/>
  <c r="F26" i="47" s="1"/>
  <c r="F32" i="19" s="1"/>
  <c r="R28" i="47"/>
  <c r="F28" i="47" s="1"/>
  <c r="R30" i="47"/>
  <c r="F30" i="47" s="1"/>
  <c r="R32" i="47"/>
  <c r="F32" i="47" s="1"/>
  <c r="R34" i="47"/>
  <c r="F34" i="47" s="1"/>
  <c r="R36" i="47"/>
  <c r="F36" i="47" s="1"/>
  <c r="R38" i="47"/>
  <c r="F38" i="47" s="1"/>
  <c r="R40" i="47"/>
  <c r="F40" i="47" s="1"/>
  <c r="R43" i="47"/>
  <c r="F43" i="47" s="1"/>
  <c r="R45" i="47"/>
  <c r="F45" i="47" s="1"/>
  <c r="R47" i="47"/>
  <c r="F47" i="47" s="1"/>
  <c r="AL6" i="47"/>
  <c r="G6" i="47" s="1"/>
  <c r="AL7" i="47"/>
  <c r="G7" i="47" s="1"/>
  <c r="AL9" i="47"/>
  <c r="G9" i="47" s="1"/>
  <c r="AL11" i="47"/>
  <c r="G11" i="47" s="1"/>
  <c r="AL13" i="47"/>
  <c r="G13" i="47" s="1"/>
  <c r="AL15" i="47"/>
  <c r="G15" i="47" s="1"/>
  <c r="AL17" i="47"/>
  <c r="G17" i="47" s="1"/>
  <c r="AL19" i="47"/>
  <c r="G19" i="47" s="1"/>
  <c r="AL21" i="47"/>
  <c r="G21" i="47" s="1"/>
  <c r="AL27" i="47"/>
  <c r="G27" i="47" s="1"/>
  <c r="AL29" i="47"/>
  <c r="G29" i="47" s="1"/>
  <c r="AL23" i="47"/>
  <c r="G23" i="47" s="1"/>
  <c r="AL25" i="47"/>
  <c r="G25" i="47" s="1"/>
  <c r="G31" i="19" s="1"/>
  <c r="AL31" i="47"/>
  <c r="G31" i="47" s="1"/>
  <c r="AL33" i="47"/>
  <c r="G33" i="47" s="1"/>
  <c r="AL35" i="47"/>
  <c r="G35" i="47" s="1"/>
  <c r="AL37" i="47"/>
  <c r="G37" i="47" s="1"/>
  <c r="AL39" i="47"/>
  <c r="G39" i="47" s="1"/>
  <c r="AL42" i="47"/>
  <c r="G42" i="47" s="1"/>
  <c r="AL44" i="47"/>
  <c r="G44" i="47" s="1"/>
  <c r="AL46" i="47"/>
  <c r="G46" i="47" s="1"/>
  <c r="R7" i="47"/>
  <c r="F7" i="47" s="1"/>
  <c r="R9" i="47"/>
  <c r="F9" i="47" s="1"/>
  <c r="R11" i="47"/>
  <c r="F11" i="47" s="1"/>
  <c r="R13" i="47"/>
  <c r="F13" i="47" s="1"/>
  <c r="R15" i="47"/>
  <c r="F15" i="47" s="1"/>
  <c r="R17" i="47"/>
  <c r="F17" i="47" s="1"/>
  <c r="R19" i="47"/>
  <c r="F19" i="47" s="1"/>
  <c r="R21" i="47"/>
  <c r="F21" i="47" s="1"/>
  <c r="R23" i="47"/>
  <c r="F23" i="47" s="1"/>
  <c r="R25" i="47"/>
  <c r="F25" i="47" s="1"/>
  <c r="F31" i="19" s="1"/>
  <c r="R27" i="47"/>
  <c r="F27" i="47" s="1"/>
  <c r="R29" i="47"/>
  <c r="F29" i="47" s="1"/>
  <c r="R31" i="47"/>
  <c r="F31" i="47" s="1"/>
  <c r="R33" i="47"/>
  <c r="F33" i="47" s="1"/>
  <c r="R35" i="47"/>
  <c r="F35" i="47" s="1"/>
  <c r="R37" i="47"/>
  <c r="F37" i="47" s="1"/>
  <c r="R39" i="47"/>
  <c r="F39" i="47" s="1"/>
  <c r="R42" i="47"/>
  <c r="F42" i="47" s="1"/>
  <c r="R44" i="47"/>
  <c r="F44" i="47" s="1"/>
  <c r="R46" i="47"/>
  <c r="F46" i="47" s="1"/>
  <c r="S20" i="40"/>
  <c r="S21" i="40"/>
  <c r="B2" i="35"/>
  <c r="B2" i="34"/>
  <c r="B3" i="46"/>
  <c r="B3" i="45"/>
  <c r="B2" i="14"/>
  <c r="B2" i="12"/>
  <c r="B2" i="37"/>
  <c r="B2" i="36"/>
  <c r="B3" i="44"/>
  <c r="B3" i="43"/>
  <c r="B2" i="11"/>
  <c r="B2" i="9"/>
  <c r="B2" i="23"/>
  <c r="B2" i="8"/>
  <c r="B2" i="20"/>
  <c r="B2" i="19"/>
  <c r="V16" i="48" l="1"/>
  <c r="V52" i="48"/>
  <c r="T17" i="48"/>
  <c r="AF34" i="48"/>
  <c r="AF49" i="48"/>
  <c r="T40" i="48"/>
  <c r="AF42" i="48"/>
  <c r="T25" i="48"/>
  <c r="AF48" i="48"/>
  <c r="AF19" i="48"/>
  <c r="AF25" i="48"/>
  <c r="AF17" i="48"/>
  <c r="T46" i="48"/>
  <c r="T23" i="48"/>
  <c r="T14" i="48"/>
  <c r="V45" i="48"/>
  <c r="V40" i="48"/>
  <c r="V35" i="48"/>
  <c r="V22" i="48"/>
  <c r="V17" i="48"/>
  <c r="V48" i="48"/>
  <c r="V54" i="48"/>
  <c r="AF44" i="48"/>
  <c r="AF36" i="48"/>
  <c r="AF21" i="48"/>
  <c r="AF13" i="48"/>
  <c r="AF52" i="48"/>
  <c r="T42" i="48"/>
  <c r="T34" i="48"/>
  <c r="T19" i="48"/>
  <c r="T55" i="48"/>
  <c r="AF40" i="48"/>
  <c r="AF10" i="48"/>
  <c r="T38" i="48"/>
  <c r="V8" i="48"/>
  <c r="V41" i="48"/>
  <c r="V36" i="48"/>
  <c r="V24" i="48"/>
  <c r="V18" i="48"/>
  <c r="V13" i="48"/>
  <c r="V9" i="48"/>
  <c r="V26" i="48"/>
  <c r="AF46" i="48"/>
  <c r="AF38" i="48"/>
  <c r="AF23" i="48"/>
  <c r="AF15" i="48"/>
  <c r="AF55" i="48"/>
  <c r="T44" i="48"/>
  <c r="T36" i="48"/>
  <c r="T21" i="48"/>
  <c r="T12" i="48"/>
  <c r="AD8" i="48"/>
  <c r="AD43" i="48"/>
  <c r="AD39" i="48"/>
  <c r="AD35" i="48"/>
  <c r="AD24" i="48"/>
  <c r="AD20" i="48"/>
  <c r="AD16" i="48"/>
  <c r="AD12" i="48"/>
  <c r="AD9" i="48"/>
  <c r="V46" i="48"/>
  <c r="V42" i="48"/>
  <c r="V38" i="48"/>
  <c r="V34" i="48"/>
  <c r="V23" i="48"/>
  <c r="V19" i="48"/>
  <c r="V15" i="48"/>
  <c r="V12" i="48"/>
  <c r="V55" i="48"/>
  <c r="AB22" i="48"/>
  <c r="AF45" i="48"/>
  <c r="AF41" i="48"/>
  <c r="AF37" i="48"/>
  <c r="AF33" i="48"/>
  <c r="AF22" i="48"/>
  <c r="AF18" i="48"/>
  <c r="AF14" i="48"/>
  <c r="AF11" i="48"/>
  <c r="AF54" i="48"/>
  <c r="AF26" i="48"/>
  <c r="T45" i="48"/>
  <c r="T41" i="48"/>
  <c r="T37" i="48"/>
  <c r="T33" i="48"/>
  <c r="T22" i="48"/>
  <c r="T18" i="48"/>
  <c r="T13" i="48"/>
  <c r="T54" i="48"/>
  <c r="AF8" i="48"/>
  <c r="AF43" i="48"/>
  <c r="AF39" i="48"/>
  <c r="AF35" i="48"/>
  <c r="AF24" i="48"/>
  <c r="AF20" i="48"/>
  <c r="AF16" i="48"/>
  <c r="AF12" i="48"/>
  <c r="AF9" i="48"/>
  <c r="T8" i="48"/>
  <c r="T43" i="48"/>
  <c r="T39" i="48"/>
  <c r="T35" i="48"/>
  <c r="T24" i="48"/>
  <c r="T20" i="48"/>
  <c r="T15" i="48"/>
  <c r="T10" i="48"/>
  <c r="AB13" i="48"/>
  <c r="AB36" i="48"/>
  <c r="AB45" i="48"/>
  <c r="AB54" i="48"/>
  <c r="AB37" i="48"/>
  <c r="AB14" i="48"/>
  <c r="AB44" i="48"/>
  <c r="AB21" i="48"/>
  <c r="AB52" i="48"/>
  <c r="AB40" i="48"/>
  <c r="AB25" i="48"/>
  <c r="AB17" i="48"/>
  <c r="AB10" i="48"/>
  <c r="AB41" i="48"/>
  <c r="AB33" i="48"/>
  <c r="AB18" i="48"/>
  <c r="AB11" i="48"/>
  <c r="AB26" i="48"/>
  <c r="AH33" i="48"/>
  <c r="T11" i="48"/>
  <c r="T51" i="48"/>
  <c r="AJ12" i="48"/>
  <c r="X18" i="48"/>
  <c r="X26" i="48"/>
  <c r="T16" i="48"/>
  <c r="T48" i="48"/>
  <c r="T9" i="48"/>
  <c r="T49" i="48"/>
  <c r="AH11" i="48"/>
  <c r="AJ35" i="48"/>
  <c r="X41" i="48"/>
  <c r="AJ25" i="48"/>
  <c r="AJ40" i="48"/>
  <c r="AJ17" i="48"/>
  <c r="AB46" i="48"/>
  <c r="AB42" i="48"/>
  <c r="AB38" i="48"/>
  <c r="AB34" i="48"/>
  <c r="AB23" i="48"/>
  <c r="AB19" i="48"/>
  <c r="AB15" i="48"/>
  <c r="AB12" i="48"/>
  <c r="AB55" i="48"/>
  <c r="AB49" i="48"/>
  <c r="AJ10" i="48"/>
  <c r="AJ43" i="48"/>
  <c r="AJ20" i="48"/>
  <c r="AJ51" i="48"/>
  <c r="AB8" i="48"/>
  <c r="AB43" i="48"/>
  <c r="AB39" i="48"/>
  <c r="AB35" i="48"/>
  <c r="AB24" i="48"/>
  <c r="AB20" i="48"/>
  <c r="AB16" i="48"/>
  <c r="AB48" i="48"/>
  <c r="AB9" i="48"/>
  <c r="AH45" i="48"/>
  <c r="AH54" i="48"/>
  <c r="X37" i="48"/>
  <c r="AH41" i="48"/>
  <c r="AH18" i="48"/>
  <c r="AH26" i="48"/>
  <c r="Z46" i="48"/>
  <c r="AJ8" i="48"/>
  <c r="AJ39" i="48"/>
  <c r="AJ24" i="48"/>
  <c r="AJ16" i="48"/>
  <c r="AJ9" i="48"/>
  <c r="X33" i="48"/>
  <c r="X11" i="48"/>
  <c r="AH22" i="48"/>
  <c r="X14" i="48"/>
  <c r="AH37" i="48"/>
  <c r="AH14" i="48"/>
  <c r="Z23" i="48"/>
  <c r="AJ44" i="48"/>
  <c r="AJ36" i="48"/>
  <c r="AJ21" i="48"/>
  <c r="AJ13" i="48"/>
  <c r="AJ52" i="48"/>
  <c r="X45" i="48"/>
  <c r="X22" i="48"/>
  <c r="X54" i="48"/>
  <c r="AH40" i="48"/>
  <c r="AH25" i="48"/>
  <c r="AH17" i="48"/>
  <c r="AH13" i="48"/>
  <c r="AH52" i="48"/>
  <c r="X44" i="48"/>
  <c r="X36" i="48"/>
  <c r="X21" i="48"/>
  <c r="X13" i="48"/>
  <c r="X10" i="48"/>
  <c r="AH8" i="48"/>
  <c r="AH43" i="48"/>
  <c r="AH39" i="48"/>
  <c r="AH35" i="48"/>
  <c r="AH24" i="48"/>
  <c r="AH20" i="48"/>
  <c r="AH16" i="48"/>
  <c r="AH12" i="48"/>
  <c r="AH9" i="48"/>
  <c r="AH51" i="48"/>
  <c r="Z55" i="48"/>
  <c r="AJ46" i="48"/>
  <c r="AJ42" i="48"/>
  <c r="AJ38" i="48"/>
  <c r="AJ34" i="48"/>
  <c r="AJ23" i="48"/>
  <c r="AJ19" i="48"/>
  <c r="AJ15" i="48"/>
  <c r="AJ48" i="48"/>
  <c r="AJ55" i="48"/>
  <c r="AJ49" i="48"/>
  <c r="X8" i="48"/>
  <c r="X43" i="48"/>
  <c r="X39" i="48"/>
  <c r="X35" i="48"/>
  <c r="X24" i="48"/>
  <c r="X20" i="48"/>
  <c r="X16" i="48"/>
  <c r="X48" i="48"/>
  <c r="X9" i="48"/>
  <c r="X51" i="48"/>
  <c r="AH44" i="48"/>
  <c r="AH36" i="48"/>
  <c r="AH21" i="48"/>
  <c r="AH10" i="48"/>
  <c r="X40" i="48"/>
  <c r="X25" i="48"/>
  <c r="X17" i="48"/>
  <c r="X52" i="48"/>
  <c r="AH46" i="48"/>
  <c r="AH42" i="48"/>
  <c r="AH38" i="48"/>
  <c r="AH34" i="48"/>
  <c r="AH23" i="48"/>
  <c r="AH19" i="48"/>
  <c r="AH15" i="48"/>
  <c r="AH48" i="48"/>
  <c r="AH55" i="48"/>
  <c r="AJ45" i="48"/>
  <c r="AJ41" i="48"/>
  <c r="AJ37" i="48"/>
  <c r="AJ33" i="48"/>
  <c r="AJ22" i="48"/>
  <c r="AJ18" i="48"/>
  <c r="AJ14" i="48"/>
  <c r="AJ11" i="48"/>
  <c r="AJ54" i="48"/>
  <c r="X46" i="48"/>
  <c r="X42" i="48"/>
  <c r="X38" i="48"/>
  <c r="X34" i="48"/>
  <c r="X23" i="48"/>
  <c r="X19" i="48"/>
  <c r="X15" i="48"/>
  <c r="X12" i="48"/>
  <c r="X55" i="48"/>
  <c r="Z19" i="48"/>
  <c r="Z38" i="48"/>
  <c r="Z15" i="48"/>
  <c r="Z42" i="48"/>
  <c r="Z49" i="48"/>
  <c r="Z34" i="48"/>
  <c r="Z12" i="48"/>
  <c r="Z37" i="48"/>
  <c r="Z22" i="48"/>
  <c r="Z18" i="48"/>
  <c r="Z11" i="48"/>
  <c r="Z26" i="48"/>
  <c r="Z44" i="48"/>
  <c r="Z40" i="48"/>
  <c r="Z36" i="48"/>
  <c r="Z25" i="48"/>
  <c r="Z21" i="48"/>
  <c r="Z17" i="48"/>
  <c r="Z13" i="48"/>
  <c r="Z10" i="48"/>
  <c r="Z52" i="48"/>
  <c r="Z45" i="48"/>
  <c r="Z41" i="48"/>
  <c r="Z33" i="48"/>
  <c r="Z14" i="48"/>
  <c r="Z54" i="48"/>
  <c r="Z8" i="48"/>
  <c r="Z43" i="48"/>
  <c r="Z39" i="48"/>
  <c r="Z35" i="48"/>
  <c r="Z24" i="48"/>
  <c r="Z20" i="48"/>
  <c r="Z16" i="48"/>
  <c r="Z48" i="48"/>
  <c r="Z9" i="48"/>
  <c r="BA49" i="48"/>
  <c r="BA51" i="48"/>
  <c r="BA26" i="48"/>
  <c r="BA48" i="48"/>
  <c r="BA52" i="48"/>
  <c r="BA54" i="48"/>
  <c r="BA55" i="48"/>
  <c r="BA9" i="48"/>
  <c r="BA10" i="48"/>
  <c r="BA11" i="48"/>
  <c r="BA12" i="48"/>
  <c r="BA13" i="48"/>
  <c r="BA14" i="48"/>
  <c r="BA15" i="48"/>
  <c r="BA16" i="48"/>
  <c r="BA17" i="48"/>
  <c r="BA18" i="48"/>
  <c r="BA19" i="48"/>
  <c r="BA20" i="48"/>
  <c r="BA21" i="48"/>
  <c r="BA22" i="48"/>
  <c r="BA23" i="48"/>
  <c r="BA24" i="48"/>
  <c r="BA25" i="48"/>
  <c r="BA33" i="48"/>
  <c r="BA34" i="48"/>
  <c r="BA35" i="48"/>
  <c r="BA36" i="48"/>
  <c r="BA37" i="48"/>
  <c r="BA38" i="48"/>
  <c r="BA39" i="48"/>
  <c r="BA8" i="48"/>
  <c r="BA40" i="48"/>
  <c r="BA41" i="48"/>
  <c r="BA42" i="48"/>
  <c r="BA43" i="48"/>
  <c r="BA44" i="48"/>
  <c r="BA45" i="48"/>
  <c r="BA46" i="48"/>
  <c r="AS49" i="48"/>
  <c r="AS51" i="48"/>
  <c r="AS26" i="48"/>
  <c r="AS48" i="48"/>
  <c r="AS52" i="48"/>
  <c r="AS54" i="48"/>
  <c r="AS55" i="48"/>
  <c r="AS9" i="48"/>
  <c r="AS10" i="48"/>
  <c r="AS11" i="48"/>
  <c r="AS12" i="48"/>
  <c r="AS13" i="48"/>
  <c r="AS14" i="48"/>
  <c r="AS15" i="48"/>
  <c r="AS16" i="48"/>
  <c r="AS17" i="48"/>
  <c r="AS18" i="48"/>
  <c r="AS19" i="48"/>
  <c r="AS20" i="48"/>
  <c r="AS21" i="48"/>
  <c r="AS22" i="48"/>
  <c r="AS23" i="48"/>
  <c r="AS24" i="48"/>
  <c r="AS25" i="48"/>
  <c r="AS33" i="48"/>
  <c r="AS34" i="48"/>
  <c r="AS35" i="48"/>
  <c r="AS36" i="48"/>
  <c r="AS37" i="48"/>
  <c r="AS38" i="48"/>
  <c r="AS39" i="48"/>
  <c r="AS40" i="48"/>
  <c r="AS8" i="48"/>
  <c r="AS41" i="48"/>
  <c r="AS42" i="48"/>
  <c r="AS43" i="48"/>
  <c r="AS44" i="48"/>
  <c r="AS45" i="48"/>
  <c r="AS46" i="48"/>
  <c r="AI26" i="48"/>
  <c r="AI48" i="48"/>
  <c r="AI49" i="48"/>
  <c r="AI51" i="48"/>
  <c r="AI52" i="48"/>
  <c r="AI54" i="48"/>
  <c r="AI55" i="48"/>
  <c r="AI9" i="48"/>
  <c r="AI10" i="48"/>
  <c r="AI11" i="48"/>
  <c r="AI8" i="48"/>
  <c r="AI12" i="48"/>
  <c r="AI13" i="48"/>
  <c r="AI14" i="48"/>
  <c r="AI15" i="48"/>
  <c r="AI16" i="48"/>
  <c r="AI17" i="48"/>
  <c r="AI18" i="48"/>
  <c r="AI19" i="48"/>
  <c r="AI20" i="48"/>
  <c r="AI21" i="48"/>
  <c r="AI22" i="48"/>
  <c r="AI23" i="48"/>
  <c r="AI24" i="48"/>
  <c r="AI25" i="48"/>
  <c r="AI33" i="48"/>
  <c r="AI34" i="48"/>
  <c r="AI35" i="48"/>
  <c r="AI36" i="48"/>
  <c r="AI37" i="48"/>
  <c r="AI38" i="48"/>
  <c r="AI39" i="48"/>
  <c r="AI40" i="48"/>
  <c r="AI41" i="48"/>
  <c r="AI42" i="48"/>
  <c r="AI43" i="48"/>
  <c r="AI44" i="48"/>
  <c r="AI45" i="48"/>
  <c r="AI46" i="48"/>
  <c r="AA26" i="48"/>
  <c r="AA48" i="48"/>
  <c r="AA49" i="48"/>
  <c r="AA51" i="48"/>
  <c r="AA52" i="48"/>
  <c r="AA54" i="48"/>
  <c r="AA55" i="48"/>
  <c r="AA9" i="48"/>
  <c r="AA10" i="48"/>
  <c r="AA11" i="48"/>
  <c r="AA12" i="48"/>
  <c r="AA8" i="48"/>
  <c r="AA13" i="48"/>
  <c r="AA14" i="48"/>
  <c r="AA15" i="48"/>
  <c r="AA16" i="48"/>
  <c r="AA17" i="48"/>
  <c r="AA18" i="48"/>
  <c r="AA19" i="48"/>
  <c r="AA20" i="48"/>
  <c r="AA21" i="48"/>
  <c r="AA22" i="48"/>
  <c r="AA23" i="48"/>
  <c r="AA24" i="48"/>
  <c r="AA25" i="48"/>
  <c r="AA33" i="48"/>
  <c r="AA34" i="48"/>
  <c r="AA35" i="48"/>
  <c r="AA36" i="48"/>
  <c r="AA37" i="48"/>
  <c r="AA38" i="48"/>
  <c r="AA39" i="48"/>
  <c r="AA40" i="48"/>
  <c r="AA41" i="48"/>
  <c r="AA42" i="48"/>
  <c r="AA43" i="48"/>
  <c r="AA44" i="48"/>
  <c r="AA45" i="48"/>
  <c r="AA46" i="48"/>
  <c r="BD26" i="48"/>
  <c r="BD49" i="48"/>
  <c r="BD51" i="48"/>
  <c r="BD52" i="48"/>
  <c r="BD54" i="48"/>
  <c r="BD55" i="48"/>
  <c r="BD9" i="48"/>
  <c r="BD10" i="48"/>
  <c r="BD11" i="48"/>
  <c r="BD12" i="48"/>
  <c r="BD13" i="48"/>
  <c r="BD48" i="48"/>
  <c r="BD14" i="48"/>
  <c r="BD15" i="48"/>
  <c r="BD16" i="48"/>
  <c r="BD17" i="48"/>
  <c r="BD18" i="48"/>
  <c r="BD19" i="48"/>
  <c r="BD20" i="48"/>
  <c r="BD21" i="48"/>
  <c r="BD22" i="48"/>
  <c r="BD23" i="48"/>
  <c r="BD24" i="48"/>
  <c r="BD25" i="48"/>
  <c r="BD33" i="48"/>
  <c r="BD34" i="48"/>
  <c r="BD35" i="48"/>
  <c r="BD36" i="48"/>
  <c r="BD37" i="48"/>
  <c r="BD38" i="48"/>
  <c r="BD39" i="48"/>
  <c r="BD40" i="48"/>
  <c r="BD41" i="48"/>
  <c r="BD42" i="48"/>
  <c r="BD43" i="48"/>
  <c r="BD44" i="48"/>
  <c r="BD45" i="48"/>
  <c r="BD46" i="48"/>
  <c r="BD8" i="48"/>
  <c r="AV26" i="48"/>
  <c r="AV49" i="48"/>
  <c r="AV51" i="48"/>
  <c r="AV52" i="48"/>
  <c r="AV54" i="48"/>
  <c r="AV55" i="48"/>
  <c r="AV9" i="48"/>
  <c r="AV10" i="48"/>
  <c r="AV11" i="48"/>
  <c r="AV12" i="48"/>
  <c r="AV13" i="48"/>
  <c r="AV14" i="48"/>
  <c r="AV48" i="48"/>
  <c r="AV15" i="48"/>
  <c r="AV16" i="48"/>
  <c r="AV17" i="48"/>
  <c r="AV18" i="48"/>
  <c r="AV19" i="48"/>
  <c r="AV20" i="48"/>
  <c r="AV21" i="48"/>
  <c r="AV22" i="48"/>
  <c r="AV23" i="48"/>
  <c r="AV24" i="48"/>
  <c r="AV25" i="48"/>
  <c r="AV33" i="48"/>
  <c r="AV34" i="48"/>
  <c r="AV35" i="48"/>
  <c r="AV36" i="48"/>
  <c r="AV37" i="48"/>
  <c r="AV38" i="48"/>
  <c r="AV39" i="48"/>
  <c r="AV40" i="48"/>
  <c r="AV41" i="48"/>
  <c r="AV42" i="48"/>
  <c r="AV43" i="48"/>
  <c r="AV44" i="48"/>
  <c r="AV45" i="48"/>
  <c r="AV46" i="48"/>
  <c r="AV8" i="48"/>
  <c r="AN26" i="48"/>
  <c r="AN49" i="48"/>
  <c r="AN51" i="48"/>
  <c r="AN54" i="48"/>
  <c r="AN55" i="48"/>
  <c r="AN9" i="48"/>
  <c r="AN10" i="48"/>
  <c r="AN11" i="48"/>
  <c r="AN12" i="48"/>
  <c r="AN13" i="48"/>
  <c r="AN14" i="48"/>
  <c r="AN52" i="48"/>
  <c r="AN48" i="48"/>
  <c r="AN16" i="48"/>
  <c r="AN17" i="48"/>
  <c r="AN18" i="48"/>
  <c r="AN19" i="48"/>
  <c r="AN20" i="48"/>
  <c r="AN21" i="48"/>
  <c r="AN22" i="48"/>
  <c r="AN23" i="48"/>
  <c r="AN24" i="48"/>
  <c r="AN25" i="48"/>
  <c r="AN33" i="48"/>
  <c r="AN34" i="48"/>
  <c r="AN35" i="48"/>
  <c r="AN36" i="48"/>
  <c r="AN37" i="48"/>
  <c r="AN38" i="48"/>
  <c r="AN39" i="48"/>
  <c r="AN40" i="48"/>
  <c r="AN15" i="48"/>
  <c r="AN41" i="48"/>
  <c r="AN42" i="48"/>
  <c r="AN43" i="48"/>
  <c r="AN44" i="48"/>
  <c r="AN45" i="48"/>
  <c r="AN46" i="48"/>
  <c r="AN8" i="48"/>
  <c r="AM6" i="48"/>
  <c r="BC49" i="48"/>
  <c r="BC51" i="48"/>
  <c r="BC26" i="48"/>
  <c r="BC48" i="48"/>
  <c r="BC52" i="48"/>
  <c r="BC54" i="48"/>
  <c r="BC55" i="48"/>
  <c r="BC9" i="48"/>
  <c r="BC10" i="48"/>
  <c r="BC11" i="48"/>
  <c r="BC12" i="48"/>
  <c r="BC13" i="48"/>
  <c r="BC14" i="48"/>
  <c r="BC15" i="48"/>
  <c r="BC16" i="48"/>
  <c r="BC17" i="48"/>
  <c r="BC18" i="48"/>
  <c r="BC19" i="48"/>
  <c r="BC20" i="48"/>
  <c r="BC21" i="48"/>
  <c r="BC22" i="48"/>
  <c r="BC23" i="48"/>
  <c r="BC24" i="48"/>
  <c r="BC25" i="48"/>
  <c r="BC33" i="48"/>
  <c r="BC34" i="48"/>
  <c r="BC35" i="48"/>
  <c r="BC36" i="48"/>
  <c r="BC37" i="48"/>
  <c r="BC38" i="48"/>
  <c r="BC39" i="48"/>
  <c r="BC8" i="48"/>
  <c r="BC40" i="48"/>
  <c r="BC41" i="48"/>
  <c r="BC42" i="48"/>
  <c r="BC43" i="48"/>
  <c r="BC44" i="48"/>
  <c r="BC45" i="48"/>
  <c r="BC46" i="48"/>
  <c r="AU49" i="48"/>
  <c r="AU51" i="48"/>
  <c r="AU26" i="48"/>
  <c r="AU48" i="48"/>
  <c r="AU52" i="48"/>
  <c r="AU54" i="48"/>
  <c r="AU55" i="48"/>
  <c r="AU9" i="48"/>
  <c r="AU10" i="48"/>
  <c r="AU11" i="48"/>
  <c r="AU12" i="48"/>
  <c r="AU13" i="48"/>
  <c r="AU14" i="48"/>
  <c r="AU15" i="48"/>
  <c r="AU16" i="48"/>
  <c r="AU17" i="48"/>
  <c r="AU18" i="48"/>
  <c r="AU19" i="48"/>
  <c r="AU20" i="48"/>
  <c r="AU21" i="48"/>
  <c r="AU22" i="48"/>
  <c r="AU23" i="48"/>
  <c r="AU24" i="48"/>
  <c r="AU25" i="48"/>
  <c r="AU33" i="48"/>
  <c r="AU34" i="48"/>
  <c r="AU35" i="48"/>
  <c r="AU36" i="48"/>
  <c r="AU37" i="48"/>
  <c r="AU38" i="48"/>
  <c r="AU39" i="48"/>
  <c r="AU40" i="48"/>
  <c r="AU8" i="48"/>
  <c r="AU41" i="48"/>
  <c r="AU42" i="48"/>
  <c r="AU43" i="48"/>
  <c r="AU44" i="48"/>
  <c r="AU45" i="48"/>
  <c r="AU46" i="48"/>
  <c r="AK26" i="48"/>
  <c r="AK48" i="48"/>
  <c r="AK49" i="48"/>
  <c r="AK51" i="48"/>
  <c r="AK52" i="48"/>
  <c r="AK54" i="48"/>
  <c r="AK55" i="48"/>
  <c r="AK9" i="48"/>
  <c r="AK10" i="48"/>
  <c r="AK11" i="48"/>
  <c r="AK8" i="48"/>
  <c r="AK12" i="48"/>
  <c r="AK13" i="48"/>
  <c r="AK14" i="48"/>
  <c r="AK15" i="48"/>
  <c r="AK16" i="48"/>
  <c r="AK17" i="48"/>
  <c r="AK18" i="48"/>
  <c r="AK19" i="48"/>
  <c r="AK20" i="48"/>
  <c r="AK21" i="48"/>
  <c r="AK22" i="48"/>
  <c r="AK23" i="48"/>
  <c r="AK24" i="48"/>
  <c r="AK25" i="48"/>
  <c r="AK33" i="48"/>
  <c r="AK34" i="48"/>
  <c r="AK35" i="48"/>
  <c r="AK36" i="48"/>
  <c r="AK37" i="48"/>
  <c r="AK38" i="48"/>
  <c r="AK39" i="48"/>
  <c r="AK40" i="48"/>
  <c r="AK41" i="48"/>
  <c r="AK42" i="48"/>
  <c r="AK43" i="48"/>
  <c r="AK44" i="48"/>
  <c r="AK45" i="48"/>
  <c r="AK46" i="48"/>
  <c r="AC26" i="48"/>
  <c r="AC48" i="48"/>
  <c r="AC49" i="48"/>
  <c r="AC51" i="48"/>
  <c r="AC52" i="48"/>
  <c r="AC54" i="48"/>
  <c r="AC55" i="48"/>
  <c r="AC9" i="48"/>
  <c r="AC10" i="48"/>
  <c r="AC11" i="48"/>
  <c r="AC8" i="48"/>
  <c r="AC12" i="48"/>
  <c r="AC13" i="48"/>
  <c r="AC14" i="48"/>
  <c r="AC15" i="48"/>
  <c r="AC16" i="48"/>
  <c r="AC17" i="48"/>
  <c r="AC18" i="48"/>
  <c r="AC19" i="48"/>
  <c r="AC20" i="48"/>
  <c r="AC21" i="48"/>
  <c r="AC22" i="48"/>
  <c r="AC23" i="48"/>
  <c r="AC24" i="48"/>
  <c r="AC25" i="48"/>
  <c r="AC33" i="48"/>
  <c r="AC34" i="48"/>
  <c r="AC35" i="48"/>
  <c r="AC36" i="48"/>
  <c r="AC37" i="48"/>
  <c r="AC38" i="48"/>
  <c r="AC39" i="48"/>
  <c r="AC40" i="48"/>
  <c r="AC41" i="48"/>
  <c r="AC42" i="48"/>
  <c r="AC43" i="48"/>
  <c r="AC44" i="48"/>
  <c r="AC45" i="48"/>
  <c r="AC46" i="48"/>
  <c r="U26" i="48"/>
  <c r="U48" i="48"/>
  <c r="U49" i="48"/>
  <c r="U51" i="48"/>
  <c r="U52" i="48"/>
  <c r="U54" i="48"/>
  <c r="U55" i="48"/>
  <c r="U9" i="48"/>
  <c r="U10" i="48"/>
  <c r="U11" i="48"/>
  <c r="U12" i="48"/>
  <c r="U8" i="48"/>
  <c r="U13" i="48"/>
  <c r="U14" i="48"/>
  <c r="U15" i="48"/>
  <c r="U16" i="48"/>
  <c r="U17" i="48"/>
  <c r="U18" i="48"/>
  <c r="U19" i="48"/>
  <c r="U20" i="48"/>
  <c r="U21" i="48"/>
  <c r="U22" i="48"/>
  <c r="U23" i="48"/>
  <c r="U24" i="48"/>
  <c r="U25" i="48"/>
  <c r="U33" i="48"/>
  <c r="U34" i="48"/>
  <c r="U35" i="48"/>
  <c r="U36" i="48"/>
  <c r="U37" i="48"/>
  <c r="U38" i="48"/>
  <c r="U39" i="48"/>
  <c r="U40" i="48"/>
  <c r="U41" i="48"/>
  <c r="U42" i="48"/>
  <c r="U43" i="48"/>
  <c r="U44" i="48"/>
  <c r="U45" i="48"/>
  <c r="U46" i="48"/>
  <c r="S6" i="48"/>
  <c r="AX26" i="48"/>
  <c r="AX49" i="48"/>
  <c r="AX51" i="48"/>
  <c r="AX52" i="48"/>
  <c r="AX54" i="48"/>
  <c r="AX55" i="48"/>
  <c r="AX9" i="48"/>
  <c r="AX10" i="48"/>
  <c r="AX11" i="48"/>
  <c r="AX12" i="48"/>
  <c r="AX13" i="48"/>
  <c r="AX48" i="48"/>
  <c r="AX15" i="48"/>
  <c r="AX16" i="48"/>
  <c r="AX17" i="48"/>
  <c r="AX18" i="48"/>
  <c r="AX19" i="48"/>
  <c r="AX20" i="48"/>
  <c r="AX21" i="48"/>
  <c r="AX22" i="48"/>
  <c r="AX23" i="48"/>
  <c r="AX24" i="48"/>
  <c r="AX25" i="48"/>
  <c r="AX33" i="48"/>
  <c r="AX34" i="48"/>
  <c r="AX35" i="48"/>
  <c r="AX36" i="48"/>
  <c r="AX37" i="48"/>
  <c r="AX38" i="48"/>
  <c r="AX39" i="48"/>
  <c r="AX40" i="48"/>
  <c r="AX14" i="48"/>
  <c r="AX41" i="48"/>
  <c r="AX42" i="48"/>
  <c r="AX43" i="48"/>
  <c r="AX44" i="48"/>
  <c r="AX45" i="48"/>
  <c r="AX46" i="48"/>
  <c r="AX8" i="48"/>
  <c r="AP26" i="48"/>
  <c r="AP49" i="48"/>
  <c r="AP51" i="48"/>
  <c r="AP52" i="48"/>
  <c r="AP54" i="48"/>
  <c r="AP55" i="48"/>
  <c r="AP9" i="48"/>
  <c r="AP10" i="48"/>
  <c r="AP11" i="48"/>
  <c r="AP12" i="48"/>
  <c r="AP13" i="48"/>
  <c r="AP14" i="48"/>
  <c r="AP48" i="48"/>
  <c r="AP15" i="48"/>
  <c r="AP16" i="48"/>
  <c r="AP17" i="48"/>
  <c r="AP18" i="48"/>
  <c r="AP19" i="48"/>
  <c r="AP20" i="48"/>
  <c r="AP21" i="48"/>
  <c r="AP22" i="48"/>
  <c r="AP23" i="48"/>
  <c r="AP24" i="48"/>
  <c r="AP25" i="48"/>
  <c r="AP33" i="48"/>
  <c r="AP34" i="48"/>
  <c r="AP35" i="48"/>
  <c r="AP36" i="48"/>
  <c r="AP37" i="48"/>
  <c r="AP38" i="48"/>
  <c r="AP39" i="48"/>
  <c r="AP40" i="48"/>
  <c r="AP41" i="48"/>
  <c r="AP42" i="48"/>
  <c r="AP43" i="48"/>
  <c r="AP44" i="48"/>
  <c r="AP45" i="48"/>
  <c r="AP46" i="48"/>
  <c r="AP8" i="48"/>
  <c r="BE49" i="48"/>
  <c r="BE51" i="48"/>
  <c r="BE26" i="48"/>
  <c r="BE48" i="48"/>
  <c r="BE52" i="48"/>
  <c r="BE54" i="48"/>
  <c r="BE55" i="48"/>
  <c r="BE9" i="48"/>
  <c r="BE10" i="48"/>
  <c r="BE11" i="48"/>
  <c r="BE12" i="48"/>
  <c r="BE13" i="48"/>
  <c r="BE14" i="48"/>
  <c r="BE15" i="48"/>
  <c r="BE16" i="48"/>
  <c r="BE17" i="48"/>
  <c r="BE18" i="48"/>
  <c r="BE19" i="48"/>
  <c r="BE20" i="48"/>
  <c r="BE21" i="48"/>
  <c r="BE22" i="48"/>
  <c r="BE23" i="48"/>
  <c r="BE24" i="48"/>
  <c r="BE25" i="48"/>
  <c r="BE33" i="48"/>
  <c r="BE34" i="48"/>
  <c r="BE35" i="48"/>
  <c r="BE36" i="48"/>
  <c r="BE37" i="48"/>
  <c r="BE38" i="48"/>
  <c r="BE39" i="48"/>
  <c r="BE8" i="48"/>
  <c r="BE40" i="48"/>
  <c r="BE41" i="48"/>
  <c r="BE42" i="48"/>
  <c r="BE43" i="48"/>
  <c r="BE44" i="48"/>
  <c r="BE45" i="48"/>
  <c r="BE46" i="48"/>
  <c r="AW49" i="48"/>
  <c r="AW51" i="48"/>
  <c r="AW26" i="48"/>
  <c r="AW48" i="48"/>
  <c r="AW52" i="48"/>
  <c r="AW54" i="48"/>
  <c r="AW55" i="48"/>
  <c r="AW9" i="48"/>
  <c r="AW10" i="48"/>
  <c r="AW11" i="48"/>
  <c r="AW12" i="48"/>
  <c r="AW13" i="48"/>
  <c r="AW14" i="48"/>
  <c r="AW15" i="48"/>
  <c r="AW16" i="48"/>
  <c r="AW17" i="48"/>
  <c r="AW18" i="48"/>
  <c r="AW19" i="48"/>
  <c r="AW20" i="48"/>
  <c r="AW21" i="48"/>
  <c r="AW22" i="48"/>
  <c r="AW23" i="48"/>
  <c r="AW24" i="48"/>
  <c r="AW25" i="48"/>
  <c r="AW33" i="48"/>
  <c r="AW34" i="48"/>
  <c r="AW35" i="48"/>
  <c r="AW36" i="48"/>
  <c r="AW37" i="48"/>
  <c r="AW38" i="48"/>
  <c r="AW39" i="48"/>
  <c r="AW8" i="48"/>
  <c r="AW40" i="48"/>
  <c r="AW41" i="48"/>
  <c r="AW42" i="48"/>
  <c r="AW43" i="48"/>
  <c r="AW44" i="48"/>
  <c r="AW45" i="48"/>
  <c r="AW46" i="48"/>
  <c r="AO49" i="48"/>
  <c r="AO51" i="48"/>
  <c r="AO52" i="48"/>
  <c r="AO26" i="48"/>
  <c r="AO48" i="48"/>
  <c r="AO54" i="48"/>
  <c r="AO55" i="48"/>
  <c r="AO9" i="48"/>
  <c r="AO10" i="48"/>
  <c r="AO11" i="48"/>
  <c r="AO12" i="48"/>
  <c r="AO13" i="48"/>
  <c r="AO14" i="48"/>
  <c r="AO15" i="48"/>
  <c r="AO16" i="48"/>
  <c r="AO17" i="48"/>
  <c r="AO18" i="48"/>
  <c r="AO19" i="48"/>
  <c r="AO20" i="48"/>
  <c r="AO21" i="48"/>
  <c r="AO22" i="48"/>
  <c r="AO23" i="48"/>
  <c r="AO24" i="48"/>
  <c r="AO25" i="48"/>
  <c r="AO33" i="48"/>
  <c r="AO34" i="48"/>
  <c r="AO35" i="48"/>
  <c r="AO36" i="48"/>
  <c r="AO37" i="48"/>
  <c r="AO38" i="48"/>
  <c r="AO39" i="48"/>
  <c r="AO40" i="48"/>
  <c r="AO8" i="48"/>
  <c r="AO41" i="48"/>
  <c r="AO42" i="48"/>
  <c r="AO43" i="48"/>
  <c r="AO44" i="48"/>
  <c r="AO45" i="48"/>
  <c r="AO46" i="48"/>
  <c r="AE26" i="48"/>
  <c r="AE48" i="48"/>
  <c r="AE49" i="48"/>
  <c r="AE51" i="48"/>
  <c r="AE52" i="48"/>
  <c r="AE54" i="48"/>
  <c r="AE55" i="48"/>
  <c r="AE9" i="48"/>
  <c r="AE10" i="48"/>
  <c r="AE11" i="48"/>
  <c r="AE8" i="48"/>
  <c r="AE12" i="48"/>
  <c r="AE13" i="48"/>
  <c r="AE14" i="48"/>
  <c r="AE15" i="48"/>
  <c r="AE16" i="48"/>
  <c r="AE17" i="48"/>
  <c r="AE18" i="48"/>
  <c r="AE19" i="48"/>
  <c r="AE20" i="48"/>
  <c r="AE21" i="48"/>
  <c r="AE22" i="48"/>
  <c r="AE23" i="48"/>
  <c r="AE24" i="48"/>
  <c r="AE25" i="48"/>
  <c r="AE33" i="48"/>
  <c r="AE34" i="48"/>
  <c r="AE35" i="48"/>
  <c r="AE36" i="48"/>
  <c r="AE37" i="48"/>
  <c r="AE38" i="48"/>
  <c r="AE39" i="48"/>
  <c r="AE40" i="48"/>
  <c r="AE41" i="48"/>
  <c r="AE42" i="48"/>
  <c r="AE43" i="48"/>
  <c r="AE44" i="48"/>
  <c r="AE45" i="48"/>
  <c r="AE46" i="48"/>
  <c r="W26" i="48"/>
  <c r="W48" i="48"/>
  <c r="W49" i="48"/>
  <c r="W51" i="48"/>
  <c r="W52" i="48"/>
  <c r="W54" i="48"/>
  <c r="W55" i="48"/>
  <c r="W9" i="48"/>
  <c r="W10" i="48"/>
  <c r="W11" i="48"/>
  <c r="W12" i="48"/>
  <c r="W8" i="48"/>
  <c r="W13" i="48"/>
  <c r="W14" i="48"/>
  <c r="W15" i="48"/>
  <c r="W16" i="48"/>
  <c r="W17" i="48"/>
  <c r="W18" i="48"/>
  <c r="W19" i="48"/>
  <c r="W20" i="48"/>
  <c r="W21" i="48"/>
  <c r="W22" i="48"/>
  <c r="W23" i="48"/>
  <c r="W24" i="48"/>
  <c r="W25" i="48"/>
  <c r="W33" i="48"/>
  <c r="W34" i="48"/>
  <c r="W35" i="48"/>
  <c r="W36" i="48"/>
  <c r="W37" i="48"/>
  <c r="W38" i="48"/>
  <c r="W39" i="48"/>
  <c r="W40" i="48"/>
  <c r="W41" i="48"/>
  <c r="W42" i="48"/>
  <c r="W43" i="48"/>
  <c r="W44" i="48"/>
  <c r="W45" i="48"/>
  <c r="W46" i="48"/>
  <c r="AZ26" i="48"/>
  <c r="AZ49" i="48"/>
  <c r="AZ51" i="48"/>
  <c r="AZ52" i="48"/>
  <c r="AZ54" i="48"/>
  <c r="AZ55" i="48"/>
  <c r="AZ9" i="48"/>
  <c r="AZ10" i="48"/>
  <c r="AZ11" i="48"/>
  <c r="AZ12" i="48"/>
  <c r="AZ13" i="48"/>
  <c r="AZ48" i="48"/>
  <c r="AZ14" i="48"/>
  <c r="AZ15" i="48"/>
  <c r="AZ16" i="48"/>
  <c r="AZ17" i="48"/>
  <c r="AZ18" i="48"/>
  <c r="AZ19" i="48"/>
  <c r="AZ20" i="48"/>
  <c r="AZ21" i="48"/>
  <c r="AZ22" i="48"/>
  <c r="AZ23" i="48"/>
  <c r="AZ24" i="48"/>
  <c r="AZ25" i="48"/>
  <c r="AZ33" i="48"/>
  <c r="AZ34" i="48"/>
  <c r="AZ35" i="48"/>
  <c r="AZ36" i="48"/>
  <c r="AZ37" i="48"/>
  <c r="AZ38" i="48"/>
  <c r="AZ39" i="48"/>
  <c r="AZ40" i="48"/>
  <c r="AZ41" i="48"/>
  <c r="AZ42" i="48"/>
  <c r="AZ43" i="48"/>
  <c r="AZ44" i="48"/>
  <c r="AZ45" i="48"/>
  <c r="AZ46" i="48"/>
  <c r="AZ8" i="48"/>
  <c r="AR26" i="48"/>
  <c r="AR49" i="48"/>
  <c r="AR51" i="48"/>
  <c r="AR52" i="48"/>
  <c r="AR54" i="48"/>
  <c r="AR55" i="48"/>
  <c r="AR9" i="48"/>
  <c r="AR10" i="48"/>
  <c r="AR11" i="48"/>
  <c r="AR12" i="48"/>
  <c r="AR13" i="48"/>
  <c r="AR14" i="48"/>
  <c r="AR48" i="48"/>
  <c r="AR15" i="48"/>
  <c r="AR16" i="48"/>
  <c r="AR17" i="48"/>
  <c r="AR18" i="48"/>
  <c r="AR19" i="48"/>
  <c r="AR20" i="48"/>
  <c r="AR21" i="48"/>
  <c r="AR22" i="48"/>
  <c r="AR23" i="48"/>
  <c r="AR24" i="48"/>
  <c r="AR25" i="48"/>
  <c r="AR33" i="48"/>
  <c r="AR34" i="48"/>
  <c r="AR35" i="48"/>
  <c r="AR36" i="48"/>
  <c r="AR37" i="48"/>
  <c r="AR38" i="48"/>
  <c r="AR39" i="48"/>
  <c r="AR40" i="48"/>
  <c r="AR41" i="48"/>
  <c r="AR42" i="48"/>
  <c r="AR43" i="48"/>
  <c r="AR44" i="48"/>
  <c r="AR45" i="48"/>
  <c r="AR46" i="48"/>
  <c r="AR8" i="48"/>
  <c r="AY49" i="48"/>
  <c r="AY51" i="48"/>
  <c r="AY26" i="48"/>
  <c r="AY48" i="48"/>
  <c r="AY52" i="48"/>
  <c r="AY54" i="48"/>
  <c r="AY55" i="48"/>
  <c r="AY9" i="48"/>
  <c r="AY10" i="48"/>
  <c r="AY11" i="48"/>
  <c r="AY12" i="48"/>
  <c r="AY13" i="48"/>
  <c r="AY14" i="48"/>
  <c r="AY15" i="48"/>
  <c r="AY16" i="48"/>
  <c r="AY17" i="48"/>
  <c r="AY18" i="48"/>
  <c r="AY19" i="48"/>
  <c r="AY20" i="48"/>
  <c r="AY21" i="48"/>
  <c r="AY22" i="48"/>
  <c r="AY23" i="48"/>
  <c r="AY24" i="48"/>
  <c r="AY25" i="48"/>
  <c r="AY33" i="48"/>
  <c r="AY34" i="48"/>
  <c r="AY35" i="48"/>
  <c r="AY36" i="48"/>
  <c r="AY37" i="48"/>
  <c r="AY38" i="48"/>
  <c r="AY39" i="48"/>
  <c r="AY40" i="48"/>
  <c r="AY8" i="48"/>
  <c r="AY41" i="48"/>
  <c r="AY42" i="48"/>
  <c r="AY43" i="48"/>
  <c r="AY44" i="48"/>
  <c r="AY45" i="48"/>
  <c r="AY46" i="48"/>
  <c r="AQ49" i="48"/>
  <c r="AQ51" i="48"/>
  <c r="AQ26" i="48"/>
  <c r="AQ48" i="48"/>
  <c r="AQ52" i="48"/>
  <c r="AQ54" i="48"/>
  <c r="AQ55" i="48"/>
  <c r="AQ9" i="48"/>
  <c r="AQ10" i="48"/>
  <c r="AQ11" i="48"/>
  <c r="AQ12" i="48"/>
  <c r="AQ13" i="48"/>
  <c r="AQ14" i="48"/>
  <c r="AQ15" i="48"/>
  <c r="AQ16" i="48"/>
  <c r="AQ17" i="48"/>
  <c r="AQ18" i="48"/>
  <c r="AQ19" i="48"/>
  <c r="AQ20" i="48"/>
  <c r="AQ21" i="48"/>
  <c r="AQ22" i="48"/>
  <c r="AQ23" i="48"/>
  <c r="AQ24" i="48"/>
  <c r="AQ25" i="48"/>
  <c r="AQ33" i="48"/>
  <c r="AQ34" i="48"/>
  <c r="AQ35" i="48"/>
  <c r="AQ36" i="48"/>
  <c r="AQ37" i="48"/>
  <c r="AQ38" i="48"/>
  <c r="AQ39" i="48"/>
  <c r="AQ40" i="48"/>
  <c r="AQ8" i="48"/>
  <c r="AQ41" i="48"/>
  <c r="AQ42" i="48"/>
  <c r="AQ43" i="48"/>
  <c r="AQ44" i="48"/>
  <c r="AQ45" i="48"/>
  <c r="AQ46" i="48"/>
  <c r="AG26" i="48"/>
  <c r="AG48" i="48"/>
  <c r="AG49" i="48"/>
  <c r="AG51" i="48"/>
  <c r="AG52" i="48"/>
  <c r="AG54" i="48"/>
  <c r="AG55" i="48"/>
  <c r="AG9" i="48"/>
  <c r="AG10" i="48"/>
  <c r="AG11" i="48"/>
  <c r="AG8" i="48"/>
  <c r="AG12" i="48"/>
  <c r="AG13" i="48"/>
  <c r="AG14" i="48"/>
  <c r="AG15" i="48"/>
  <c r="AG16" i="48"/>
  <c r="AG17" i="48"/>
  <c r="AG18" i="48"/>
  <c r="AG19" i="48"/>
  <c r="AG20" i="48"/>
  <c r="AG21" i="48"/>
  <c r="AG22" i="48"/>
  <c r="AG23" i="48"/>
  <c r="AG24" i="48"/>
  <c r="AG25" i="48"/>
  <c r="AG33" i="48"/>
  <c r="AG34" i="48"/>
  <c r="AG35" i="48"/>
  <c r="AG36" i="48"/>
  <c r="AG37" i="48"/>
  <c r="AG38" i="48"/>
  <c r="AG39" i="48"/>
  <c r="AG40" i="48"/>
  <c r="AG41" i="48"/>
  <c r="AG42" i="48"/>
  <c r="AG43" i="48"/>
  <c r="AG44" i="48"/>
  <c r="AG45" i="48"/>
  <c r="AG46" i="48"/>
  <c r="Y26" i="48"/>
  <c r="Y48" i="48"/>
  <c r="Y49" i="48"/>
  <c r="Y51" i="48"/>
  <c r="Y52" i="48"/>
  <c r="Y54" i="48"/>
  <c r="Y55" i="48"/>
  <c r="Y9" i="48"/>
  <c r="Y10" i="48"/>
  <c r="Y11" i="48"/>
  <c r="Y12" i="48"/>
  <c r="Y8" i="48"/>
  <c r="Y13" i="48"/>
  <c r="Y14" i="48"/>
  <c r="Y15" i="48"/>
  <c r="Y16" i="48"/>
  <c r="Y17" i="48"/>
  <c r="Y18" i="48"/>
  <c r="Y19" i="48"/>
  <c r="Y20" i="48"/>
  <c r="Y21" i="48"/>
  <c r="Y22" i="48"/>
  <c r="Y23" i="48"/>
  <c r="Y24" i="48"/>
  <c r="Y25" i="48"/>
  <c r="Y33" i="48"/>
  <c r="Y34" i="48"/>
  <c r="Y35" i="48"/>
  <c r="Y36" i="48"/>
  <c r="Y37" i="48"/>
  <c r="Y38" i="48"/>
  <c r="Y39" i="48"/>
  <c r="Y40" i="48"/>
  <c r="Y41" i="48"/>
  <c r="Y42" i="48"/>
  <c r="Y43" i="48"/>
  <c r="Y44" i="48"/>
  <c r="Y45" i="48"/>
  <c r="Y46" i="48"/>
  <c r="BB26" i="48"/>
  <c r="BB49" i="48"/>
  <c r="BB51" i="48"/>
  <c r="BB52" i="48"/>
  <c r="BB54" i="48"/>
  <c r="BB55" i="48"/>
  <c r="BB9" i="48"/>
  <c r="BB10" i="48"/>
  <c r="BB11" i="48"/>
  <c r="BB12" i="48"/>
  <c r="BB13" i="48"/>
  <c r="BB48" i="48"/>
  <c r="BB15" i="48"/>
  <c r="BB16" i="48"/>
  <c r="BB17" i="48"/>
  <c r="BB18" i="48"/>
  <c r="BB19" i="48"/>
  <c r="BB20" i="48"/>
  <c r="BB21" i="48"/>
  <c r="BB22" i="48"/>
  <c r="BB23" i="48"/>
  <c r="BB24" i="48"/>
  <c r="BB25" i="48"/>
  <c r="BB33" i="48"/>
  <c r="BB34" i="48"/>
  <c r="BB35" i="48"/>
  <c r="BB36" i="48"/>
  <c r="BB37" i="48"/>
  <c r="BB38" i="48"/>
  <c r="BB39" i="48"/>
  <c r="BB14" i="48"/>
  <c r="BB40" i="48"/>
  <c r="BB41" i="48"/>
  <c r="BB42" i="48"/>
  <c r="BB43" i="48"/>
  <c r="BB44" i="48"/>
  <c r="BB45" i="48"/>
  <c r="BB46" i="48"/>
  <c r="BB8" i="48"/>
  <c r="AT26" i="48"/>
  <c r="AT49" i="48"/>
  <c r="AT51" i="48"/>
  <c r="AT52" i="48"/>
  <c r="AT54" i="48"/>
  <c r="AT55" i="48"/>
  <c r="AT9" i="48"/>
  <c r="AT10" i="48"/>
  <c r="AT11" i="48"/>
  <c r="AT12" i="48"/>
  <c r="AT13" i="48"/>
  <c r="AT14" i="48"/>
  <c r="AT48" i="48"/>
  <c r="AT15" i="48"/>
  <c r="AT16" i="48"/>
  <c r="AT17" i="48"/>
  <c r="AT18" i="48"/>
  <c r="AT19" i="48"/>
  <c r="AT20" i="48"/>
  <c r="AT21" i="48"/>
  <c r="AT22" i="48"/>
  <c r="AT23" i="48"/>
  <c r="AT24" i="48"/>
  <c r="AT25" i="48"/>
  <c r="AT33" i="48"/>
  <c r="AT34" i="48"/>
  <c r="AT35" i="48"/>
  <c r="AT36" i="48"/>
  <c r="AT37" i="48"/>
  <c r="AT38" i="48"/>
  <c r="AT39" i="48"/>
  <c r="AT40" i="48"/>
  <c r="AT41" i="48"/>
  <c r="AT42" i="48"/>
  <c r="AT43" i="48"/>
  <c r="AT44" i="48"/>
  <c r="AT45" i="48"/>
  <c r="AT46" i="48"/>
  <c r="AT8" i="48"/>
  <c r="C48" i="43"/>
  <c r="B48" i="43"/>
  <c r="C47" i="43"/>
  <c r="B47" i="43"/>
  <c r="C46" i="43"/>
  <c r="B46" i="43"/>
  <c r="C45" i="43"/>
  <c r="B45" i="43"/>
  <c r="C44" i="43"/>
  <c r="B44" i="43"/>
  <c r="C43" i="43"/>
  <c r="B43" i="43"/>
  <c r="C41" i="43"/>
  <c r="B41" i="43"/>
  <c r="C40" i="43"/>
  <c r="B40" i="43"/>
  <c r="C39" i="43"/>
  <c r="B39" i="43"/>
  <c r="C38" i="43"/>
  <c r="B38" i="43"/>
  <c r="C37" i="43"/>
  <c r="B37" i="43"/>
  <c r="C36" i="43"/>
  <c r="B36" i="43"/>
  <c r="C35" i="43"/>
  <c r="B35" i="43"/>
  <c r="C34" i="43"/>
  <c r="B34" i="43"/>
  <c r="C33" i="43"/>
  <c r="B33" i="43"/>
  <c r="C32" i="43"/>
  <c r="B32" i="43"/>
  <c r="C31" i="43"/>
  <c r="B31" i="43"/>
  <c r="C30" i="43"/>
  <c r="B30" i="43"/>
  <c r="C29" i="43"/>
  <c r="B29" i="43"/>
  <c r="B28" i="43"/>
  <c r="C27" i="43"/>
  <c r="B27" i="43"/>
  <c r="C26" i="43"/>
  <c r="B26" i="43"/>
  <c r="C25" i="43"/>
  <c r="B25" i="43"/>
  <c r="C24" i="43"/>
  <c r="B24" i="43"/>
  <c r="C23" i="43"/>
  <c r="B23" i="43"/>
  <c r="C22" i="43"/>
  <c r="B22" i="43"/>
  <c r="C21" i="43"/>
  <c r="B21" i="43"/>
  <c r="C20" i="43"/>
  <c r="B20" i="43"/>
  <c r="C19" i="43"/>
  <c r="B19" i="43"/>
  <c r="C18" i="43"/>
  <c r="B18" i="43"/>
  <c r="C17" i="43"/>
  <c r="B17" i="43"/>
  <c r="C16" i="43"/>
  <c r="B16" i="43"/>
  <c r="C15" i="43"/>
  <c r="B15" i="43"/>
  <c r="C14" i="43"/>
  <c r="B14" i="43"/>
  <c r="C13" i="43"/>
  <c r="B13" i="43"/>
  <c r="C12" i="43"/>
  <c r="B12" i="43"/>
  <c r="C11" i="43"/>
  <c r="B11" i="43"/>
  <c r="C10" i="43"/>
  <c r="B10" i="43"/>
  <c r="C9" i="43"/>
  <c r="B9" i="43"/>
  <c r="C8" i="43"/>
  <c r="B8" i="43"/>
  <c r="C7" i="43"/>
  <c r="B7" i="43"/>
  <c r="C52" i="44"/>
  <c r="B52" i="44"/>
  <c r="C51" i="44"/>
  <c r="B51" i="44"/>
  <c r="C50" i="44"/>
  <c r="B50" i="44"/>
  <c r="C49" i="44"/>
  <c r="B49" i="44"/>
  <c r="C48" i="44"/>
  <c r="B48" i="44"/>
  <c r="C47" i="44"/>
  <c r="B47" i="44"/>
  <c r="C46" i="44"/>
  <c r="B46" i="44"/>
  <c r="C45" i="44"/>
  <c r="B45" i="44"/>
  <c r="C43" i="44"/>
  <c r="B43" i="44"/>
  <c r="C42" i="44"/>
  <c r="B42" i="44"/>
  <c r="C41" i="44"/>
  <c r="B41" i="44"/>
  <c r="C40" i="44"/>
  <c r="B40" i="44"/>
  <c r="C39" i="44"/>
  <c r="B39" i="44"/>
  <c r="C38" i="44"/>
  <c r="B38" i="44"/>
  <c r="C37" i="44"/>
  <c r="B37" i="44"/>
  <c r="C36" i="44"/>
  <c r="B36" i="44"/>
  <c r="C35" i="44"/>
  <c r="B35" i="44"/>
  <c r="C34" i="44"/>
  <c r="B34" i="44"/>
  <c r="C33" i="44"/>
  <c r="B33" i="44"/>
  <c r="C32" i="44"/>
  <c r="B32" i="44"/>
  <c r="C31" i="44"/>
  <c r="B31" i="44"/>
  <c r="B30" i="44"/>
  <c r="C29" i="44"/>
  <c r="B29" i="44"/>
  <c r="C28" i="44"/>
  <c r="B28" i="44"/>
  <c r="C27" i="44"/>
  <c r="B27" i="44"/>
  <c r="C26" i="44"/>
  <c r="B26" i="44"/>
  <c r="C25" i="44"/>
  <c r="B25" i="44"/>
  <c r="C24" i="44"/>
  <c r="B24" i="44"/>
  <c r="C23" i="44"/>
  <c r="B23" i="44"/>
  <c r="C22" i="44"/>
  <c r="B22" i="44"/>
  <c r="C21" i="44"/>
  <c r="B21" i="44"/>
  <c r="C20" i="44"/>
  <c r="B20" i="44"/>
  <c r="C19" i="44"/>
  <c r="B19" i="44"/>
  <c r="C18" i="44"/>
  <c r="B18" i="44"/>
  <c r="C17" i="44"/>
  <c r="B17" i="44"/>
  <c r="C16" i="44"/>
  <c r="B16" i="44"/>
  <c r="C15" i="44"/>
  <c r="B15" i="44"/>
  <c r="C14" i="44"/>
  <c r="B14" i="44"/>
  <c r="C13" i="44"/>
  <c r="B13" i="44"/>
  <c r="C12" i="44"/>
  <c r="B12" i="44"/>
  <c r="C11" i="44"/>
  <c r="B11" i="44"/>
  <c r="C10" i="44"/>
  <c r="B10" i="44"/>
  <c r="C9" i="44"/>
  <c r="B9" i="44"/>
  <c r="C8" i="44"/>
  <c r="B8" i="44"/>
  <c r="C7" i="44"/>
  <c r="B7" i="44"/>
  <c r="C41" i="45"/>
  <c r="B41" i="45"/>
  <c r="C40" i="45"/>
  <c r="B40" i="45"/>
  <c r="C39" i="45"/>
  <c r="B39" i="45"/>
  <c r="C38" i="45"/>
  <c r="B38" i="45"/>
  <c r="C37" i="45"/>
  <c r="B37" i="45"/>
  <c r="C36" i="45"/>
  <c r="B36" i="45"/>
  <c r="C35" i="45"/>
  <c r="B35" i="45"/>
  <c r="C34" i="45"/>
  <c r="B34" i="45"/>
  <c r="C33" i="45"/>
  <c r="B33" i="45"/>
  <c r="C32" i="45"/>
  <c r="B32" i="45"/>
  <c r="C31" i="45"/>
  <c r="B31" i="45"/>
  <c r="C30" i="45"/>
  <c r="B30" i="45"/>
  <c r="C29" i="45"/>
  <c r="B29" i="45"/>
  <c r="B28" i="45"/>
  <c r="C27" i="45"/>
  <c r="B27" i="45"/>
  <c r="C26" i="45"/>
  <c r="B26" i="45"/>
  <c r="C25" i="45"/>
  <c r="B25" i="45"/>
  <c r="C24" i="45"/>
  <c r="B24" i="45"/>
  <c r="C23" i="45"/>
  <c r="B23" i="45"/>
  <c r="C22" i="45"/>
  <c r="B22" i="45"/>
  <c r="C21" i="45"/>
  <c r="B21" i="45"/>
  <c r="C20" i="45"/>
  <c r="B20" i="45"/>
  <c r="C19" i="45"/>
  <c r="B19" i="45"/>
  <c r="C18" i="45"/>
  <c r="B18" i="45"/>
  <c r="C17" i="45"/>
  <c r="B17" i="45"/>
  <c r="C16" i="45"/>
  <c r="B16" i="45"/>
  <c r="C15" i="45"/>
  <c r="B15" i="45"/>
  <c r="C14" i="45"/>
  <c r="B14" i="45"/>
  <c r="C13" i="45"/>
  <c r="B13" i="45"/>
  <c r="C12" i="45"/>
  <c r="B12" i="45"/>
  <c r="C11" i="45"/>
  <c r="B11" i="45"/>
  <c r="C10" i="45"/>
  <c r="B10" i="45"/>
  <c r="C9" i="45"/>
  <c r="B9" i="45"/>
  <c r="C8" i="45"/>
  <c r="B8" i="45"/>
  <c r="C7" i="45"/>
  <c r="B7" i="45"/>
  <c r="C43" i="46"/>
  <c r="B43" i="46"/>
  <c r="C42" i="46"/>
  <c r="B42" i="46"/>
  <c r="C41" i="46"/>
  <c r="B41" i="46"/>
  <c r="C40" i="46"/>
  <c r="B40" i="46"/>
  <c r="C39" i="46"/>
  <c r="B39" i="46"/>
  <c r="C38" i="46"/>
  <c r="B38" i="46"/>
  <c r="C37" i="46"/>
  <c r="B37" i="46"/>
  <c r="C36" i="46"/>
  <c r="B36" i="46"/>
  <c r="C35" i="46"/>
  <c r="B35" i="46"/>
  <c r="C34" i="46"/>
  <c r="B34" i="46"/>
  <c r="C33" i="46"/>
  <c r="B33" i="46"/>
  <c r="C32" i="46"/>
  <c r="B32" i="46"/>
  <c r="C31" i="46"/>
  <c r="B31" i="46"/>
  <c r="B30" i="46"/>
  <c r="C29" i="46"/>
  <c r="B29" i="46"/>
  <c r="C28" i="46"/>
  <c r="B28" i="46"/>
  <c r="C27" i="46"/>
  <c r="B27" i="46"/>
  <c r="C26" i="46"/>
  <c r="B26" i="46"/>
  <c r="C25" i="46"/>
  <c r="B25" i="46"/>
  <c r="C24" i="46"/>
  <c r="B24" i="46"/>
  <c r="C23" i="46"/>
  <c r="B23" i="46"/>
  <c r="C22" i="46"/>
  <c r="B22" i="46"/>
  <c r="C21" i="46"/>
  <c r="B21" i="46"/>
  <c r="C20" i="46"/>
  <c r="B20" i="46"/>
  <c r="C19" i="46"/>
  <c r="B19" i="46"/>
  <c r="C18" i="46"/>
  <c r="B18" i="46"/>
  <c r="C17" i="46"/>
  <c r="B17" i="46"/>
  <c r="C16" i="46"/>
  <c r="B16" i="46"/>
  <c r="C15" i="46"/>
  <c r="B15" i="46"/>
  <c r="C14" i="46"/>
  <c r="B14" i="46"/>
  <c r="C13" i="46"/>
  <c r="B13" i="46"/>
  <c r="C12" i="46"/>
  <c r="B12" i="46"/>
  <c r="C11" i="46"/>
  <c r="B11" i="46"/>
  <c r="C10" i="46"/>
  <c r="B10" i="46"/>
  <c r="C9" i="46"/>
  <c r="B9" i="46"/>
  <c r="C8" i="46"/>
  <c r="B8" i="46"/>
  <c r="C7" i="46"/>
  <c r="B7" i="46"/>
  <c r="S45" i="48" l="1"/>
  <c r="F45" i="48" s="1"/>
  <c r="S51" i="48"/>
  <c r="F51" i="48" s="1"/>
  <c r="S22" i="48"/>
  <c r="F22" i="48" s="1"/>
  <c r="S37" i="48"/>
  <c r="F37" i="48" s="1"/>
  <c r="S14" i="48"/>
  <c r="F14" i="48" s="1"/>
  <c r="S41" i="48"/>
  <c r="F41" i="48" s="1"/>
  <c r="S33" i="48"/>
  <c r="F33" i="48" s="1"/>
  <c r="S18" i="48"/>
  <c r="F18" i="48" s="1"/>
  <c r="S9" i="48"/>
  <c r="F9" i="48" s="1"/>
  <c r="S12" i="48"/>
  <c r="F12" i="48" s="1"/>
  <c r="S43" i="48"/>
  <c r="F43" i="48" s="1"/>
  <c r="S39" i="48"/>
  <c r="F39" i="48" s="1"/>
  <c r="S35" i="48"/>
  <c r="F35" i="48" s="1"/>
  <c r="S24" i="48"/>
  <c r="F24" i="48" s="1"/>
  <c r="S20" i="48"/>
  <c r="F20" i="48" s="1"/>
  <c r="S16" i="48"/>
  <c r="F16" i="48" s="1"/>
  <c r="S11" i="48"/>
  <c r="F11" i="48" s="1"/>
  <c r="S54" i="48"/>
  <c r="F54" i="48" s="1"/>
  <c r="S46" i="48"/>
  <c r="F46" i="48" s="1"/>
  <c r="S42" i="48"/>
  <c r="F42" i="48" s="1"/>
  <c r="S38" i="48"/>
  <c r="F38" i="48" s="1"/>
  <c r="S34" i="48"/>
  <c r="F34" i="48" s="1"/>
  <c r="S23" i="48"/>
  <c r="F23" i="48" s="1"/>
  <c r="S19" i="48"/>
  <c r="F19" i="48" s="1"/>
  <c r="S15" i="48"/>
  <c r="F15" i="48" s="1"/>
  <c r="S55" i="48"/>
  <c r="F55" i="48" s="1"/>
  <c r="S49" i="48"/>
  <c r="F49" i="48" s="1"/>
  <c r="S44" i="48"/>
  <c r="F44" i="48" s="1"/>
  <c r="S40" i="48"/>
  <c r="F40" i="48" s="1"/>
  <c r="S36" i="48"/>
  <c r="F36" i="48" s="1"/>
  <c r="S25" i="48"/>
  <c r="F25" i="48" s="1"/>
  <c r="S21" i="48"/>
  <c r="F21" i="48" s="1"/>
  <c r="S17" i="48"/>
  <c r="F17" i="48" s="1"/>
  <c r="S13" i="48"/>
  <c r="F13" i="48" s="1"/>
  <c r="S10" i="48"/>
  <c r="F10" i="48" s="1"/>
  <c r="S52" i="48"/>
  <c r="F52" i="48" s="1"/>
  <c r="S26" i="48"/>
  <c r="F26" i="48" s="1"/>
  <c r="AM8" i="48"/>
  <c r="G8" i="48" s="1"/>
  <c r="AM45" i="48"/>
  <c r="G45" i="48" s="1"/>
  <c r="AM43" i="48"/>
  <c r="G43" i="48" s="1"/>
  <c r="AM41" i="48"/>
  <c r="G41" i="48" s="1"/>
  <c r="AM40" i="48"/>
  <c r="G40" i="48" s="1"/>
  <c r="AM38" i="48"/>
  <c r="G38" i="48" s="1"/>
  <c r="AM36" i="48"/>
  <c r="G36" i="48" s="1"/>
  <c r="AM34" i="48"/>
  <c r="G34" i="48" s="1"/>
  <c r="AM25" i="48"/>
  <c r="G25" i="48" s="1"/>
  <c r="AM23" i="48"/>
  <c r="G23" i="48" s="1"/>
  <c r="AM21" i="48"/>
  <c r="G21" i="48" s="1"/>
  <c r="AM19" i="48"/>
  <c r="G19" i="48" s="1"/>
  <c r="AM17" i="48"/>
  <c r="G17" i="48" s="1"/>
  <c r="AM48" i="48"/>
  <c r="G48" i="48" s="1"/>
  <c r="AM14" i="48"/>
  <c r="G14" i="48" s="1"/>
  <c r="AM12" i="48"/>
  <c r="G12" i="48" s="1"/>
  <c r="AM10" i="48"/>
  <c r="G10" i="48" s="1"/>
  <c r="AM55" i="48"/>
  <c r="G55" i="48" s="1"/>
  <c r="AM51" i="48"/>
  <c r="G51" i="48" s="1"/>
  <c r="AM26" i="48"/>
  <c r="G26" i="48" s="1"/>
  <c r="S8" i="48"/>
  <c r="F8" i="48" s="1"/>
  <c r="S48" i="48"/>
  <c r="F48" i="48" s="1"/>
  <c r="AM46" i="48"/>
  <c r="G46" i="48" s="1"/>
  <c r="AM44" i="48"/>
  <c r="G44" i="48" s="1"/>
  <c r="AM42" i="48"/>
  <c r="G42" i="48" s="1"/>
  <c r="AM15" i="48"/>
  <c r="G15" i="48" s="1"/>
  <c r="AM39" i="48"/>
  <c r="G39" i="48" s="1"/>
  <c r="AM37" i="48"/>
  <c r="G37" i="48" s="1"/>
  <c r="AM35" i="48"/>
  <c r="G35" i="48" s="1"/>
  <c r="AM33" i="48"/>
  <c r="G33" i="48" s="1"/>
  <c r="AM24" i="48"/>
  <c r="G24" i="48" s="1"/>
  <c r="AM22" i="48"/>
  <c r="G22" i="48" s="1"/>
  <c r="AM20" i="48"/>
  <c r="G20" i="48" s="1"/>
  <c r="AM18" i="48"/>
  <c r="G18" i="48" s="1"/>
  <c r="AM16" i="48"/>
  <c r="G16" i="48" s="1"/>
  <c r="AM52" i="48"/>
  <c r="G52" i="48" s="1"/>
  <c r="AM13" i="48"/>
  <c r="G13" i="48" s="1"/>
  <c r="AM11" i="48"/>
  <c r="G11" i="48" s="1"/>
  <c r="AM9" i="48"/>
  <c r="G9" i="48" s="1"/>
  <c r="AM54" i="48"/>
  <c r="G54" i="48" s="1"/>
  <c r="AM49" i="48"/>
  <c r="G49" i="48" s="1"/>
  <c r="B7" i="42"/>
  <c r="C7" i="42"/>
  <c r="B8" i="42"/>
  <c r="C8" i="42"/>
  <c r="B9" i="42"/>
  <c r="C9" i="42"/>
  <c r="B10" i="42"/>
  <c r="C10" i="42"/>
  <c r="B11" i="42"/>
  <c r="C11" i="42"/>
  <c r="B12" i="42"/>
  <c r="C12" i="42"/>
  <c r="B13" i="42"/>
  <c r="C13" i="42"/>
  <c r="B14" i="42"/>
  <c r="C14" i="42"/>
  <c r="B15" i="42"/>
  <c r="C15" i="42"/>
  <c r="B16" i="42"/>
  <c r="C16" i="42"/>
  <c r="B17" i="42"/>
  <c r="C17" i="42"/>
  <c r="B18" i="42"/>
  <c r="C18" i="42"/>
  <c r="B19" i="42"/>
  <c r="C19" i="42"/>
  <c r="B20" i="42"/>
  <c r="C20" i="42"/>
  <c r="B21" i="42"/>
  <c r="C21" i="42"/>
  <c r="B22" i="42"/>
  <c r="C22" i="42"/>
  <c r="B23" i="42"/>
  <c r="C23" i="42"/>
  <c r="B24" i="42"/>
  <c r="C24" i="42"/>
  <c r="B25" i="42"/>
  <c r="C25" i="42"/>
  <c r="B26" i="42"/>
  <c r="B27" i="42"/>
  <c r="C27" i="42"/>
  <c r="B28" i="42"/>
  <c r="C28" i="42"/>
  <c r="B29" i="42"/>
  <c r="C29" i="42"/>
  <c r="B30" i="42"/>
  <c r="C30" i="42"/>
  <c r="B31" i="42"/>
  <c r="C31" i="42"/>
  <c r="B32" i="42"/>
  <c r="C32" i="42"/>
  <c r="B33" i="42"/>
  <c r="C33" i="42"/>
  <c r="B34" i="42"/>
  <c r="C34" i="42"/>
  <c r="B35" i="42"/>
  <c r="C35" i="42"/>
  <c r="B36" i="42"/>
  <c r="C36" i="42"/>
  <c r="B37" i="42"/>
  <c r="C37" i="42"/>
  <c r="B38" i="42"/>
  <c r="C38" i="42"/>
  <c r="B39" i="42"/>
  <c r="C39" i="42"/>
  <c r="B5" i="42"/>
  <c r="C5" i="42"/>
  <c r="B6" i="42"/>
  <c r="C6" i="42"/>
  <c r="B7" i="41" l="1"/>
  <c r="C7" i="41"/>
  <c r="B8" i="41"/>
  <c r="C8" i="41"/>
  <c r="B9" i="41"/>
  <c r="C9" i="41"/>
  <c r="B10" i="41"/>
  <c r="C10" i="41"/>
  <c r="B11" i="41"/>
  <c r="C11" i="41"/>
  <c r="B12" i="41"/>
  <c r="C12" i="41"/>
  <c r="B13" i="41"/>
  <c r="C13" i="41"/>
  <c r="B14" i="41"/>
  <c r="C14" i="41"/>
  <c r="B15" i="41"/>
  <c r="C15" i="41"/>
  <c r="B16" i="41"/>
  <c r="C16" i="41"/>
  <c r="B17" i="41"/>
  <c r="C17" i="41"/>
  <c r="B18" i="41"/>
  <c r="C18" i="41"/>
  <c r="B19" i="41"/>
  <c r="C19" i="41"/>
  <c r="B20" i="41"/>
  <c r="C20" i="41"/>
  <c r="B21" i="41"/>
  <c r="C21" i="41"/>
  <c r="B22" i="41"/>
  <c r="C22" i="41"/>
  <c r="B23" i="41"/>
  <c r="C23" i="41"/>
  <c r="B24" i="41"/>
  <c r="B25" i="41"/>
  <c r="C25" i="41"/>
  <c r="B26" i="41"/>
  <c r="C26" i="41"/>
  <c r="B27" i="41"/>
  <c r="C27" i="41"/>
  <c r="B28" i="41"/>
  <c r="C28" i="41"/>
  <c r="B29" i="41"/>
  <c r="C29" i="41"/>
  <c r="B30" i="41"/>
  <c r="C30" i="41"/>
  <c r="B31" i="41"/>
  <c r="C31" i="41"/>
  <c r="B32" i="41"/>
  <c r="C32" i="41"/>
  <c r="B33" i="41"/>
  <c r="C33" i="41"/>
  <c r="B34" i="41"/>
  <c r="C34" i="41"/>
  <c r="B35" i="41"/>
  <c r="C35" i="41"/>
  <c r="B36" i="41"/>
  <c r="C36" i="41"/>
  <c r="B37" i="41"/>
  <c r="C37" i="41"/>
  <c r="B5" i="41"/>
  <c r="C5" i="41"/>
  <c r="C6" i="41" l="1"/>
  <c r="B6" i="41"/>
  <c r="I27" i="40" l="1"/>
  <c r="I26" i="40"/>
  <c r="I25" i="40"/>
  <c r="I24" i="40"/>
  <c r="I23" i="40"/>
  <c r="I22" i="40"/>
  <c r="DW51" i="4" l="1"/>
  <c r="DV51" i="4"/>
  <c r="DU51" i="4"/>
  <c r="DT51" i="4"/>
  <c r="DS51" i="4"/>
  <c r="CZ51" i="4"/>
  <c r="CY51" i="4"/>
  <c r="CX51" i="4"/>
  <c r="CW51" i="4"/>
  <c r="CV51" i="4"/>
  <c r="BR51" i="4"/>
  <c r="BQ51" i="4"/>
  <c r="D51" i="20" s="1"/>
  <c r="BJ51" i="4"/>
  <c r="BI51" i="4"/>
  <c r="BH51" i="4"/>
  <c r="BG51" i="4"/>
  <c r="BF51" i="4"/>
  <c r="AM51" i="4"/>
  <c r="AL51" i="4"/>
  <c r="AK51" i="4"/>
  <c r="AJ51" i="4"/>
  <c r="AI51" i="4"/>
  <c r="E51" i="4"/>
  <c r="D55" i="48" s="1"/>
  <c r="E55" i="48" s="1"/>
  <c r="D51" i="4"/>
  <c r="DW50" i="4"/>
  <c r="DV50" i="4"/>
  <c r="DU50" i="4"/>
  <c r="DT50" i="4"/>
  <c r="DS50" i="4"/>
  <c r="CZ50" i="4"/>
  <c r="CY50" i="4"/>
  <c r="CX50" i="4"/>
  <c r="CW50" i="4"/>
  <c r="CV50" i="4"/>
  <c r="BR50" i="4"/>
  <c r="BQ50" i="4"/>
  <c r="D50" i="20" s="1"/>
  <c r="BJ50" i="4"/>
  <c r="BI50" i="4"/>
  <c r="BH50" i="4"/>
  <c r="BG50" i="4"/>
  <c r="BF50" i="4"/>
  <c r="AM50" i="4"/>
  <c r="AL50" i="4"/>
  <c r="AK50" i="4"/>
  <c r="AJ50" i="4"/>
  <c r="AI50" i="4"/>
  <c r="E50" i="4"/>
  <c r="D54" i="48" s="1"/>
  <c r="E54" i="48" s="1"/>
  <c r="D50" i="4"/>
  <c r="DW49" i="4"/>
  <c r="DV49" i="4"/>
  <c r="DU49" i="4"/>
  <c r="DT49" i="4"/>
  <c r="DS49" i="4"/>
  <c r="CZ49" i="4"/>
  <c r="CY49" i="4"/>
  <c r="CX49" i="4"/>
  <c r="CW49" i="4"/>
  <c r="CV49" i="4"/>
  <c r="BR49" i="4"/>
  <c r="BQ49" i="4"/>
  <c r="D49" i="20" s="1"/>
  <c r="BJ49" i="4"/>
  <c r="BI49" i="4"/>
  <c r="BH49" i="4"/>
  <c r="BG49" i="4"/>
  <c r="BF49" i="4"/>
  <c r="AM49" i="4"/>
  <c r="AL49" i="4"/>
  <c r="AK49" i="4"/>
  <c r="AJ49" i="4"/>
  <c r="AI49" i="4"/>
  <c r="E49" i="4"/>
  <c r="D49" i="4"/>
  <c r="DW48" i="4"/>
  <c r="DV48" i="4"/>
  <c r="DU48" i="4"/>
  <c r="DT48" i="4"/>
  <c r="DS48" i="4"/>
  <c r="CZ48" i="4"/>
  <c r="CY48" i="4"/>
  <c r="CX48" i="4"/>
  <c r="CW48" i="4"/>
  <c r="CV48" i="4"/>
  <c r="BR48" i="4"/>
  <c r="BQ48" i="4"/>
  <c r="D48" i="20" s="1"/>
  <c r="BJ48" i="4"/>
  <c r="BI48" i="4"/>
  <c r="BH48" i="4"/>
  <c r="BG48" i="4"/>
  <c r="BF48" i="4"/>
  <c r="AM48" i="4"/>
  <c r="AL48" i="4"/>
  <c r="AK48" i="4"/>
  <c r="AJ48" i="4"/>
  <c r="AI48" i="4"/>
  <c r="E48" i="4"/>
  <c r="D52" i="48" s="1"/>
  <c r="E52" i="48" s="1"/>
  <c r="D48" i="4"/>
  <c r="DW47" i="4"/>
  <c r="DV47" i="4"/>
  <c r="DU47" i="4"/>
  <c r="DT47" i="4"/>
  <c r="DS47" i="4"/>
  <c r="CZ47" i="4"/>
  <c r="CY47" i="4"/>
  <c r="CX47" i="4"/>
  <c r="CW47" i="4"/>
  <c r="CV47" i="4"/>
  <c r="BR47" i="4"/>
  <c r="BQ47" i="4"/>
  <c r="D47" i="20" s="1"/>
  <c r="BJ47" i="4"/>
  <c r="BI47" i="4"/>
  <c r="BH47" i="4"/>
  <c r="BG47" i="4"/>
  <c r="BF47" i="4"/>
  <c r="AM47" i="4"/>
  <c r="AL47" i="4"/>
  <c r="AK47" i="4"/>
  <c r="AJ47" i="4"/>
  <c r="AI47" i="4"/>
  <c r="E47" i="4"/>
  <c r="D51" i="48" s="1"/>
  <c r="E51" i="48" s="1"/>
  <c r="D47" i="4"/>
  <c r="DW46" i="4"/>
  <c r="DV46" i="4"/>
  <c r="DU46" i="4"/>
  <c r="DT46" i="4"/>
  <c r="DS46" i="4"/>
  <c r="CZ46" i="4"/>
  <c r="CY46" i="4"/>
  <c r="CX46" i="4"/>
  <c r="CW46" i="4"/>
  <c r="CV46" i="4"/>
  <c r="BR46" i="4"/>
  <c r="BQ46" i="4"/>
  <c r="D46" i="20" s="1"/>
  <c r="BJ46" i="4"/>
  <c r="BI46" i="4"/>
  <c r="BH46" i="4"/>
  <c r="BG46" i="4"/>
  <c r="BF46" i="4"/>
  <c r="AM46" i="4"/>
  <c r="AL46" i="4"/>
  <c r="AK46" i="4"/>
  <c r="AJ46" i="4"/>
  <c r="AI46" i="4"/>
  <c r="E46" i="4"/>
  <c r="D46" i="4"/>
  <c r="DW45" i="4"/>
  <c r="DV45" i="4"/>
  <c r="DU45" i="4"/>
  <c r="DT45" i="4"/>
  <c r="DS45" i="4"/>
  <c r="CZ45" i="4"/>
  <c r="CY45" i="4"/>
  <c r="CX45" i="4"/>
  <c r="CW45" i="4"/>
  <c r="CV45" i="4"/>
  <c r="BR45" i="4"/>
  <c r="BQ45" i="4"/>
  <c r="D45" i="20" s="1"/>
  <c r="BJ45" i="4"/>
  <c r="BI45" i="4"/>
  <c r="BH45" i="4"/>
  <c r="BG45" i="4"/>
  <c r="BF45" i="4"/>
  <c r="AM45" i="4"/>
  <c r="AL45" i="4"/>
  <c r="AK45" i="4"/>
  <c r="AJ45" i="4"/>
  <c r="AI45" i="4"/>
  <c r="E45" i="4"/>
  <c r="D49" i="48" s="1"/>
  <c r="E49" i="48" s="1"/>
  <c r="D45" i="4"/>
  <c r="DW44" i="4"/>
  <c r="DV44" i="4"/>
  <c r="DU44" i="4"/>
  <c r="DT44" i="4"/>
  <c r="DS44" i="4"/>
  <c r="CZ44" i="4"/>
  <c r="CY44" i="4"/>
  <c r="CX44" i="4"/>
  <c r="CW44" i="4"/>
  <c r="CV44" i="4"/>
  <c r="BR44" i="4"/>
  <c r="BQ44" i="4"/>
  <c r="D44" i="20" s="1"/>
  <c r="BJ44" i="4"/>
  <c r="BI44" i="4"/>
  <c r="BH44" i="4"/>
  <c r="BG44" i="4"/>
  <c r="BF44" i="4"/>
  <c r="AM44" i="4"/>
  <c r="AL44" i="4"/>
  <c r="AK44" i="4"/>
  <c r="AJ44" i="4"/>
  <c r="AI44" i="4"/>
  <c r="E44" i="4"/>
  <c r="D48" i="48" s="1"/>
  <c r="E48" i="48" s="1"/>
  <c r="D44" i="4"/>
  <c r="DW43" i="4"/>
  <c r="DV43" i="4"/>
  <c r="DU43" i="4"/>
  <c r="DT43" i="4"/>
  <c r="DS43" i="4"/>
  <c r="CZ43" i="4"/>
  <c r="CY43" i="4"/>
  <c r="CX43" i="4"/>
  <c r="CW43" i="4"/>
  <c r="CV43" i="4"/>
  <c r="BR43" i="4"/>
  <c r="BQ43" i="4"/>
  <c r="BJ43" i="4"/>
  <c r="BI43" i="4"/>
  <c r="BH43" i="4"/>
  <c r="BG43" i="4"/>
  <c r="BF43" i="4"/>
  <c r="AM43" i="4"/>
  <c r="AL43" i="4"/>
  <c r="AK43" i="4"/>
  <c r="AJ43" i="4"/>
  <c r="AI43" i="4"/>
  <c r="E43" i="4"/>
  <c r="D43" i="4"/>
  <c r="DW42" i="4"/>
  <c r="DV42" i="4"/>
  <c r="DU42" i="4"/>
  <c r="DT42" i="4"/>
  <c r="DS42" i="4"/>
  <c r="CZ42" i="4"/>
  <c r="CY42" i="4"/>
  <c r="CX42" i="4"/>
  <c r="CW42" i="4"/>
  <c r="CV42" i="4"/>
  <c r="BR42" i="4"/>
  <c r="BQ42" i="4"/>
  <c r="BJ42" i="4"/>
  <c r="BI42" i="4"/>
  <c r="BH42" i="4"/>
  <c r="BG42" i="4"/>
  <c r="BF42" i="4"/>
  <c r="AM42" i="4"/>
  <c r="AL42" i="4"/>
  <c r="AK42" i="4"/>
  <c r="AJ42" i="4"/>
  <c r="AI42" i="4"/>
  <c r="E42" i="4"/>
  <c r="D42" i="4"/>
  <c r="DW41" i="4"/>
  <c r="DV41" i="4"/>
  <c r="DU41" i="4"/>
  <c r="DT41" i="4"/>
  <c r="DS41" i="4"/>
  <c r="CZ41" i="4"/>
  <c r="CY41" i="4"/>
  <c r="CX41" i="4"/>
  <c r="CW41" i="4"/>
  <c r="CV41" i="4"/>
  <c r="BR41" i="4"/>
  <c r="BQ41" i="4"/>
  <c r="BJ41" i="4"/>
  <c r="BI41" i="4"/>
  <c r="BH41" i="4"/>
  <c r="BG41" i="4"/>
  <c r="BF41" i="4"/>
  <c r="AM41" i="4"/>
  <c r="AL41" i="4"/>
  <c r="AK41" i="4"/>
  <c r="AJ41" i="4"/>
  <c r="AI41" i="4"/>
  <c r="E41" i="4"/>
  <c r="D41" i="4"/>
  <c r="DW40" i="4"/>
  <c r="DV40" i="4"/>
  <c r="DU40" i="4"/>
  <c r="DT40" i="4"/>
  <c r="DS40" i="4"/>
  <c r="CZ40" i="4"/>
  <c r="CY40" i="4"/>
  <c r="CX40" i="4"/>
  <c r="CW40" i="4"/>
  <c r="CV40" i="4"/>
  <c r="BR40" i="4"/>
  <c r="BQ40" i="4"/>
  <c r="BJ40" i="4"/>
  <c r="BI40" i="4"/>
  <c r="BH40" i="4"/>
  <c r="BG40" i="4"/>
  <c r="BF40" i="4"/>
  <c r="AM40" i="4"/>
  <c r="AL40" i="4"/>
  <c r="AK40" i="4"/>
  <c r="AJ40" i="4"/>
  <c r="AI40" i="4"/>
  <c r="E40" i="4"/>
  <c r="D40" i="4"/>
  <c r="DW39" i="4"/>
  <c r="DV39" i="4"/>
  <c r="DU39" i="4"/>
  <c r="DT39" i="4"/>
  <c r="DS39" i="4"/>
  <c r="CZ39" i="4"/>
  <c r="CY39" i="4"/>
  <c r="CX39" i="4"/>
  <c r="CW39" i="4"/>
  <c r="CV39" i="4"/>
  <c r="BR39" i="4"/>
  <c r="BQ39" i="4"/>
  <c r="BJ39" i="4"/>
  <c r="BI39" i="4"/>
  <c r="BH39" i="4"/>
  <c r="BG39" i="4"/>
  <c r="BF39" i="4"/>
  <c r="AM39" i="4"/>
  <c r="AL39" i="4"/>
  <c r="AK39" i="4"/>
  <c r="AJ39" i="4"/>
  <c r="AI39" i="4"/>
  <c r="E39" i="4"/>
  <c r="D39" i="4"/>
  <c r="DW38" i="4"/>
  <c r="DV38" i="4"/>
  <c r="DU38" i="4"/>
  <c r="DT38" i="4"/>
  <c r="DS38" i="4"/>
  <c r="CZ38" i="4"/>
  <c r="CY38" i="4"/>
  <c r="CX38" i="4"/>
  <c r="CW38" i="4"/>
  <c r="CV38" i="4"/>
  <c r="BR38" i="4"/>
  <c r="BQ38" i="4"/>
  <c r="BJ38" i="4"/>
  <c r="BI38" i="4"/>
  <c r="BH38" i="4"/>
  <c r="BG38" i="4"/>
  <c r="BF38" i="4"/>
  <c r="AM38" i="4"/>
  <c r="AL38" i="4"/>
  <c r="AK38" i="4"/>
  <c r="AJ38" i="4"/>
  <c r="AI38" i="4"/>
  <c r="E38" i="4"/>
  <c r="D38" i="4"/>
  <c r="DW37" i="4"/>
  <c r="DV37" i="4"/>
  <c r="DU37" i="4"/>
  <c r="DT37" i="4"/>
  <c r="DS37" i="4"/>
  <c r="CZ37" i="4"/>
  <c r="CY37" i="4"/>
  <c r="CX37" i="4"/>
  <c r="CW37" i="4"/>
  <c r="CV37" i="4"/>
  <c r="BR37" i="4"/>
  <c r="BQ37" i="4"/>
  <c r="BJ37" i="4"/>
  <c r="BI37" i="4"/>
  <c r="BH37" i="4"/>
  <c r="BG37" i="4"/>
  <c r="BF37" i="4"/>
  <c r="AM37" i="4"/>
  <c r="AL37" i="4"/>
  <c r="AK37" i="4"/>
  <c r="AJ37" i="4"/>
  <c r="AI37" i="4"/>
  <c r="E37" i="4"/>
  <c r="D37" i="4"/>
  <c r="DW36" i="4"/>
  <c r="DV36" i="4"/>
  <c r="DU36" i="4"/>
  <c r="DT36" i="4"/>
  <c r="DS36" i="4"/>
  <c r="CZ36" i="4"/>
  <c r="CY36" i="4"/>
  <c r="CX36" i="4"/>
  <c r="CW36" i="4"/>
  <c r="CV36" i="4"/>
  <c r="BR36" i="4"/>
  <c r="BQ36" i="4"/>
  <c r="BJ36" i="4"/>
  <c r="BI36" i="4"/>
  <c r="BH36" i="4"/>
  <c r="BG36" i="4"/>
  <c r="BF36" i="4"/>
  <c r="AM36" i="4"/>
  <c r="AL36" i="4"/>
  <c r="AK36" i="4"/>
  <c r="AJ36" i="4"/>
  <c r="AI36" i="4"/>
  <c r="E36" i="4"/>
  <c r="D36" i="4"/>
  <c r="DW35" i="4"/>
  <c r="DV35" i="4"/>
  <c r="DU35" i="4"/>
  <c r="DT35" i="4"/>
  <c r="DS35" i="4"/>
  <c r="CZ35" i="4"/>
  <c r="CY35" i="4"/>
  <c r="CX35" i="4"/>
  <c r="CW35" i="4"/>
  <c r="CV35" i="4"/>
  <c r="BR35" i="4"/>
  <c r="BQ35" i="4"/>
  <c r="BJ35" i="4"/>
  <c r="BI35" i="4"/>
  <c r="BH35" i="4"/>
  <c r="BG35" i="4"/>
  <c r="BF35" i="4"/>
  <c r="AM35" i="4"/>
  <c r="AL35" i="4"/>
  <c r="AK35" i="4"/>
  <c r="AJ35" i="4"/>
  <c r="AI35" i="4"/>
  <c r="E35" i="4"/>
  <c r="D35" i="4"/>
  <c r="DW34" i="4"/>
  <c r="DV34" i="4"/>
  <c r="DU34" i="4"/>
  <c r="DT34" i="4"/>
  <c r="DS34" i="4"/>
  <c r="CZ34" i="4"/>
  <c r="CY34" i="4"/>
  <c r="CX34" i="4"/>
  <c r="CW34" i="4"/>
  <c r="CV34" i="4"/>
  <c r="BR34" i="4"/>
  <c r="BQ34" i="4"/>
  <c r="BJ34" i="4"/>
  <c r="BI34" i="4"/>
  <c r="BH34" i="4"/>
  <c r="BG34" i="4"/>
  <c r="BF34" i="4"/>
  <c r="AM34" i="4"/>
  <c r="AL34" i="4"/>
  <c r="AK34" i="4"/>
  <c r="AJ34" i="4"/>
  <c r="AI34" i="4"/>
  <c r="E34" i="4"/>
  <c r="D34" i="4"/>
  <c r="DW33" i="4"/>
  <c r="DV33" i="4"/>
  <c r="DU33" i="4"/>
  <c r="DT33" i="4"/>
  <c r="DS33" i="4"/>
  <c r="CZ33" i="4"/>
  <c r="CY33" i="4"/>
  <c r="CX33" i="4"/>
  <c r="CW33" i="4"/>
  <c r="CV33" i="4"/>
  <c r="BR33" i="4"/>
  <c r="BQ33" i="4"/>
  <c r="BJ33" i="4"/>
  <c r="BI33" i="4"/>
  <c r="BH33" i="4"/>
  <c r="BG33" i="4"/>
  <c r="BF33" i="4"/>
  <c r="AM33" i="4"/>
  <c r="AL33" i="4"/>
  <c r="AK33" i="4"/>
  <c r="AJ33" i="4"/>
  <c r="AI33" i="4"/>
  <c r="E33" i="4"/>
  <c r="D33" i="4"/>
  <c r="DW32" i="4"/>
  <c r="DV32" i="4"/>
  <c r="DU32" i="4"/>
  <c r="DT32" i="4"/>
  <c r="DS32" i="4"/>
  <c r="CZ32" i="4"/>
  <c r="CY32" i="4"/>
  <c r="CX32" i="4"/>
  <c r="CW32" i="4"/>
  <c r="CV32" i="4"/>
  <c r="BR32" i="4"/>
  <c r="BQ32" i="4"/>
  <c r="BJ32" i="4"/>
  <c r="BI32" i="4"/>
  <c r="BH32" i="4"/>
  <c r="BG32" i="4"/>
  <c r="BF32" i="4"/>
  <c r="AM32" i="4"/>
  <c r="AL32" i="4"/>
  <c r="AK32" i="4"/>
  <c r="AJ32" i="4"/>
  <c r="AI32" i="4"/>
  <c r="E32" i="4"/>
  <c r="D32" i="4"/>
  <c r="DW31" i="4"/>
  <c r="DV31" i="4"/>
  <c r="DU31" i="4"/>
  <c r="DT31" i="4"/>
  <c r="DS31" i="4"/>
  <c r="CZ31" i="4"/>
  <c r="CY31" i="4"/>
  <c r="CX31" i="4"/>
  <c r="CW31" i="4"/>
  <c r="CV31" i="4"/>
  <c r="BR31" i="4"/>
  <c r="BQ31" i="4"/>
  <c r="BJ31" i="4"/>
  <c r="BI31" i="4"/>
  <c r="BH31" i="4"/>
  <c r="BG31" i="4"/>
  <c r="BF31" i="4"/>
  <c r="AM31" i="4"/>
  <c r="AL31" i="4"/>
  <c r="AK31" i="4"/>
  <c r="AJ31" i="4"/>
  <c r="AI31" i="4"/>
  <c r="E31" i="4"/>
  <c r="D31" i="4"/>
  <c r="DW30" i="4"/>
  <c r="DV30" i="4"/>
  <c r="DU30" i="4"/>
  <c r="DT30" i="4"/>
  <c r="DS30" i="4"/>
  <c r="CZ30" i="4"/>
  <c r="CY30" i="4"/>
  <c r="CX30" i="4"/>
  <c r="CW30" i="4"/>
  <c r="CV30" i="4"/>
  <c r="BR30" i="4"/>
  <c r="BQ30" i="4"/>
  <c r="BJ30" i="4"/>
  <c r="BI30" i="4"/>
  <c r="BH30" i="4"/>
  <c r="BG30" i="4"/>
  <c r="BF30" i="4"/>
  <c r="AM30" i="4"/>
  <c r="AL30" i="4"/>
  <c r="AK30" i="4"/>
  <c r="AJ30" i="4"/>
  <c r="AI30" i="4"/>
  <c r="E30" i="4"/>
  <c r="D30" i="4"/>
  <c r="DW29" i="4"/>
  <c r="DV29" i="4"/>
  <c r="DU29" i="4"/>
  <c r="DT29" i="4"/>
  <c r="DS29" i="4"/>
  <c r="CZ29" i="4"/>
  <c r="CY29" i="4"/>
  <c r="CX29" i="4"/>
  <c r="CW29" i="4"/>
  <c r="CV29" i="4"/>
  <c r="BR29" i="4"/>
  <c r="BQ29" i="4"/>
  <c r="BJ29" i="4"/>
  <c r="BI29" i="4"/>
  <c r="BH29" i="4"/>
  <c r="BG29" i="4"/>
  <c r="BF29" i="4"/>
  <c r="AM29" i="4"/>
  <c r="AL29" i="4"/>
  <c r="AK29" i="4"/>
  <c r="AJ29" i="4"/>
  <c r="AI29" i="4"/>
  <c r="E29" i="4"/>
  <c r="D29" i="4"/>
  <c r="D26" i="47" s="1"/>
  <c r="DW28" i="4"/>
  <c r="DV28" i="4"/>
  <c r="DU28" i="4"/>
  <c r="DT28" i="4"/>
  <c r="DS28" i="4"/>
  <c r="CZ28" i="4"/>
  <c r="CY28" i="4"/>
  <c r="CX28" i="4"/>
  <c r="CW28" i="4"/>
  <c r="CV28" i="4"/>
  <c r="BR28" i="4"/>
  <c r="BQ28" i="4"/>
  <c r="BJ28" i="4"/>
  <c r="BI28" i="4"/>
  <c r="BH28" i="4"/>
  <c r="BG28" i="4"/>
  <c r="BF28" i="4"/>
  <c r="AM28" i="4"/>
  <c r="AL28" i="4"/>
  <c r="AK28" i="4"/>
  <c r="AJ28" i="4"/>
  <c r="AI28" i="4"/>
  <c r="E28" i="4"/>
  <c r="D28" i="4"/>
  <c r="D25" i="47" s="1"/>
  <c r="DW27" i="4"/>
  <c r="DV27" i="4"/>
  <c r="DU27" i="4"/>
  <c r="DT27" i="4"/>
  <c r="DS27" i="4"/>
  <c r="CZ27" i="4"/>
  <c r="CY27" i="4"/>
  <c r="CX27" i="4"/>
  <c r="CW27" i="4"/>
  <c r="CV27" i="4"/>
  <c r="BR27" i="4"/>
  <c r="BQ27" i="4"/>
  <c r="BJ27" i="4"/>
  <c r="BI27" i="4"/>
  <c r="BH27" i="4"/>
  <c r="BG27" i="4"/>
  <c r="BF27" i="4"/>
  <c r="AM27" i="4"/>
  <c r="AL27" i="4"/>
  <c r="AK27" i="4"/>
  <c r="AJ27" i="4"/>
  <c r="AI27" i="4"/>
  <c r="E27" i="4"/>
  <c r="D27" i="4"/>
  <c r="DW26" i="4"/>
  <c r="DV26" i="4"/>
  <c r="DU26" i="4"/>
  <c r="DT26" i="4"/>
  <c r="DS26" i="4"/>
  <c r="CZ26" i="4"/>
  <c r="CY26" i="4"/>
  <c r="CX26" i="4"/>
  <c r="CW26" i="4"/>
  <c r="CV26" i="4"/>
  <c r="BR26" i="4"/>
  <c r="BQ26" i="4"/>
  <c r="BJ26" i="4"/>
  <c r="BI26" i="4"/>
  <c r="BH26" i="4"/>
  <c r="BG26" i="4"/>
  <c r="BF26" i="4"/>
  <c r="AM26" i="4"/>
  <c r="AL26" i="4"/>
  <c r="AK26" i="4"/>
  <c r="AJ26" i="4"/>
  <c r="AI26" i="4"/>
  <c r="E26" i="4"/>
  <c r="D26" i="4"/>
  <c r="DW25" i="4"/>
  <c r="DV25" i="4"/>
  <c r="DU25" i="4"/>
  <c r="DT25" i="4"/>
  <c r="DS25" i="4"/>
  <c r="CZ25" i="4"/>
  <c r="CY25" i="4"/>
  <c r="CX25" i="4"/>
  <c r="CW25" i="4"/>
  <c r="CV25" i="4"/>
  <c r="BR25" i="4"/>
  <c r="BQ25" i="4"/>
  <c r="BJ25" i="4"/>
  <c r="BI25" i="4"/>
  <c r="BH25" i="4"/>
  <c r="BG25" i="4"/>
  <c r="BF25" i="4"/>
  <c r="AM25" i="4"/>
  <c r="AL25" i="4"/>
  <c r="AK25" i="4"/>
  <c r="AJ25" i="4"/>
  <c r="AI25" i="4"/>
  <c r="E25" i="4"/>
  <c r="D25" i="4"/>
  <c r="DW24" i="4"/>
  <c r="DV24" i="4"/>
  <c r="DU24" i="4"/>
  <c r="DT24" i="4"/>
  <c r="DS24" i="4"/>
  <c r="CZ24" i="4"/>
  <c r="CY24" i="4"/>
  <c r="CX24" i="4"/>
  <c r="CW24" i="4"/>
  <c r="CV24" i="4"/>
  <c r="BR24" i="4"/>
  <c r="BQ24" i="4"/>
  <c r="BJ24" i="4"/>
  <c r="BI24" i="4"/>
  <c r="BH24" i="4"/>
  <c r="BG24" i="4"/>
  <c r="BF24" i="4"/>
  <c r="AM24" i="4"/>
  <c r="AL24" i="4"/>
  <c r="AK24" i="4"/>
  <c r="AJ24" i="4"/>
  <c r="AI24" i="4"/>
  <c r="E24" i="4"/>
  <c r="D24" i="4"/>
  <c r="DW23" i="4"/>
  <c r="DV23" i="4"/>
  <c r="DU23" i="4"/>
  <c r="DT23" i="4"/>
  <c r="DS23" i="4"/>
  <c r="CZ23" i="4"/>
  <c r="CY23" i="4"/>
  <c r="CX23" i="4"/>
  <c r="CW23" i="4"/>
  <c r="CV23" i="4"/>
  <c r="BR23" i="4"/>
  <c r="BQ23" i="4"/>
  <c r="BJ23" i="4"/>
  <c r="BI23" i="4"/>
  <c r="BH23" i="4"/>
  <c r="BG23" i="4"/>
  <c r="BF23" i="4"/>
  <c r="AM23" i="4"/>
  <c r="AL23" i="4"/>
  <c r="AK23" i="4"/>
  <c r="AJ23" i="4"/>
  <c r="AI23" i="4"/>
  <c r="E23" i="4"/>
  <c r="D23" i="4"/>
  <c r="DW22" i="4"/>
  <c r="DV22" i="4"/>
  <c r="DU22" i="4"/>
  <c r="DT22" i="4"/>
  <c r="DS22" i="4"/>
  <c r="CZ22" i="4"/>
  <c r="CY22" i="4"/>
  <c r="CX22" i="4"/>
  <c r="CW22" i="4"/>
  <c r="CV22" i="4"/>
  <c r="BR22" i="4"/>
  <c r="BQ22" i="4"/>
  <c r="BJ22" i="4"/>
  <c r="BI22" i="4"/>
  <c r="BH22" i="4"/>
  <c r="BG22" i="4"/>
  <c r="BF22" i="4"/>
  <c r="AM22" i="4"/>
  <c r="AL22" i="4"/>
  <c r="AK22" i="4"/>
  <c r="AJ22" i="4"/>
  <c r="AI22" i="4"/>
  <c r="E22" i="4"/>
  <c r="D22" i="4"/>
  <c r="DW21" i="4"/>
  <c r="DV21" i="4"/>
  <c r="DU21" i="4"/>
  <c r="DT21" i="4"/>
  <c r="DS21" i="4"/>
  <c r="CZ21" i="4"/>
  <c r="CY21" i="4"/>
  <c r="CX21" i="4"/>
  <c r="CW21" i="4"/>
  <c r="CV21" i="4"/>
  <c r="BR21" i="4"/>
  <c r="BQ21" i="4"/>
  <c r="BJ21" i="4"/>
  <c r="BI21" i="4"/>
  <c r="BH21" i="4"/>
  <c r="BG21" i="4"/>
  <c r="BF21" i="4"/>
  <c r="AM21" i="4"/>
  <c r="AL21" i="4"/>
  <c r="AK21" i="4"/>
  <c r="AJ21" i="4"/>
  <c r="AI21" i="4"/>
  <c r="E21" i="4"/>
  <c r="D21" i="4"/>
  <c r="DW20" i="4"/>
  <c r="DV20" i="4"/>
  <c r="DU20" i="4"/>
  <c r="DT20" i="4"/>
  <c r="DS20" i="4"/>
  <c r="CZ20" i="4"/>
  <c r="CY20" i="4"/>
  <c r="CX20" i="4"/>
  <c r="CW20" i="4"/>
  <c r="CV20" i="4"/>
  <c r="BR20" i="4"/>
  <c r="BQ20" i="4"/>
  <c r="BJ20" i="4"/>
  <c r="BI20" i="4"/>
  <c r="BH20" i="4"/>
  <c r="BG20" i="4"/>
  <c r="BF20" i="4"/>
  <c r="AM20" i="4"/>
  <c r="AL20" i="4"/>
  <c r="AK20" i="4"/>
  <c r="AJ20" i="4"/>
  <c r="AI20" i="4"/>
  <c r="E20" i="4"/>
  <c r="D20" i="4"/>
  <c r="DW19" i="4"/>
  <c r="DV19" i="4"/>
  <c r="DU19" i="4"/>
  <c r="DT19" i="4"/>
  <c r="DS19" i="4"/>
  <c r="CZ19" i="4"/>
  <c r="CY19" i="4"/>
  <c r="CX19" i="4"/>
  <c r="CW19" i="4"/>
  <c r="CV19" i="4"/>
  <c r="BR19" i="4"/>
  <c r="BQ19" i="4"/>
  <c r="BJ19" i="4"/>
  <c r="BI19" i="4"/>
  <c r="BH19" i="4"/>
  <c r="BG19" i="4"/>
  <c r="BF19" i="4"/>
  <c r="AM19" i="4"/>
  <c r="AL19" i="4"/>
  <c r="AK19" i="4"/>
  <c r="AJ19" i="4"/>
  <c r="AI19" i="4"/>
  <c r="E19" i="4"/>
  <c r="D19" i="4"/>
  <c r="DW18" i="4"/>
  <c r="DV18" i="4"/>
  <c r="DU18" i="4"/>
  <c r="DT18" i="4"/>
  <c r="DS18" i="4"/>
  <c r="CZ18" i="4"/>
  <c r="CY18" i="4"/>
  <c r="CX18" i="4"/>
  <c r="CW18" i="4"/>
  <c r="CV18" i="4"/>
  <c r="BR18" i="4"/>
  <c r="BQ18" i="4"/>
  <c r="BJ18" i="4"/>
  <c r="BI18" i="4"/>
  <c r="BH18" i="4"/>
  <c r="BG18" i="4"/>
  <c r="BF18" i="4"/>
  <c r="AM18" i="4"/>
  <c r="AL18" i="4"/>
  <c r="AK18" i="4"/>
  <c r="AJ18" i="4"/>
  <c r="AI18" i="4"/>
  <c r="E18" i="4"/>
  <c r="D18" i="4"/>
  <c r="DW17" i="4"/>
  <c r="DV17" i="4"/>
  <c r="DU17" i="4"/>
  <c r="DT17" i="4"/>
  <c r="DS17" i="4"/>
  <c r="CZ17" i="4"/>
  <c r="CY17" i="4"/>
  <c r="CX17" i="4"/>
  <c r="CW17" i="4"/>
  <c r="CV17" i="4"/>
  <c r="BR17" i="4"/>
  <c r="BQ17" i="4"/>
  <c r="BJ17" i="4"/>
  <c r="BI17" i="4"/>
  <c r="BH17" i="4"/>
  <c r="BG17" i="4"/>
  <c r="BF17" i="4"/>
  <c r="AM17" i="4"/>
  <c r="AL17" i="4"/>
  <c r="AK17" i="4"/>
  <c r="AJ17" i="4"/>
  <c r="AI17" i="4"/>
  <c r="E17" i="4"/>
  <c r="D17" i="4"/>
  <c r="DW16" i="4"/>
  <c r="DV16" i="4"/>
  <c r="DU16" i="4"/>
  <c r="DT16" i="4"/>
  <c r="DS16" i="4"/>
  <c r="CZ16" i="4"/>
  <c r="CY16" i="4"/>
  <c r="CX16" i="4"/>
  <c r="CW16" i="4"/>
  <c r="CV16" i="4"/>
  <c r="BR16" i="4"/>
  <c r="BQ16" i="4"/>
  <c r="BJ16" i="4"/>
  <c r="BI16" i="4"/>
  <c r="BH16" i="4"/>
  <c r="BG16" i="4"/>
  <c r="BF16" i="4"/>
  <c r="AM16" i="4"/>
  <c r="AL16" i="4"/>
  <c r="AK16" i="4"/>
  <c r="AJ16" i="4"/>
  <c r="AI16" i="4"/>
  <c r="E16" i="4"/>
  <c r="D16" i="4"/>
  <c r="DW15" i="4"/>
  <c r="DV15" i="4"/>
  <c r="DU15" i="4"/>
  <c r="DT15" i="4"/>
  <c r="DS15" i="4"/>
  <c r="CZ15" i="4"/>
  <c r="CY15" i="4"/>
  <c r="CX15" i="4"/>
  <c r="CW15" i="4"/>
  <c r="CV15" i="4"/>
  <c r="BR15" i="4"/>
  <c r="BQ15" i="4"/>
  <c r="BJ15" i="4"/>
  <c r="BI15" i="4"/>
  <c r="BH15" i="4"/>
  <c r="BG15" i="4"/>
  <c r="BF15" i="4"/>
  <c r="AM15" i="4"/>
  <c r="AL15" i="4"/>
  <c r="AK15" i="4"/>
  <c r="AJ15" i="4"/>
  <c r="AI15" i="4"/>
  <c r="E15" i="4"/>
  <c r="D15" i="4"/>
  <c r="DW14" i="4"/>
  <c r="DV14" i="4"/>
  <c r="DU14" i="4"/>
  <c r="DT14" i="4"/>
  <c r="DS14" i="4"/>
  <c r="CZ14" i="4"/>
  <c r="CY14" i="4"/>
  <c r="CX14" i="4"/>
  <c r="CW14" i="4"/>
  <c r="CV14" i="4"/>
  <c r="BR14" i="4"/>
  <c r="BQ14" i="4"/>
  <c r="BJ14" i="4"/>
  <c r="BI14" i="4"/>
  <c r="BH14" i="4"/>
  <c r="BG14" i="4"/>
  <c r="BF14" i="4"/>
  <c r="AM14" i="4"/>
  <c r="AL14" i="4"/>
  <c r="AK14" i="4"/>
  <c r="AJ14" i="4"/>
  <c r="AI14" i="4"/>
  <c r="E14" i="4"/>
  <c r="D14" i="4"/>
  <c r="DW13" i="4"/>
  <c r="DV13" i="4"/>
  <c r="DU13" i="4"/>
  <c r="DT13" i="4"/>
  <c r="DS13" i="4"/>
  <c r="CZ13" i="4"/>
  <c r="CY13" i="4"/>
  <c r="CX13" i="4"/>
  <c r="CW13" i="4"/>
  <c r="CV13" i="4"/>
  <c r="BR13" i="4"/>
  <c r="BQ13" i="4"/>
  <c r="BJ13" i="4"/>
  <c r="BI13" i="4"/>
  <c r="BH13" i="4"/>
  <c r="BG13" i="4"/>
  <c r="BF13" i="4"/>
  <c r="AM13" i="4"/>
  <c r="AL13" i="4"/>
  <c r="AK13" i="4"/>
  <c r="AJ13" i="4"/>
  <c r="AI13" i="4"/>
  <c r="E13" i="4"/>
  <c r="D13" i="4"/>
  <c r="DW12" i="4"/>
  <c r="DV12" i="4"/>
  <c r="DU12" i="4"/>
  <c r="DT12" i="4"/>
  <c r="DS12" i="4"/>
  <c r="CZ12" i="4"/>
  <c r="CY12" i="4"/>
  <c r="CX12" i="4"/>
  <c r="CW12" i="4"/>
  <c r="CV12" i="4"/>
  <c r="BR12" i="4"/>
  <c r="BQ12" i="4"/>
  <c r="BJ12" i="4"/>
  <c r="BI12" i="4"/>
  <c r="BH12" i="4"/>
  <c r="BG12" i="4"/>
  <c r="BF12" i="4"/>
  <c r="AM12" i="4"/>
  <c r="AL12" i="4"/>
  <c r="AK12" i="4"/>
  <c r="AJ12" i="4"/>
  <c r="AI12" i="4"/>
  <c r="E12" i="4"/>
  <c r="D12" i="4"/>
  <c r="DW11" i="4"/>
  <c r="DV11" i="4"/>
  <c r="DU11" i="4"/>
  <c r="DT11" i="4"/>
  <c r="DS11" i="4"/>
  <c r="CZ11" i="4"/>
  <c r="CY11" i="4"/>
  <c r="CX11" i="4"/>
  <c r="CW11" i="4"/>
  <c r="CV11" i="4"/>
  <c r="BR11" i="4"/>
  <c r="BQ11" i="4"/>
  <c r="BJ11" i="4"/>
  <c r="BI11" i="4"/>
  <c r="BH11" i="4"/>
  <c r="BG11" i="4"/>
  <c r="BF11" i="4"/>
  <c r="AM11" i="4"/>
  <c r="AL11" i="4"/>
  <c r="AK11" i="4"/>
  <c r="AJ11" i="4"/>
  <c r="AI11" i="4"/>
  <c r="E11" i="4"/>
  <c r="D11" i="4"/>
  <c r="DW10" i="4"/>
  <c r="DV10" i="4"/>
  <c r="DU10" i="4"/>
  <c r="DT10" i="4"/>
  <c r="DS10" i="4"/>
  <c r="CZ10" i="4"/>
  <c r="CY10" i="4"/>
  <c r="CX10" i="4"/>
  <c r="CW10" i="4"/>
  <c r="CV10" i="4"/>
  <c r="BR10" i="4"/>
  <c r="BQ10" i="4"/>
  <c r="BJ10" i="4"/>
  <c r="BI10" i="4"/>
  <c r="BH10" i="4"/>
  <c r="BG10" i="4"/>
  <c r="BF10" i="4"/>
  <c r="AM10" i="4"/>
  <c r="AL10" i="4"/>
  <c r="AK10" i="4"/>
  <c r="AJ10" i="4"/>
  <c r="AI10" i="4"/>
  <c r="E10" i="4"/>
  <c r="D10" i="4"/>
  <c r="DW9" i="4"/>
  <c r="DV9" i="4"/>
  <c r="DU9" i="4"/>
  <c r="DT9" i="4"/>
  <c r="DS9" i="4"/>
  <c r="CZ9" i="4"/>
  <c r="CY9" i="4"/>
  <c r="CX9" i="4"/>
  <c r="CW9" i="4"/>
  <c r="CV9" i="4"/>
  <c r="BR9" i="4"/>
  <c r="BQ9" i="4"/>
  <c r="BJ9" i="4"/>
  <c r="BI9" i="4"/>
  <c r="BH9" i="4"/>
  <c r="BG9" i="4"/>
  <c r="BF9" i="4"/>
  <c r="AM9" i="4"/>
  <c r="AL9" i="4"/>
  <c r="AK9" i="4"/>
  <c r="AJ9" i="4"/>
  <c r="AI9" i="4"/>
  <c r="E9" i="4"/>
  <c r="D9" i="4"/>
  <c r="DW8" i="4"/>
  <c r="DV8" i="4"/>
  <c r="DU8" i="4"/>
  <c r="DT8" i="4"/>
  <c r="DS8" i="4"/>
  <c r="CZ8" i="4"/>
  <c r="CY8" i="4"/>
  <c r="CX8" i="4"/>
  <c r="CW8" i="4"/>
  <c r="CV8" i="4"/>
  <c r="BR8" i="4"/>
  <c r="BQ8" i="4"/>
  <c r="BJ8" i="4"/>
  <c r="BI8" i="4"/>
  <c r="BH8" i="4"/>
  <c r="BG8" i="4"/>
  <c r="BF8" i="4"/>
  <c r="AM8" i="4"/>
  <c r="AL8" i="4"/>
  <c r="AK8" i="4"/>
  <c r="AJ8" i="4"/>
  <c r="AI8" i="4"/>
  <c r="E8" i="4"/>
  <c r="D8" i="4"/>
  <c r="DW7" i="4"/>
  <c r="DV7" i="4"/>
  <c r="DU7" i="4"/>
  <c r="DT7" i="4"/>
  <c r="DS7" i="4"/>
  <c r="CZ7" i="4"/>
  <c r="CY7" i="4"/>
  <c r="CX7" i="4"/>
  <c r="CW7" i="4"/>
  <c r="CV7" i="4"/>
  <c r="BR7" i="4"/>
  <c r="BQ7" i="4"/>
  <c r="BJ7" i="4"/>
  <c r="BI7" i="4"/>
  <c r="BH7" i="4"/>
  <c r="BG7" i="4"/>
  <c r="BF7" i="4"/>
  <c r="AM7" i="4"/>
  <c r="AL7" i="4"/>
  <c r="AK7" i="4"/>
  <c r="AJ7" i="4"/>
  <c r="AI7" i="4"/>
  <c r="E7" i="4"/>
  <c r="D7" i="4"/>
  <c r="DW6" i="4"/>
  <c r="DV6" i="4"/>
  <c r="DU6" i="4"/>
  <c r="DT6" i="4"/>
  <c r="DS6" i="4"/>
  <c r="CZ6" i="4"/>
  <c r="CY6" i="4"/>
  <c r="CX6" i="4"/>
  <c r="CW6" i="4"/>
  <c r="CV6" i="4"/>
  <c r="BR6" i="4"/>
  <c r="BQ6" i="4"/>
  <c r="BJ6" i="4"/>
  <c r="BI6" i="4"/>
  <c r="BH6" i="4"/>
  <c r="BG6" i="4"/>
  <c r="BF6" i="4"/>
  <c r="AM6" i="4"/>
  <c r="AL6" i="4"/>
  <c r="AK6" i="4"/>
  <c r="AJ6" i="4"/>
  <c r="AI6" i="4"/>
  <c r="E6" i="4"/>
  <c r="D6" i="4"/>
  <c r="DW5" i="4"/>
  <c r="DV5" i="4"/>
  <c r="DU5" i="4"/>
  <c r="DT5" i="4"/>
  <c r="DS5" i="4"/>
  <c r="CZ5" i="4"/>
  <c r="CY5" i="4"/>
  <c r="CX5" i="4"/>
  <c r="CW5" i="4"/>
  <c r="CV5" i="4"/>
  <c r="BR5" i="4"/>
  <c r="BQ5" i="4"/>
  <c r="BJ5" i="4"/>
  <c r="BI5" i="4"/>
  <c r="BH5" i="4"/>
  <c r="BG5" i="4"/>
  <c r="BF5" i="4"/>
  <c r="AM5" i="4"/>
  <c r="AL5" i="4"/>
  <c r="AK5" i="4"/>
  <c r="AJ5" i="4"/>
  <c r="AI5" i="4"/>
  <c r="E5" i="4"/>
  <c r="D5" i="4"/>
  <c r="DW4" i="4"/>
  <c r="DV4" i="4"/>
  <c r="DU4" i="4"/>
  <c r="DT4" i="4"/>
  <c r="DS4" i="4"/>
  <c r="CZ4" i="4"/>
  <c r="CY4" i="4"/>
  <c r="CX4" i="4"/>
  <c r="CW4" i="4"/>
  <c r="CV4" i="4"/>
  <c r="BR4" i="4"/>
  <c r="BQ4" i="4"/>
  <c r="BJ4" i="4"/>
  <c r="BI4" i="4"/>
  <c r="BH4" i="4"/>
  <c r="BG4" i="4"/>
  <c r="BF4" i="4"/>
  <c r="AM4" i="4"/>
  <c r="AL4" i="4"/>
  <c r="AK4" i="4"/>
  <c r="AJ4" i="4"/>
  <c r="AI4" i="4"/>
  <c r="E4" i="4"/>
  <c r="D4" i="4"/>
  <c r="D11" i="48" l="1"/>
  <c r="E11" i="48" s="1"/>
  <c r="D38" i="48"/>
  <c r="E38" i="48" s="1"/>
  <c r="D46" i="48"/>
  <c r="E46" i="48" s="1"/>
  <c r="D10" i="48"/>
  <c r="E10" i="48" s="1"/>
  <c r="D43" i="48"/>
  <c r="E43" i="48" s="1"/>
  <c r="D33" i="48"/>
  <c r="E33" i="48" s="1"/>
  <c r="D18" i="48"/>
  <c r="E18" i="48" s="1"/>
  <c r="D35" i="48"/>
  <c r="E35" i="48" s="1"/>
  <c r="D44" i="48"/>
  <c r="E44" i="48" s="1"/>
  <c r="D23" i="48"/>
  <c r="E23" i="48" s="1"/>
  <c r="D36" i="48"/>
  <c r="E36" i="48" s="1"/>
  <c r="D37" i="48"/>
  <c r="E37" i="48" s="1"/>
  <c r="D39" i="48"/>
  <c r="E39" i="48" s="1"/>
  <c r="D22" i="48"/>
  <c r="E22" i="48" s="1"/>
  <c r="D40" i="48"/>
  <c r="E40" i="48" s="1"/>
  <c r="D42" i="48"/>
  <c r="E42" i="48" s="1"/>
  <c r="D8" i="48"/>
  <c r="E8" i="48" s="1"/>
  <c r="D16" i="48"/>
  <c r="E16" i="48" s="1"/>
  <c r="D19" i="48"/>
  <c r="E19" i="48" s="1"/>
  <c r="D20" i="48"/>
  <c r="E20" i="48" s="1"/>
  <c r="D9" i="48"/>
  <c r="E9" i="48" s="1"/>
  <c r="D15" i="48"/>
  <c r="E15" i="48" s="1"/>
  <c r="D24" i="48"/>
  <c r="E24" i="48" s="1"/>
  <c r="D25" i="48"/>
  <c r="E25" i="48" s="1"/>
  <c r="D13" i="48"/>
  <c r="E13" i="48" s="1"/>
  <c r="D17" i="48"/>
  <c r="E17" i="48" s="1"/>
  <c r="D21" i="48"/>
  <c r="E21" i="48" s="1"/>
  <c r="D26" i="48"/>
  <c r="E26" i="48" s="1"/>
  <c r="D34" i="48"/>
  <c r="E34" i="48" s="1"/>
  <c r="D41" i="48"/>
  <c r="E41" i="48" s="1"/>
  <c r="D45" i="48"/>
  <c r="E45" i="48" s="1"/>
  <c r="D12" i="48"/>
  <c r="E12" i="48" s="1"/>
  <c r="D14" i="48"/>
  <c r="E14" i="48" s="1"/>
  <c r="D9" i="19"/>
  <c r="D7" i="47"/>
  <c r="E7" i="47" s="1"/>
  <c r="D11" i="19"/>
  <c r="D9" i="47"/>
  <c r="E9" i="47" s="1"/>
  <c r="D12" i="19"/>
  <c r="D10" i="47"/>
  <c r="E10" i="47" s="1"/>
  <c r="D15" i="19"/>
  <c r="D13" i="47"/>
  <c r="E13" i="47" s="1"/>
  <c r="D17" i="19"/>
  <c r="D15" i="47"/>
  <c r="E15" i="47" s="1"/>
  <c r="D19" i="19"/>
  <c r="D17" i="47"/>
  <c r="E17" i="47" s="1"/>
  <c r="D22" i="19"/>
  <c r="D20" i="47"/>
  <c r="E20" i="47" s="1"/>
  <c r="D24" i="19"/>
  <c r="D22" i="47"/>
  <c r="E22" i="47" s="1"/>
  <c r="D32" i="19"/>
  <c r="E26" i="47"/>
  <c r="E32" i="19" s="1"/>
  <c r="D34" i="19"/>
  <c r="D28" i="47"/>
  <c r="E28" i="47" s="1"/>
  <c r="D29" i="47"/>
  <c r="E29" i="47" s="1"/>
  <c r="D35" i="19"/>
  <c r="D36" i="19"/>
  <c r="D30" i="47"/>
  <c r="E30" i="47" s="1"/>
  <c r="D31" i="47"/>
  <c r="E31" i="47" s="1"/>
  <c r="D37" i="19"/>
  <c r="D38" i="19"/>
  <c r="D32" i="47"/>
  <c r="E32" i="47" s="1"/>
  <c r="D33" i="47"/>
  <c r="E33" i="47" s="1"/>
  <c r="D39" i="19"/>
  <c r="D40" i="19"/>
  <c r="D34" i="47"/>
  <c r="E34" i="47" s="1"/>
  <c r="D35" i="47"/>
  <c r="E35" i="47" s="1"/>
  <c r="D41" i="19"/>
  <c r="D42" i="19"/>
  <c r="D36" i="47"/>
  <c r="E36" i="47" s="1"/>
  <c r="D37" i="47"/>
  <c r="E37" i="47" s="1"/>
  <c r="D43" i="19"/>
  <c r="D44" i="19"/>
  <c r="D38" i="47"/>
  <c r="E38" i="47" s="1"/>
  <c r="D39" i="47"/>
  <c r="E39" i="47" s="1"/>
  <c r="D45" i="19"/>
  <c r="D46" i="19"/>
  <c r="D40" i="47"/>
  <c r="E40" i="47" s="1"/>
  <c r="D48" i="19"/>
  <c r="D42" i="47"/>
  <c r="E42" i="47" s="1"/>
  <c r="D49" i="19"/>
  <c r="D43" i="47"/>
  <c r="E43" i="47" s="1"/>
  <c r="D51" i="19"/>
  <c r="D44" i="47"/>
  <c r="E44" i="47" s="1"/>
  <c r="D52" i="19"/>
  <c r="D45" i="47"/>
  <c r="E45" i="47" s="1"/>
  <c r="D54" i="19"/>
  <c r="D46" i="47"/>
  <c r="E46" i="47" s="1"/>
  <c r="D55" i="19"/>
  <c r="D47" i="47"/>
  <c r="E47" i="47" s="1"/>
  <c r="D6" i="47"/>
  <c r="E6" i="47" s="1"/>
  <c r="D8" i="19"/>
  <c r="D10" i="19"/>
  <c r="D8" i="47"/>
  <c r="E8" i="47" s="1"/>
  <c r="D13" i="19"/>
  <c r="D11" i="47"/>
  <c r="E11" i="47" s="1"/>
  <c r="D14" i="19"/>
  <c r="D12" i="47"/>
  <c r="E12" i="47" s="1"/>
  <c r="D16" i="19"/>
  <c r="D14" i="47"/>
  <c r="E14" i="47" s="1"/>
  <c r="D18" i="19"/>
  <c r="D16" i="47"/>
  <c r="E16" i="47" s="1"/>
  <c r="D20" i="19"/>
  <c r="D18" i="47"/>
  <c r="E18" i="47" s="1"/>
  <c r="D21" i="19"/>
  <c r="D19" i="47"/>
  <c r="E19" i="47" s="1"/>
  <c r="D23" i="19"/>
  <c r="D21" i="47"/>
  <c r="E21" i="47" s="1"/>
  <c r="D25" i="19"/>
  <c r="D23" i="47"/>
  <c r="E23" i="47" s="1"/>
  <c r="D26" i="19"/>
  <c r="D24" i="47"/>
  <c r="E24" i="47" s="1"/>
  <c r="D31" i="19"/>
  <c r="E25" i="47"/>
  <c r="E31" i="19" s="1"/>
  <c r="D27" i="47"/>
  <c r="E27" i="47" s="1"/>
  <c r="D33" i="19"/>
  <c r="V2" i="19"/>
  <c r="AP2" i="19" s="1"/>
  <c r="V2" i="20"/>
  <c r="W2" i="36"/>
  <c r="W2" i="37"/>
  <c r="S79" i="40"/>
  <c r="I79" i="40"/>
  <c r="S78" i="40"/>
  <c r="I78" i="40"/>
  <c r="S77" i="40"/>
  <c r="I77" i="40"/>
  <c r="S76" i="40"/>
  <c r="I76" i="40"/>
  <c r="S75" i="40"/>
  <c r="I75" i="40"/>
  <c r="S74" i="40"/>
  <c r="I74" i="40"/>
  <c r="S73" i="40"/>
  <c r="I73" i="40"/>
  <c r="S72" i="40"/>
  <c r="I72" i="40"/>
  <c r="S71" i="40"/>
  <c r="I71" i="40"/>
  <c r="S70" i="40"/>
  <c r="I70" i="40"/>
  <c r="S69" i="40"/>
  <c r="I69" i="40"/>
  <c r="M68" i="40"/>
  <c r="C68" i="40"/>
  <c r="S66" i="40"/>
  <c r="I66" i="40"/>
  <c r="S65" i="40"/>
  <c r="I65" i="40"/>
  <c r="S64" i="40"/>
  <c r="I64" i="40"/>
  <c r="S63" i="40"/>
  <c r="I63" i="40"/>
  <c r="S62" i="40"/>
  <c r="I62" i="40"/>
  <c r="S61" i="40"/>
  <c r="I61" i="40"/>
  <c r="S60" i="40"/>
  <c r="I60" i="40"/>
  <c r="S59" i="40"/>
  <c r="I59" i="40"/>
  <c r="S58" i="40"/>
  <c r="I58" i="40"/>
  <c r="S57" i="40"/>
  <c r="I57" i="40"/>
  <c r="S56" i="40"/>
  <c r="I56" i="40"/>
  <c r="M55" i="40"/>
  <c r="C55" i="40"/>
  <c r="S53" i="40"/>
  <c r="I53" i="40"/>
  <c r="S52" i="40"/>
  <c r="I52" i="40"/>
  <c r="S51" i="40"/>
  <c r="I51" i="40"/>
  <c r="S50" i="40"/>
  <c r="I50" i="40"/>
  <c r="S49" i="40"/>
  <c r="I49" i="40"/>
  <c r="S48" i="40"/>
  <c r="I48" i="40"/>
  <c r="S47" i="40"/>
  <c r="I47" i="40"/>
  <c r="S46" i="40"/>
  <c r="I46" i="40"/>
  <c r="S45" i="40"/>
  <c r="I45" i="40"/>
  <c r="S44" i="40"/>
  <c r="I44" i="40"/>
  <c r="S43" i="40"/>
  <c r="I43" i="40"/>
  <c r="M42" i="40"/>
  <c r="C42" i="40"/>
  <c r="I40" i="40"/>
  <c r="S39" i="40"/>
  <c r="I39" i="40"/>
  <c r="S38" i="40"/>
  <c r="I38" i="40"/>
  <c r="S37" i="40"/>
  <c r="I37" i="40"/>
  <c r="S36" i="40"/>
  <c r="I36" i="40"/>
  <c r="S35" i="40"/>
  <c r="I35" i="40"/>
  <c r="S34" i="40"/>
  <c r="I34" i="40"/>
  <c r="S33" i="40"/>
  <c r="I33" i="40"/>
  <c r="S32" i="40"/>
  <c r="I32" i="40"/>
  <c r="S31" i="40"/>
  <c r="I31" i="40"/>
  <c r="S30" i="40"/>
  <c r="I30" i="40"/>
  <c r="M29" i="40"/>
  <c r="C29" i="40"/>
  <c r="S27" i="40"/>
  <c r="S26" i="40"/>
  <c r="S25" i="40"/>
  <c r="S24" i="40"/>
  <c r="S23" i="40"/>
  <c r="S22" i="40"/>
  <c r="I20" i="40"/>
  <c r="S19" i="40"/>
  <c r="I19" i="40"/>
  <c r="S18" i="40"/>
  <c r="I18" i="40"/>
  <c r="S17" i="40"/>
  <c r="I17" i="40"/>
  <c r="M16" i="40"/>
  <c r="C16" i="40"/>
  <c r="S14" i="40"/>
  <c r="I14" i="40"/>
  <c r="S13" i="40"/>
  <c r="I13" i="40"/>
  <c r="S12" i="40"/>
  <c r="I12" i="40"/>
  <c r="S11" i="40"/>
  <c r="I11" i="40"/>
  <c r="S10" i="40"/>
  <c r="I10" i="40"/>
  <c r="S9" i="40"/>
  <c r="I9" i="40"/>
  <c r="S8" i="40"/>
  <c r="I8" i="40"/>
  <c r="S7" i="40"/>
  <c r="I7" i="40"/>
  <c r="S6" i="40"/>
  <c r="I6" i="40"/>
  <c r="S5" i="40"/>
  <c r="I5" i="40"/>
  <c r="S4" i="40"/>
  <c r="I4" i="40"/>
  <c r="M3" i="40"/>
  <c r="C3" i="40"/>
  <c r="S40" i="39" l="1"/>
  <c r="S39" i="39"/>
  <c r="S38" i="39"/>
  <c r="S37" i="39"/>
  <c r="S36" i="39"/>
  <c r="S35" i="39"/>
  <c r="S34" i="39"/>
  <c r="S33" i="39"/>
  <c r="S32" i="39"/>
  <c r="S31" i="39"/>
  <c r="S30" i="39"/>
  <c r="I40" i="39"/>
  <c r="I39" i="39"/>
  <c r="I38" i="39"/>
  <c r="I37" i="39"/>
  <c r="I36" i="39"/>
  <c r="I35" i="39"/>
  <c r="I34" i="39"/>
  <c r="I33" i="39"/>
  <c r="I32" i="39"/>
  <c r="I31" i="39"/>
  <c r="I30" i="39"/>
  <c r="C29" i="39"/>
  <c r="M29" i="39"/>
  <c r="I27" i="39"/>
  <c r="S26" i="39"/>
  <c r="S27" i="39"/>
  <c r="S23" i="39"/>
  <c r="S22" i="39"/>
  <c r="S21" i="39"/>
  <c r="S20" i="39"/>
  <c r="S19" i="39"/>
  <c r="S18" i="39"/>
  <c r="S17" i="39"/>
  <c r="I25" i="39"/>
  <c r="I24" i="39"/>
  <c r="I23" i="39"/>
  <c r="I22" i="39"/>
  <c r="I21" i="39"/>
  <c r="I20" i="39"/>
  <c r="I19" i="39"/>
  <c r="I18" i="39"/>
  <c r="I17" i="39"/>
  <c r="M16" i="39"/>
  <c r="C16" i="39"/>
  <c r="M3" i="39"/>
  <c r="C3" i="39"/>
  <c r="S4" i="39"/>
  <c r="S14" i="39"/>
  <c r="S13" i="39"/>
  <c r="S12" i="39"/>
  <c r="S11" i="39"/>
  <c r="S10" i="39"/>
  <c r="S9" i="39"/>
  <c r="S8" i="39"/>
  <c r="S7" i="39"/>
  <c r="S6" i="39"/>
  <c r="S5" i="39"/>
  <c r="I14" i="39" l="1"/>
  <c r="I13" i="39"/>
  <c r="I12" i="39"/>
  <c r="I11" i="39"/>
  <c r="I10" i="39"/>
  <c r="I9" i="39"/>
  <c r="I8" i="39"/>
  <c r="I7" i="39"/>
  <c r="I6" i="39"/>
  <c r="I5" i="39"/>
  <c r="I4" i="39"/>
  <c r="B7" i="35" l="1"/>
  <c r="C7" i="35"/>
  <c r="D7" i="35"/>
  <c r="E7" i="35"/>
  <c r="F7" i="35"/>
  <c r="G7" i="35"/>
  <c r="B8" i="35"/>
  <c r="C8" i="35"/>
  <c r="D8" i="35"/>
  <c r="E8" i="35"/>
  <c r="F8" i="35"/>
  <c r="G8" i="35"/>
  <c r="B9" i="35"/>
  <c r="C9" i="35"/>
  <c r="D9" i="35"/>
  <c r="E9" i="35"/>
  <c r="F9" i="35"/>
  <c r="G9" i="35"/>
  <c r="B10" i="35"/>
  <c r="C10" i="35"/>
  <c r="D10" i="35"/>
  <c r="E10" i="35"/>
  <c r="F10" i="35"/>
  <c r="G10" i="35"/>
  <c r="B11" i="35"/>
  <c r="C11" i="35"/>
  <c r="D11" i="35"/>
  <c r="E11" i="35"/>
  <c r="F11" i="35"/>
  <c r="G11" i="35"/>
  <c r="B12" i="35"/>
  <c r="C12" i="35"/>
  <c r="D12" i="35"/>
  <c r="E12" i="35"/>
  <c r="F12" i="35"/>
  <c r="G12" i="35"/>
  <c r="B13" i="35"/>
  <c r="C13" i="35"/>
  <c r="D13" i="35"/>
  <c r="E13" i="35"/>
  <c r="F13" i="35"/>
  <c r="G13" i="35"/>
  <c r="B14" i="35"/>
  <c r="C14" i="35"/>
  <c r="D14" i="35"/>
  <c r="E14" i="35"/>
  <c r="F14" i="35"/>
  <c r="G14" i="35"/>
  <c r="B15" i="35"/>
  <c r="C15" i="35"/>
  <c r="D15" i="35"/>
  <c r="E15" i="35"/>
  <c r="F15" i="35"/>
  <c r="G15" i="35"/>
  <c r="B16" i="35"/>
  <c r="C16" i="35"/>
  <c r="D16" i="35"/>
  <c r="E16" i="35"/>
  <c r="F16" i="35"/>
  <c r="G16" i="35"/>
  <c r="B17" i="35"/>
  <c r="C17" i="35"/>
  <c r="D17" i="35"/>
  <c r="E17" i="35"/>
  <c r="F17" i="35"/>
  <c r="G17" i="35"/>
  <c r="B18" i="35"/>
  <c r="C18" i="35"/>
  <c r="D18" i="35"/>
  <c r="E18" i="35"/>
  <c r="F18" i="35"/>
  <c r="G18" i="35"/>
  <c r="B19" i="35"/>
  <c r="C19" i="35"/>
  <c r="D19" i="35"/>
  <c r="E19" i="35"/>
  <c r="F19" i="35"/>
  <c r="G19" i="35"/>
  <c r="B20" i="35"/>
  <c r="C20" i="35"/>
  <c r="D20" i="35"/>
  <c r="E20" i="35"/>
  <c r="F20" i="35"/>
  <c r="G20" i="35"/>
  <c r="B21" i="35"/>
  <c r="C21" i="35"/>
  <c r="D21" i="35"/>
  <c r="E21" i="35"/>
  <c r="F21" i="35"/>
  <c r="G21" i="35"/>
  <c r="B22" i="35"/>
  <c r="C22" i="35"/>
  <c r="D22" i="35"/>
  <c r="E22" i="35"/>
  <c r="F22" i="35"/>
  <c r="G22" i="35"/>
  <c r="B23" i="35"/>
  <c r="C23" i="35"/>
  <c r="D23" i="35"/>
  <c r="E23" i="35"/>
  <c r="F23" i="35"/>
  <c r="G23" i="35"/>
  <c r="B24" i="35"/>
  <c r="C24" i="35"/>
  <c r="D24" i="35"/>
  <c r="E24" i="35"/>
  <c r="F24" i="35"/>
  <c r="G24" i="35"/>
  <c r="B25" i="35"/>
  <c r="C25" i="35"/>
  <c r="D25" i="35"/>
  <c r="E25" i="35"/>
  <c r="F25" i="35"/>
  <c r="G25" i="35"/>
  <c r="B26" i="35"/>
  <c r="C26" i="35"/>
  <c r="D26" i="35"/>
  <c r="E26" i="35"/>
  <c r="F26" i="35"/>
  <c r="G26" i="35"/>
  <c r="B27" i="35"/>
  <c r="C27" i="35"/>
  <c r="D27" i="35"/>
  <c r="E27" i="35"/>
  <c r="F27" i="35"/>
  <c r="G27" i="35"/>
  <c r="B28" i="35"/>
  <c r="D28" i="35"/>
  <c r="E28" i="35"/>
  <c r="F28" i="35"/>
  <c r="G28" i="35"/>
  <c r="B29" i="35"/>
  <c r="C29" i="35"/>
  <c r="D29" i="35"/>
  <c r="E29" i="35"/>
  <c r="F29" i="35"/>
  <c r="G29" i="35"/>
  <c r="B30" i="35"/>
  <c r="C30" i="35"/>
  <c r="D30" i="35"/>
  <c r="E30" i="35"/>
  <c r="F30" i="35"/>
  <c r="G30" i="35"/>
  <c r="B31" i="35"/>
  <c r="C31" i="35"/>
  <c r="D31" i="35"/>
  <c r="E31" i="35"/>
  <c r="F31" i="35"/>
  <c r="G31" i="35"/>
  <c r="B32" i="35"/>
  <c r="C32" i="35"/>
  <c r="D32" i="35"/>
  <c r="E32" i="35"/>
  <c r="F32" i="35"/>
  <c r="G32" i="35"/>
  <c r="B33" i="35"/>
  <c r="C33" i="35"/>
  <c r="D33" i="35"/>
  <c r="E33" i="35"/>
  <c r="F33" i="35"/>
  <c r="G33" i="35"/>
  <c r="B34" i="35"/>
  <c r="C34" i="35"/>
  <c r="D34" i="35"/>
  <c r="E34" i="35"/>
  <c r="F34" i="35"/>
  <c r="G34" i="35"/>
  <c r="B35" i="35"/>
  <c r="C35" i="35"/>
  <c r="D35" i="35"/>
  <c r="E35" i="35"/>
  <c r="F35" i="35"/>
  <c r="G35" i="35"/>
  <c r="B36" i="35"/>
  <c r="C36" i="35"/>
  <c r="D36" i="35"/>
  <c r="E36" i="35"/>
  <c r="F36" i="35"/>
  <c r="G36" i="35"/>
  <c r="B37" i="35"/>
  <c r="C37" i="35"/>
  <c r="D37" i="35"/>
  <c r="E37" i="35"/>
  <c r="F37" i="35"/>
  <c r="G37" i="35"/>
  <c r="B38" i="35"/>
  <c r="C38" i="35"/>
  <c r="D38" i="35"/>
  <c r="E38" i="35"/>
  <c r="F38" i="35"/>
  <c r="G38" i="35"/>
  <c r="B39" i="35"/>
  <c r="C39" i="35"/>
  <c r="D39" i="35"/>
  <c r="E39" i="35"/>
  <c r="F39" i="35"/>
  <c r="G39" i="35"/>
  <c r="B40" i="35"/>
  <c r="C40" i="35"/>
  <c r="D40" i="35"/>
  <c r="E40" i="35"/>
  <c r="F40" i="35"/>
  <c r="G40" i="35"/>
  <c r="B41" i="35"/>
  <c r="C41" i="35"/>
  <c r="D41" i="35"/>
  <c r="E41" i="35"/>
  <c r="F41" i="35"/>
  <c r="G41" i="35"/>
  <c r="B43" i="35"/>
  <c r="C43" i="35"/>
  <c r="D43" i="35"/>
  <c r="E43" i="35"/>
  <c r="F43" i="35"/>
  <c r="G43" i="35"/>
  <c r="B44" i="35"/>
  <c r="C44" i="35"/>
  <c r="D44" i="35"/>
  <c r="E44" i="35"/>
  <c r="F44" i="35"/>
  <c r="G44" i="35"/>
  <c r="B45" i="35"/>
  <c r="C45" i="35"/>
  <c r="D45" i="35"/>
  <c r="E45" i="35"/>
  <c r="F45" i="35"/>
  <c r="G45" i="35"/>
  <c r="B46" i="35"/>
  <c r="C46" i="35"/>
  <c r="D46" i="35"/>
  <c r="E46" i="35"/>
  <c r="F46" i="35"/>
  <c r="G46" i="35"/>
  <c r="B47" i="35"/>
  <c r="C47" i="35"/>
  <c r="D47" i="35"/>
  <c r="E47" i="35"/>
  <c r="F47" i="35"/>
  <c r="G47" i="35"/>
  <c r="B48" i="35"/>
  <c r="C48" i="35"/>
  <c r="D48" i="35"/>
  <c r="E48" i="35"/>
  <c r="F48" i="35"/>
  <c r="G48" i="35"/>
  <c r="B49" i="35"/>
  <c r="C49" i="35"/>
  <c r="D49" i="35"/>
  <c r="E49" i="35"/>
  <c r="F49" i="35"/>
  <c r="G49" i="35"/>
  <c r="B50" i="35"/>
  <c r="C50" i="35"/>
  <c r="D50" i="35"/>
  <c r="E50" i="35"/>
  <c r="F50" i="35"/>
  <c r="G50" i="35"/>
  <c r="B7" i="34"/>
  <c r="C7" i="34"/>
  <c r="D7" i="34"/>
  <c r="E7" i="34"/>
  <c r="F7" i="34"/>
  <c r="G7" i="34"/>
  <c r="B8" i="34"/>
  <c r="C8" i="34"/>
  <c r="D8" i="34"/>
  <c r="E8" i="34"/>
  <c r="F8" i="34"/>
  <c r="G8" i="34"/>
  <c r="B9" i="34"/>
  <c r="C9" i="34"/>
  <c r="D9" i="34"/>
  <c r="E9" i="34"/>
  <c r="F9" i="34"/>
  <c r="G9" i="34"/>
  <c r="B10" i="34"/>
  <c r="C10" i="34"/>
  <c r="D10" i="34"/>
  <c r="E10" i="34"/>
  <c r="F10" i="34"/>
  <c r="G10" i="34"/>
  <c r="B11" i="34"/>
  <c r="C11" i="34"/>
  <c r="D11" i="34"/>
  <c r="E11" i="34"/>
  <c r="F11" i="34"/>
  <c r="G11" i="34"/>
  <c r="B12" i="34"/>
  <c r="C12" i="34"/>
  <c r="D12" i="34"/>
  <c r="E12" i="34"/>
  <c r="F12" i="34"/>
  <c r="G12" i="34"/>
  <c r="B13" i="34"/>
  <c r="C13" i="34"/>
  <c r="D13" i="34"/>
  <c r="E13" i="34"/>
  <c r="F13" i="34"/>
  <c r="G13" i="34"/>
  <c r="B14" i="34"/>
  <c r="C14" i="34"/>
  <c r="D14" i="34"/>
  <c r="E14" i="34"/>
  <c r="F14" i="34"/>
  <c r="G14" i="34"/>
  <c r="B15" i="34"/>
  <c r="C15" i="34"/>
  <c r="D15" i="34"/>
  <c r="E15" i="34"/>
  <c r="F15" i="34"/>
  <c r="G15" i="34"/>
  <c r="B16" i="34"/>
  <c r="C16" i="34"/>
  <c r="D16" i="34"/>
  <c r="E16" i="34"/>
  <c r="F16" i="34"/>
  <c r="G16" i="34"/>
  <c r="B17" i="34"/>
  <c r="C17" i="34"/>
  <c r="D17" i="34"/>
  <c r="E17" i="34"/>
  <c r="F17" i="34"/>
  <c r="G17" i="34"/>
  <c r="B18" i="34"/>
  <c r="C18" i="34"/>
  <c r="D18" i="34"/>
  <c r="E18" i="34"/>
  <c r="F18" i="34"/>
  <c r="G18" i="34"/>
  <c r="B19" i="34"/>
  <c r="C19" i="34"/>
  <c r="D19" i="34"/>
  <c r="E19" i="34"/>
  <c r="F19" i="34"/>
  <c r="G19" i="34"/>
  <c r="B20" i="34"/>
  <c r="C20" i="34"/>
  <c r="D20" i="34"/>
  <c r="E20" i="34"/>
  <c r="F20" i="34"/>
  <c r="G20" i="34"/>
  <c r="B21" i="34"/>
  <c r="C21" i="34"/>
  <c r="D21" i="34"/>
  <c r="E21" i="34"/>
  <c r="F21" i="34"/>
  <c r="G21" i="34"/>
  <c r="B22" i="34"/>
  <c r="C22" i="34"/>
  <c r="D22" i="34"/>
  <c r="E22" i="34"/>
  <c r="F22" i="34"/>
  <c r="G22" i="34"/>
  <c r="B23" i="34"/>
  <c r="C23" i="34"/>
  <c r="D23" i="34"/>
  <c r="E23" i="34"/>
  <c r="F23" i="34"/>
  <c r="G23" i="34"/>
  <c r="B24" i="34"/>
  <c r="C24" i="34"/>
  <c r="D24" i="34"/>
  <c r="E24" i="34"/>
  <c r="F24" i="34"/>
  <c r="G24" i="34"/>
  <c r="B25" i="34"/>
  <c r="C25" i="34"/>
  <c r="D25" i="34"/>
  <c r="E25" i="34"/>
  <c r="F25" i="34"/>
  <c r="G25" i="34"/>
  <c r="B26" i="34"/>
  <c r="D26" i="34"/>
  <c r="E26" i="34"/>
  <c r="F26" i="34"/>
  <c r="G26" i="34"/>
  <c r="B27" i="34"/>
  <c r="C27" i="34"/>
  <c r="D27" i="34"/>
  <c r="E27" i="34"/>
  <c r="F27" i="34"/>
  <c r="G27" i="34"/>
  <c r="B28" i="34"/>
  <c r="C28" i="34"/>
  <c r="D28" i="34"/>
  <c r="E28" i="34"/>
  <c r="F28" i="34"/>
  <c r="G28" i="34"/>
  <c r="B29" i="34"/>
  <c r="C29" i="34"/>
  <c r="D29" i="34"/>
  <c r="E29" i="34"/>
  <c r="F29" i="34"/>
  <c r="G29" i="34"/>
  <c r="B30" i="34"/>
  <c r="C30" i="34"/>
  <c r="D30" i="34"/>
  <c r="E30" i="34"/>
  <c r="F30" i="34"/>
  <c r="G30" i="34"/>
  <c r="B31" i="34"/>
  <c r="C31" i="34"/>
  <c r="D31" i="34"/>
  <c r="E31" i="34"/>
  <c r="F31" i="34"/>
  <c r="G31" i="34"/>
  <c r="B32" i="34"/>
  <c r="C32" i="34"/>
  <c r="D32" i="34"/>
  <c r="E32" i="34"/>
  <c r="F32" i="34"/>
  <c r="G32" i="34"/>
  <c r="B33" i="34"/>
  <c r="C33" i="34"/>
  <c r="D33" i="34"/>
  <c r="E33" i="34"/>
  <c r="F33" i="34"/>
  <c r="G33" i="34"/>
  <c r="B34" i="34"/>
  <c r="C34" i="34"/>
  <c r="D34" i="34"/>
  <c r="E34" i="34"/>
  <c r="F34" i="34"/>
  <c r="G34" i="34"/>
  <c r="B35" i="34"/>
  <c r="C35" i="34"/>
  <c r="D35" i="34"/>
  <c r="E35" i="34"/>
  <c r="F35" i="34"/>
  <c r="G35" i="34"/>
  <c r="B36" i="34"/>
  <c r="C36" i="34"/>
  <c r="D36" i="34"/>
  <c r="E36" i="34"/>
  <c r="F36" i="34"/>
  <c r="G36" i="34"/>
  <c r="B37" i="34"/>
  <c r="C37" i="34"/>
  <c r="D37" i="34"/>
  <c r="E37" i="34"/>
  <c r="F37" i="34"/>
  <c r="G37" i="34"/>
  <c r="B38" i="34"/>
  <c r="C38" i="34"/>
  <c r="D38" i="34"/>
  <c r="E38" i="34"/>
  <c r="F38" i="34"/>
  <c r="G38" i="34"/>
  <c r="B39" i="34"/>
  <c r="C39" i="34"/>
  <c r="D39" i="34"/>
  <c r="E39" i="34"/>
  <c r="F39" i="34"/>
  <c r="G39" i="34"/>
  <c r="B41" i="34"/>
  <c r="C41" i="34"/>
  <c r="D41" i="34"/>
  <c r="E41" i="34"/>
  <c r="F41" i="34"/>
  <c r="G41" i="34"/>
  <c r="B42" i="34"/>
  <c r="C42" i="34"/>
  <c r="D42" i="34"/>
  <c r="E42" i="34"/>
  <c r="F42" i="34"/>
  <c r="G42" i="34"/>
  <c r="B43" i="34"/>
  <c r="C43" i="34"/>
  <c r="D43" i="34"/>
  <c r="E43" i="34"/>
  <c r="F43" i="34"/>
  <c r="G43" i="34"/>
  <c r="B44" i="34"/>
  <c r="C44" i="34"/>
  <c r="D44" i="34"/>
  <c r="E44" i="34"/>
  <c r="F44" i="34"/>
  <c r="G44" i="34"/>
  <c r="B45" i="34"/>
  <c r="C45" i="34"/>
  <c r="D45" i="34"/>
  <c r="E45" i="34"/>
  <c r="F45" i="34"/>
  <c r="G45" i="34"/>
  <c r="B46" i="34"/>
  <c r="C46" i="34"/>
  <c r="D46" i="34"/>
  <c r="E46" i="34"/>
  <c r="F46" i="34"/>
  <c r="G46" i="34"/>
  <c r="U51" i="14"/>
  <c r="T51" i="14"/>
  <c r="S51" i="14"/>
  <c r="R51" i="14"/>
  <c r="Q51" i="14"/>
  <c r="P51" i="14"/>
  <c r="O51" i="14"/>
  <c r="N51" i="14"/>
  <c r="M51" i="14"/>
  <c r="L51" i="14"/>
  <c r="K51" i="14"/>
  <c r="J51" i="14"/>
  <c r="I51" i="14"/>
  <c r="H51" i="14"/>
  <c r="G51" i="14"/>
  <c r="F51" i="14"/>
  <c r="E51" i="14"/>
  <c r="D51" i="14"/>
  <c r="C51" i="14"/>
  <c r="B51" i="14"/>
  <c r="U50" i="14"/>
  <c r="T50" i="14"/>
  <c r="S50" i="14"/>
  <c r="R50" i="14"/>
  <c r="Q50" i="14"/>
  <c r="P50" i="14"/>
  <c r="O50" i="14"/>
  <c r="N50" i="14"/>
  <c r="M50" i="14"/>
  <c r="L50" i="14"/>
  <c r="K50" i="14"/>
  <c r="J50" i="14"/>
  <c r="I50" i="14"/>
  <c r="H50" i="14"/>
  <c r="G50" i="14"/>
  <c r="F50" i="14"/>
  <c r="E50" i="14"/>
  <c r="D50" i="14"/>
  <c r="C50" i="14"/>
  <c r="B50" i="14"/>
  <c r="U49" i="14"/>
  <c r="T49" i="14"/>
  <c r="S49" i="14"/>
  <c r="R49" i="14"/>
  <c r="Q49" i="14"/>
  <c r="P49" i="14"/>
  <c r="O49" i="14"/>
  <c r="N49" i="14"/>
  <c r="M49" i="14"/>
  <c r="L49" i="14"/>
  <c r="K49" i="14"/>
  <c r="J49" i="14"/>
  <c r="I49" i="14"/>
  <c r="H49" i="14"/>
  <c r="G49" i="14"/>
  <c r="F49" i="14"/>
  <c r="E49" i="14"/>
  <c r="D49" i="14"/>
  <c r="C49" i="14"/>
  <c r="B49" i="14"/>
  <c r="U48" i="14"/>
  <c r="T48" i="14"/>
  <c r="S48" i="14"/>
  <c r="R48" i="14"/>
  <c r="Q48" i="14"/>
  <c r="P48" i="14"/>
  <c r="O48" i="14"/>
  <c r="N48" i="14"/>
  <c r="M48" i="14"/>
  <c r="L48" i="14"/>
  <c r="K48" i="14"/>
  <c r="J48" i="14"/>
  <c r="I48" i="14"/>
  <c r="H48" i="14"/>
  <c r="G48" i="14"/>
  <c r="F48" i="14"/>
  <c r="E48" i="14"/>
  <c r="D48" i="14"/>
  <c r="C48" i="14"/>
  <c r="B48" i="14"/>
  <c r="U47" i="14"/>
  <c r="T47" i="14"/>
  <c r="S47" i="14"/>
  <c r="R47" i="14"/>
  <c r="Q47" i="14"/>
  <c r="P47" i="14"/>
  <c r="O47" i="14"/>
  <c r="N47" i="14"/>
  <c r="M47" i="14"/>
  <c r="L47" i="14"/>
  <c r="K47" i="14"/>
  <c r="J47" i="14"/>
  <c r="I47" i="14"/>
  <c r="H47" i="14"/>
  <c r="G47" i="14"/>
  <c r="F47" i="14"/>
  <c r="E47" i="14"/>
  <c r="D47" i="14"/>
  <c r="C47" i="14"/>
  <c r="B47" i="14"/>
  <c r="U46" i="14"/>
  <c r="T46" i="14"/>
  <c r="S46" i="14"/>
  <c r="R46" i="14"/>
  <c r="Q46" i="14"/>
  <c r="P46" i="14"/>
  <c r="O46" i="14"/>
  <c r="N46" i="14"/>
  <c r="M46" i="14"/>
  <c r="L46" i="14"/>
  <c r="K46" i="14"/>
  <c r="J46" i="14"/>
  <c r="I46" i="14"/>
  <c r="H46" i="14"/>
  <c r="G46" i="14"/>
  <c r="F46" i="14"/>
  <c r="E46" i="14"/>
  <c r="D46" i="14"/>
  <c r="C46" i="14"/>
  <c r="B46" i="14"/>
  <c r="U45" i="14"/>
  <c r="T45" i="14"/>
  <c r="S45" i="14"/>
  <c r="R45" i="14"/>
  <c r="Q45" i="14"/>
  <c r="P45" i="14"/>
  <c r="O45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B45" i="14"/>
  <c r="U44" i="14"/>
  <c r="T44" i="14"/>
  <c r="S44" i="14"/>
  <c r="R44" i="14"/>
  <c r="Q44" i="14"/>
  <c r="P44" i="14"/>
  <c r="O44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B44" i="14"/>
  <c r="U42" i="14"/>
  <c r="T42" i="14"/>
  <c r="S42" i="14"/>
  <c r="R42" i="14"/>
  <c r="Q42" i="14"/>
  <c r="P42" i="14"/>
  <c r="O42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B42" i="14"/>
  <c r="U41" i="14"/>
  <c r="T41" i="14"/>
  <c r="S41" i="14"/>
  <c r="R41" i="14"/>
  <c r="Q41" i="14"/>
  <c r="P41" i="14"/>
  <c r="O41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B41" i="14"/>
  <c r="U40" i="14"/>
  <c r="T40" i="14"/>
  <c r="S40" i="14"/>
  <c r="R40" i="14"/>
  <c r="Q40" i="14"/>
  <c r="P40" i="14"/>
  <c r="O40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B40" i="14"/>
  <c r="U39" i="14"/>
  <c r="T39" i="14"/>
  <c r="S39" i="14"/>
  <c r="R39" i="14"/>
  <c r="Q39" i="14"/>
  <c r="P39" i="14"/>
  <c r="O39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B39" i="14"/>
  <c r="U38" i="14"/>
  <c r="T38" i="14"/>
  <c r="S38" i="14"/>
  <c r="R38" i="14"/>
  <c r="Q38" i="14"/>
  <c r="P38" i="14"/>
  <c r="O38" i="14"/>
  <c r="N38" i="14"/>
  <c r="M38" i="14"/>
  <c r="L38" i="14"/>
  <c r="K38" i="14"/>
  <c r="J38" i="14"/>
  <c r="I38" i="14"/>
  <c r="H38" i="14"/>
  <c r="G38" i="14"/>
  <c r="F38" i="14"/>
  <c r="E38" i="14"/>
  <c r="D38" i="14"/>
  <c r="C38" i="14"/>
  <c r="B38" i="14"/>
  <c r="U37" i="14"/>
  <c r="T37" i="14"/>
  <c r="S37" i="14"/>
  <c r="R37" i="14"/>
  <c r="Q37" i="14"/>
  <c r="P37" i="14"/>
  <c r="O37" i="14"/>
  <c r="N37" i="14"/>
  <c r="M37" i="14"/>
  <c r="L37" i="14"/>
  <c r="K37" i="14"/>
  <c r="J37" i="14"/>
  <c r="I37" i="14"/>
  <c r="H37" i="14"/>
  <c r="G37" i="14"/>
  <c r="F37" i="14"/>
  <c r="E37" i="14"/>
  <c r="D37" i="14"/>
  <c r="C37" i="14"/>
  <c r="B37" i="14"/>
  <c r="U36" i="14"/>
  <c r="T36" i="14"/>
  <c r="S36" i="14"/>
  <c r="R36" i="14"/>
  <c r="Q36" i="14"/>
  <c r="P36" i="14"/>
  <c r="O36" i="14"/>
  <c r="N36" i="14"/>
  <c r="M36" i="14"/>
  <c r="L36" i="14"/>
  <c r="K36" i="14"/>
  <c r="J36" i="14"/>
  <c r="I36" i="14"/>
  <c r="H36" i="14"/>
  <c r="G36" i="14"/>
  <c r="F36" i="14"/>
  <c r="E36" i="14"/>
  <c r="D36" i="14"/>
  <c r="C36" i="14"/>
  <c r="B36" i="14"/>
  <c r="U35" i="14"/>
  <c r="T35" i="14"/>
  <c r="S35" i="14"/>
  <c r="R35" i="14"/>
  <c r="Q35" i="14"/>
  <c r="P35" i="14"/>
  <c r="O35" i="14"/>
  <c r="N35" i="14"/>
  <c r="M35" i="14"/>
  <c r="L35" i="14"/>
  <c r="K35" i="14"/>
  <c r="J35" i="14"/>
  <c r="I35" i="14"/>
  <c r="H35" i="14"/>
  <c r="G35" i="14"/>
  <c r="F35" i="14"/>
  <c r="E35" i="14"/>
  <c r="D35" i="14"/>
  <c r="C35" i="14"/>
  <c r="B35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I34" i="14"/>
  <c r="H34" i="14"/>
  <c r="G34" i="14"/>
  <c r="F34" i="14"/>
  <c r="E34" i="14"/>
  <c r="D34" i="14"/>
  <c r="C34" i="14"/>
  <c r="B34" i="14"/>
  <c r="U33" i="14"/>
  <c r="T33" i="14"/>
  <c r="S33" i="14"/>
  <c r="R33" i="14"/>
  <c r="Q33" i="14"/>
  <c r="P33" i="14"/>
  <c r="O33" i="14"/>
  <c r="N33" i="14"/>
  <c r="M33" i="14"/>
  <c r="L33" i="14"/>
  <c r="K33" i="14"/>
  <c r="J33" i="14"/>
  <c r="I33" i="14"/>
  <c r="H33" i="14"/>
  <c r="G33" i="14"/>
  <c r="F33" i="14"/>
  <c r="E33" i="14"/>
  <c r="D33" i="14"/>
  <c r="C33" i="14"/>
  <c r="B33" i="14"/>
  <c r="U32" i="14"/>
  <c r="T32" i="14"/>
  <c r="S32" i="14"/>
  <c r="R32" i="14"/>
  <c r="Q32" i="14"/>
  <c r="P32" i="14"/>
  <c r="O32" i="14"/>
  <c r="N32" i="14"/>
  <c r="M32" i="14"/>
  <c r="L32" i="14"/>
  <c r="K32" i="14"/>
  <c r="J32" i="14"/>
  <c r="I32" i="14"/>
  <c r="H32" i="14"/>
  <c r="G32" i="14"/>
  <c r="F32" i="14"/>
  <c r="E32" i="14"/>
  <c r="D32" i="14"/>
  <c r="C32" i="14"/>
  <c r="B32" i="14"/>
  <c r="U31" i="14"/>
  <c r="T31" i="14"/>
  <c r="S31" i="14"/>
  <c r="R31" i="14"/>
  <c r="Q31" i="14"/>
  <c r="P31" i="14"/>
  <c r="O31" i="14"/>
  <c r="N31" i="14"/>
  <c r="M31" i="14"/>
  <c r="L31" i="14"/>
  <c r="K31" i="14"/>
  <c r="J31" i="14"/>
  <c r="I31" i="14"/>
  <c r="H31" i="14"/>
  <c r="G31" i="14"/>
  <c r="F31" i="14"/>
  <c r="E31" i="14"/>
  <c r="D31" i="14"/>
  <c r="C31" i="14"/>
  <c r="B31" i="14"/>
  <c r="U30" i="14"/>
  <c r="T30" i="14"/>
  <c r="S30" i="14"/>
  <c r="R30" i="14"/>
  <c r="Q30" i="14"/>
  <c r="P30" i="14"/>
  <c r="O30" i="14"/>
  <c r="N30" i="14"/>
  <c r="M30" i="14"/>
  <c r="L30" i="14"/>
  <c r="K30" i="14"/>
  <c r="J30" i="14"/>
  <c r="I30" i="14"/>
  <c r="H30" i="14"/>
  <c r="G30" i="14"/>
  <c r="F30" i="14"/>
  <c r="E30" i="14"/>
  <c r="D30" i="14"/>
  <c r="C30" i="14"/>
  <c r="B30" i="14"/>
  <c r="U29" i="14"/>
  <c r="T29" i="14"/>
  <c r="S29" i="14"/>
  <c r="R29" i="14"/>
  <c r="Q29" i="14"/>
  <c r="P29" i="14"/>
  <c r="O29" i="14"/>
  <c r="N29" i="14"/>
  <c r="M29" i="14"/>
  <c r="L29" i="14"/>
  <c r="K29" i="14"/>
  <c r="J29" i="14"/>
  <c r="I29" i="14"/>
  <c r="H29" i="14"/>
  <c r="G29" i="14"/>
  <c r="F29" i="14"/>
  <c r="E29" i="14"/>
  <c r="D29" i="14"/>
  <c r="B29" i="14"/>
  <c r="U28" i="14"/>
  <c r="T28" i="14"/>
  <c r="S28" i="14"/>
  <c r="R28" i="14"/>
  <c r="Q28" i="14"/>
  <c r="P28" i="14"/>
  <c r="O28" i="14"/>
  <c r="N28" i="14"/>
  <c r="M28" i="14"/>
  <c r="L28" i="14"/>
  <c r="K28" i="14"/>
  <c r="J28" i="14"/>
  <c r="I28" i="14"/>
  <c r="H28" i="14"/>
  <c r="G28" i="14"/>
  <c r="F28" i="14"/>
  <c r="E28" i="14"/>
  <c r="D28" i="14"/>
  <c r="C28" i="14"/>
  <c r="B28" i="14"/>
  <c r="U27" i="14"/>
  <c r="T27" i="14"/>
  <c r="S27" i="14"/>
  <c r="R27" i="14"/>
  <c r="Q27" i="14"/>
  <c r="P27" i="14"/>
  <c r="O27" i="14"/>
  <c r="N27" i="14"/>
  <c r="M27" i="14"/>
  <c r="L27" i="14"/>
  <c r="K27" i="14"/>
  <c r="J27" i="14"/>
  <c r="I27" i="14"/>
  <c r="H27" i="14"/>
  <c r="G27" i="14"/>
  <c r="F27" i="14"/>
  <c r="E27" i="14"/>
  <c r="D27" i="14"/>
  <c r="C27" i="14"/>
  <c r="B27" i="14"/>
  <c r="U26" i="14"/>
  <c r="T26" i="14"/>
  <c r="S26" i="14"/>
  <c r="R26" i="14"/>
  <c r="Q26" i="14"/>
  <c r="P26" i="14"/>
  <c r="O26" i="14"/>
  <c r="N26" i="14"/>
  <c r="M26" i="14"/>
  <c r="L26" i="14"/>
  <c r="K26" i="14"/>
  <c r="J26" i="14"/>
  <c r="I26" i="14"/>
  <c r="H26" i="14"/>
  <c r="G26" i="14"/>
  <c r="F26" i="14"/>
  <c r="E26" i="14"/>
  <c r="D26" i="14"/>
  <c r="C26" i="14"/>
  <c r="B26" i="14"/>
  <c r="U25" i="14"/>
  <c r="T25" i="14"/>
  <c r="S25" i="14"/>
  <c r="R25" i="14"/>
  <c r="Q25" i="14"/>
  <c r="P25" i="14"/>
  <c r="O25" i="14"/>
  <c r="N25" i="14"/>
  <c r="M25" i="14"/>
  <c r="L25" i="14"/>
  <c r="K25" i="14"/>
  <c r="J25" i="14"/>
  <c r="I25" i="14"/>
  <c r="H25" i="14"/>
  <c r="G25" i="14"/>
  <c r="F25" i="14"/>
  <c r="E25" i="14"/>
  <c r="D25" i="14"/>
  <c r="C25" i="14"/>
  <c r="B25" i="14"/>
  <c r="U24" i="14"/>
  <c r="T24" i="14"/>
  <c r="S24" i="14"/>
  <c r="R24" i="14"/>
  <c r="Q24" i="14"/>
  <c r="P24" i="14"/>
  <c r="O24" i="14"/>
  <c r="N24" i="14"/>
  <c r="M24" i="14"/>
  <c r="L24" i="14"/>
  <c r="K24" i="14"/>
  <c r="J24" i="14"/>
  <c r="I24" i="14"/>
  <c r="H24" i="14"/>
  <c r="G24" i="14"/>
  <c r="F24" i="14"/>
  <c r="E24" i="14"/>
  <c r="D24" i="14"/>
  <c r="C24" i="14"/>
  <c r="B24" i="14"/>
  <c r="U23" i="14"/>
  <c r="T23" i="14"/>
  <c r="S23" i="14"/>
  <c r="R23" i="14"/>
  <c r="Q23" i="14"/>
  <c r="P23" i="14"/>
  <c r="O23" i="14"/>
  <c r="N23" i="14"/>
  <c r="M23" i="14"/>
  <c r="L23" i="14"/>
  <c r="K23" i="14"/>
  <c r="J23" i="14"/>
  <c r="I23" i="14"/>
  <c r="H23" i="14"/>
  <c r="G23" i="14"/>
  <c r="F23" i="14"/>
  <c r="E23" i="14"/>
  <c r="D23" i="14"/>
  <c r="C23" i="14"/>
  <c r="B23" i="14"/>
  <c r="U22" i="14"/>
  <c r="T22" i="14"/>
  <c r="S22" i="14"/>
  <c r="R22" i="14"/>
  <c r="Q22" i="14"/>
  <c r="P22" i="14"/>
  <c r="O22" i="14"/>
  <c r="N22" i="14"/>
  <c r="M22" i="14"/>
  <c r="L22" i="14"/>
  <c r="K22" i="14"/>
  <c r="J22" i="14"/>
  <c r="I22" i="14"/>
  <c r="H22" i="14"/>
  <c r="G22" i="14"/>
  <c r="F22" i="14"/>
  <c r="E22" i="14"/>
  <c r="D22" i="14"/>
  <c r="C22" i="14"/>
  <c r="B22" i="14"/>
  <c r="U21" i="14"/>
  <c r="T21" i="14"/>
  <c r="S21" i="14"/>
  <c r="R21" i="14"/>
  <c r="Q21" i="14"/>
  <c r="P21" i="14"/>
  <c r="O21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B21" i="14"/>
  <c r="U20" i="14"/>
  <c r="T20" i="14"/>
  <c r="S20" i="14"/>
  <c r="R20" i="14"/>
  <c r="Q20" i="14"/>
  <c r="P20" i="14"/>
  <c r="O20" i="14"/>
  <c r="N20" i="14"/>
  <c r="M20" i="14"/>
  <c r="L20" i="14"/>
  <c r="K20" i="14"/>
  <c r="J20" i="14"/>
  <c r="I20" i="14"/>
  <c r="H20" i="14"/>
  <c r="G20" i="14"/>
  <c r="F20" i="14"/>
  <c r="E20" i="14"/>
  <c r="D20" i="14"/>
  <c r="C20" i="14"/>
  <c r="B20" i="14"/>
  <c r="U19" i="14"/>
  <c r="T19" i="14"/>
  <c r="S19" i="14"/>
  <c r="R19" i="14"/>
  <c r="Q19" i="14"/>
  <c r="P19" i="14"/>
  <c r="O19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B19" i="14"/>
  <c r="U18" i="14"/>
  <c r="T18" i="14"/>
  <c r="S18" i="14"/>
  <c r="R18" i="14"/>
  <c r="Q18" i="14"/>
  <c r="P18" i="14"/>
  <c r="O18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B18" i="14"/>
  <c r="U17" i="14"/>
  <c r="T17" i="14"/>
  <c r="S17" i="14"/>
  <c r="R17" i="14"/>
  <c r="Q17" i="14"/>
  <c r="P17" i="14"/>
  <c r="O17" i="14"/>
  <c r="N17" i="14"/>
  <c r="M17" i="14"/>
  <c r="L17" i="14"/>
  <c r="K17" i="14"/>
  <c r="J17" i="14"/>
  <c r="I17" i="14"/>
  <c r="H17" i="14"/>
  <c r="G17" i="14"/>
  <c r="F17" i="14"/>
  <c r="E17" i="14"/>
  <c r="D17" i="14"/>
  <c r="C17" i="14"/>
  <c r="B17" i="14"/>
  <c r="U16" i="14"/>
  <c r="T16" i="14"/>
  <c r="S16" i="14"/>
  <c r="R16" i="14"/>
  <c r="Q16" i="14"/>
  <c r="P16" i="14"/>
  <c r="O16" i="14"/>
  <c r="N16" i="14"/>
  <c r="M16" i="14"/>
  <c r="L16" i="14"/>
  <c r="K16" i="14"/>
  <c r="J16" i="14"/>
  <c r="I16" i="14"/>
  <c r="H16" i="14"/>
  <c r="G16" i="14"/>
  <c r="F16" i="14"/>
  <c r="E16" i="14"/>
  <c r="D16" i="14"/>
  <c r="C16" i="14"/>
  <c r="B16" i="14"/>
  <c r="U15" i="14"/>
  <c r="T15" i="14"/>
  <c r="S15" i="14"/>
  <c r="R15" i="14"/>
  <c r="Q15" i="14"/>
  <c r="P15" i="14"/>
  <c r="O15" i="14"/>
  <c r="N15" i="14"/>
  <c r="M15" i="14"/>
  <c r="L15" i="14"/>
  <c r="K15" i="14"/>
  <c r="J15" i="14"/>
  <c r="I15" i="14"/>
  <c r="H15" i="14"/>
  <c r="G15" i="14"/>
  <c r="F15" i="14"/>
  <c r="E15" i="14"/>
  <c r="D15" i="14"/>
  <c r="C15" i="14"/>
  <c r="B15" i="14"/>
  <c r="U14" i="14"/>
  <c r="T14" i="14"/>
  <c r="S14" i="14"/>
  <c r="R14" i="14"/>
  <c r="Q14" i="14"/>
  <c r="P14" i="14"/>
  <c r="O14" i="14"/>
  <c r="N14" i="14"/>
  <c r="M14" i="14"/>
  <c r="L14" i="14"/>
  <c r="K14" i="14"/>
  <c r="J14" i="14"/>
  <c r="I14" i="14"/>
  <c r="H14" i="14"/>
  <c r="G14" i="14"/>
  <c r="F14" i="14"/>
  <c r="E14" i="14"/>
  <c r="D14" i="14"/>
  <c r="C14" i="14"/>
  <c r="B14" i="14"/>
  <c r="U13" i="14"/>
  <c r="T13" i="14"/>
  <c r="S13" i="14"/>
  <c r="R13" i="14"/>
  <c r="Q13" i="14"/>
  <c r="P13" i="14"/>
  <c r="O13" i="14"/>
  <c r="N13" i="14"/>
  <c r="M13" i="14"/>
  <c r="L13" i="14"/>
  <c r="K13" i="14"/>
  <c r="J13" i="14"/>
  <c r="I13" i="14"/>
  <c r="H13" i="14"/>
  <c r="G13" i="14"/>
  <c r="F13" i="14"/>
  <c r="E13" i="14"/>
  <c r="D13" i="14"/>
  <c r="C13" i="14"/>
  <c r="B13" i="14"/>
  <c r="U12" i="14"/>
  <c r="T12" i="14"/>
  <c r="S12" i="14"/>
  <c r="R12" i="14"/>
  <c r="Q12" i="14"/>
  <c r="P12" i="14"/>
  <c r="O12" i="14"/>
  <c r="N12" i="14"/>
  <c r="M12" i="14"/>
  <c r="L12" i="14"/>
  <c r="K12" i="14"/>
  <c r="J12" i="14"/>
  <c r="I12" i="14"/>
  <c r="H12" i="14"/>
  <c r="G12" i="14"/>
  <c r="F12" i="14"/>
  <c r="E12" i="14"/>
  <c r="D12" i="14"/>
  <c r="C12" i="14"/>
  <c r="B12" i="14"/>
  <c r="U11" i="14"/>
  <c r="T11" i="14"/>
  <c r="S11" i="14"/>
  <c r="R11" i="14"/>
  <c r="Q11" i="14"/>
  <c r="P11" i="14"/>
  <c r="O11" i="14"/>
  <c r="N11" i="14"/>
  <c r="M11" i="14"/>
  <c r="L11" i="14"/>
  <c r="K11" i="14"/>
  <c r="J11" i="14"/>
  <c r="I11" i="14"/>
  <c r="H11" i="14"/>
  <c r="G11" i="14"/>
  <c r="F11" i="14"/>
  <c r="E11" i="14"/>
  <c r="D11" i="14"/>
  <c r="C11" i="14"/>
  <c r="B11" i="14"/>
  <c r="U10" i="14"/>
  <c r="T10" i="14"/>
  <c r="S10" i="14"/>
  <c r="R10" i="14"/>
  <c r="Q10" i="14"/>
  <c r="P10" i="14"/>
  <c r="O10" i="14"/>
  <c r="N10" i="14"/>
  <c r="M10" i="14"/>
  <c r="L10" i="14"/>
  <c r="K10" i="14"/>
  <c r="J10" i="14"/>
  <c r="I10" i="14"/>
  <c r="H10" i="14"/>
  <c r="G10" i="14"/>
  <c r="F10" i="14"/>
  <c r="E10" i="14"/>
  <c r="D10" i="14"/>
  <c r="C10" i="14"/>
  <c r="B10" i="14"/>
  <c r="U9" i="14"/>
  <c r="T9" i="14"/>
  <c r="S9" i="14"/>
  <c r="R9" i="14"/>
  <c r="Q9" i="14"/>
  <c r="P9" i="14"/>
  <c r="O9" i="14"/>
  <c r="N9" i="14"/>
  <c r="M9" i="14"/>
  <c r="L9" i="14"/>
  <c r="K9" i="14"/>
  <c r="J9" i="14"/>
  <c r="I9" i="14"/>
  <c r="H9" i="14"/>
  <c r="G9" i="14"/>
  <c r="F9" i="14"/>
  <c r="E9" i="14"/>
  <c r="D9" i="14"/>
  <c r="C9" i="14"/>
  <c r="B9" i="14"/>
  <c r="U8" i="14"/>
  <c r="T8" i="14"/>
  <c r="S8" i="14"/>
  <c r="R8" i="14"/>
  <c r="Q8" i="14"/>
  <c r="P8" i="14"/>
  <c r="O8" i="14"/>
  <c r="N8" i="14"/>
  <c r="M8" i="14"/>
  <c r="L8" i="14"/>
  <c r="K8" i="14"/>
  <c r="J8" i="14"/>
  <c r="I8" i="14"/>
  <c r="H8" i="14"/>
  <c r="G8" i="14"/>
  <c r="F8" i="14"/>
  <c r="E8" i="14"/>
  <c r="D8" i="14"/>
  <c r="C8" i="14"/>
  <c r="B8" i="14"/>
  <c r="B6" i="14"/>
  <c r="C6" i="14"/>
  <c r="D6" i="14"/>
  <c r="E6" i="14"/>
  <c r="F6" i="14"/>
  <c r="G6" i="14"/>
  <c r="H6" i="14"/>
  <c r="I6" i="14"/>
  <c r="J6" i="14"/>
  <c r="K6" i="14"/>
  <c r="L6" i="14"/>
  <c r="M6" i="14"/>
  <c r="N6" i="14"/>
  <c r="O6" i="14"/>
  <c r="P6" i="14"/>
  <c r="Q6" i="14"/>
  <c r="R6" i="14"/>
  <c r="S6" i="14"/>
  <c r="T6" i="14"/>
  <c r="U6" i="14"/>
  <c r="B7" i="14"/>
  <c r="C7" i="14"/>
  <c r="D7" i="14"/>
  <c r="E7" i="14"/>
  <c r="F7" i="14"/>
  <c r="G7" i="14"/>
  <c r="H7" i="14"/>
  <c r="I7" i="14"/>
  <c r="J7" i="14"/>
  <c r="K7" i="14"/>
  <c r="L7" i="14"/>
  <c r="M7" i="14"/>
  <c r="N7" i="14"/>
  <c r="O7" i="14"/>
  <c r="P7" i="14"/>
  <c r="Q7" i="14"/>
  <c r="R7" i="14"/>
  <c r="S7" i="14"/>
  <c r="T7" i="14"/>
  <c r="U7" i="14"/>
  <c r="B8" i="12"/>
  <c r="C8" i="12"/>
  <c r="D8" i="12"/>
  <c r="E8" i="12"/>
  <c r="F8" i="12"/>
  <c r="G8" i="12"/>
  <c r="H8" i="12"/>
  <c r="I8" i="12"/>
  <c r="J8" i="12"/>
  <c r="K8" i="12"/>
  <c r="L8" i="12"/>
  <c r="M8" i="12"/>
  <c r="N8" i="12"/>
  <c r="O8" i="12"/>
  <c r="P8" i="12"/>
  <c r="Q8" i="12"/>
  <c r="R8" i="12"/>
  <c r="S8" i="12"/>
  <c r="T8" i="12"/>
  <c r="U8" i="12"/>
  <c r="B9" i="12"/>
  <c r="C9" i="12"/>
  <c r="D9" i="12"/>
  <c r="E9" i="12"/>
  <c r="F9" i="12"/>
  <c r="G9" i="12"/>
  <c r="H9" i="12"/>
  <c r="I9" i="12"/>
  <c r="J9" i="12"/>
  <c r="K9" i="12"/>
  <c r="L9" i="12"/>
  <c r="M9" i="12"/>
  <c r="N9" i="12"/>
  <c r="O9" i="12"/>
  <c r="P9" i="12"/>
  <c r="Q9" i="12"/>
  <c r="R9" i="12"/>
  <c r="S9" i="12"/>
  <c r="T9" i="12"/>
  <c r="U9" i="12"/>
  <c r="B10" i="12"/>
  <c r="C10" i="12"/>
  <c r="D10" i="12"/>
  <c r="E10" i="12"/>
  <c r="F10" i="12"/>
  <c r="G10" i="12"/>
  <c r="H10" i="12"/>
  <c r="I10" i="12"/>
  <c r="J10" i="12"/>
  <c r="K10" i="12"/>
  <c r="L10" i="12"/>
  <c r="M10" i="12"/>
  <c r="N10" i="12"/>
  <c r="O10" i="12"/>
  <c r="P10" i="12"/>
  <c r="Q10" i="12"/>
  <c r="R10" i="12"/>
  <c r="S10" i="12"/>
  <c r="T10" i="12"/>
  <c r="U10" i="12"/>
  <c r="B11" i="12"/>
  <c r="C11" i="12"/>
  <c r="D11" i="12"/>
  <c r="E11" i="12"/>
  <c r="F11" i="12"/>
  <c r="G11" i="12"/>
  <c r="H11" i="12"/>
  <c r="I11" i="12"/>
  <c r="J11" i="12"/>
  <c r="K11" i="12"/>
  <c r="L11" i="12"/>
  <c r="M11" i="12"/>
  <c r="N11" i="12"/>
  <c r="O11" i="12"/>
  <c r="P11" i="12"/>
  <c r="Q11" i="12"/>
  <c r="R11" i="12"/>
  <c r="S11" i="12"/>
  <c r="T11" i="12"/>
  <c r="U11" i="12"/>
  <c r="B12" i="12"/>
  <c r="C12" i="12"/>
  <c r="D12" i="12"/>
  <c r="E12" i="12"/>
  <c r="F12" i="12"/>
  <c r="G12" i="12"/>
  <c r="H12" i="12"/>
  <c r="I12" i="12"/>
  <c r="J12" i="12"/>
  <c r="K12" i="12"/>
  <c r="L12" i="12"/>
  <c r="M12" i="12"/>
  <c r="N12" i="12"/>
  <c r="O12" i="12"/>
  <c r="P12" i="12"/>
  <c r="Q12" i="12"/>
  <c r="R12" i="12"/>
  <c r="S12" i="12"/>
  <c r="T12" i="12"/>
  <c r="U12" i="12"/>
  <c r="B13" i="12"/>
  <c r="C13" i="12"/>
  <c r="D13" i="12"/>
  <c r="E13" i="12"/>
  <c r="F13" i="12"/>
  <c r="G13" i="12"/>
  <c r="H13" i="12"/>
  <c r="I13" i="12"/>
  <c r="J13" i="12"/>
  <c r="K13" i="12"/>
  <c r="L13" i="12"/>
  <c r="M13" i="12"/>
  <c r="N13" i="12"/>
  <c r="O13" i="12"/>
  <c r="P13" i="12"/>
  <c r="Q13" i="12"/>
  <c r="R13" i="12"/>
  <c r="S13" i="12"/>
  <c r="T13" i="12"/>
  <c r="U13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N14" i="12"/>
  <c r="O14" i="12"/>
  <c r="P14" i="12"/>
  <c r="Q14" i="12"/>
  <c r="R14" i="12"/>
  <c r="S14" i="12"/>
  <c r="T14" i="12"/>
  <c r="U14" i="12"/>
  <c r="B15" i="12"/>
  <c r="C15" i="12"/>
  <c r="D15" i="12"/>
  <c r="E15" i="12"/>
  <c r="F15" i="12"/>
  <c r="G15" i="12"/>
  <c r="H15" i="12"/>
  <c r="I15" i="12"/>
  <c r="J15" i="12"/>
  <c r="K15" i="12"/>
  <c r="L15" i="12"/>
  <c r="M15" i="12"/>
  <c r="N15" i="12"/>
  <c r="O15" i="12"/>
  <c r="P15" i="12"/>
  <c r="Q15" i="12"/>
  <c r="R15" i="12"/>
  <c r="S15" i="12"/>
  <c r="T15" i="12"/>
  <c r="U15" i="12"/>
  <c r="B16" i="12"/>
  <c r="C16" i="12"/>
  <c r="D16" i="12"/>
  <c r="E16" i="12"/>
  <c r="F16" i="12"/>
  <c r="G16" i="12"/>
  <c r="H16" i="12"/>
  <c r="I16" i="12"/>
  <c r="J16" i="12"/>
  <c r="K16" i="12"/>
  <c r="L16" i="12"/>
  <c r="M16" i="12"/>
  <c r="N16" i="12"/>
  <c r="O16" i="12"/>
  <c r="P16" i="12"/>
  <c r="Q16" i="12"/>
  <c r="R16" i="12"/>
  <c r="S16" i="12"/>
  <c r="T16" i="12"/>
  <c r="U16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O17" i="12"/>
  <c r="P17" i="12"/>
  <c r="Q17" i="12"/>
  <c r="R17" i="12"/>
  <c r="S17" i="12"/>
  <c r="T17" i="12"/>
  <c r="U17" i="12"/>
  <c r="B18" i="12"/>
  <c r="C18" i="12"/>
  <c r="D18" i="12"/>
  <c r="E18" i="12"/>
  <c r="F18" i="12"/>
  <c r="G18" i="12"/>
  <c r="H18" i="12"/>
  <c r="I18" i="12"/>
  <c r="J18" i="12"/>
  <c r="K18" i="12"/>
  <c r="L18" i="12"/>
  <c r="M18" i="12"/>
  <c r="N18" i="12"/>
  <c r="O18" i="12"/>
  <c r="P18" i="12"/>
  <c r="Q18" i="12"/>
  <c r="R18" i="12"/>
  <c r="S18" i="12"/>
  <c r="T18" i="12"/>
  <c r="U18" i="12"/>
  <c r="B19" i="12"/>
  <c r="C19" i="12"/>
  <c r="D19" i="12"/>
  <c r="E19" i="12"/>
  <c r="F19" i="12"/>
  <c r="G19" i="12"/>
  <c r="H19" i="12"/>
  <c r="I19" i="12"/>
  <c r="J19" i="12"/>
  <c r="K19" i="12"/>
  <c r="L19" i="12"/>
  <c r="M19" i="12"/>
  <c r="N19" i="12"/>
  <c r="O19" i="12"/>
  <c r="P19" i="12"/>
  <c r="Q19" i="12"/>
  <c r="R19" i="12"/>
  <c r="S19" i="12"/>
  <c r="T19" i="12"/>
  <c r="U19" i="12"/>
  <c r="B20" i="12"/>
  <c r="C20" i="12"/>
  <c r="D20" i="12"/>
  <c r="E20" i="12"/>
  <c r="F20" i="12"/>
  <c r="G20" i="12"/>
  <c r="H20" i="12"/>
  <c r="I20" i="12"/>
  <c r="J20" i="12"/>
  <c r="K20" i="12"/>
  <c r="L20" i="12"/>
  <c r="M20" i="12"/>
  <c r="N20" i="12"/>
  <c r="O20" i="12"/>
  <c r="P20" i="12"/>
  <c r="Q20" i="12"/>
  <c r="R20" i="12"/>
  <c r="S20" i="12"/>
  <c r="T20" i="12"/>
  <c r="U20" i="12"/>
  <c r="B21" i="12"/>
  <c r="C21" i="12"/>
  <c r="D21" i="12"/>
  <c r="E21" i="12"/>
  <c r="F21" i="12"/>
  <c r="G21" i="12"/>
  <c r="H21" i="12"/>
  <c r="I21" i="12"/>
  <c r="J21" i="12"/>
  <c r="K21" i="12"/>
  <c r="L21" i="12"/>
  <c r="M21" i="12"/>
  <c r="N21" i="12"/>
  <c r="O21" i="12"/>
  <c r="P21" i="12"/>
  <c r="Q21" i="12"/>
  <c r="R21" i="12"/>
  <c r="S21" i="12"/>
  <c r="T21" i="12"/>
  <c r="U21" i="12"/>
  <c r="B22" i="12"/>
  <c r="C22" i="12"/>
  <c r="D22" i="12"/>
  <c r="E22" i="12"/>
  <c r="F22" i="12"/>
  <c r="G22" i="12"/>
  <c r="H22" i="12"/>
  <c r="I22" i="12"/>
  <c r="J22" i="12"/>
  <c r="K22" i="12"/>
  <c r="L22" i="12"/>
  <c r="M22" i="12"/>
  <c r="N22" i="12"/>
  <c r="O22" i="12"/>
  <c r="P22" i="12"/>
  <c r="Q22" i="12"/>
  <c r="R22" i="12"/>
  <c r="S22" i="12"/>
  <c r="T22" i="12"/>
  <c r="U22" i="12"/>
  <c r="B23" i="12"/>
  <c r="C23" i="12"/>
  <c r="D23" i="12"/>
  <c r="E23" i="12"/>
  <c r="F23" i="12"/>
  <c r="G23" i="12"/>
  <c r="H23" i="12"/>
  <c r="I23" i="12"/>
  <c r="J23" i="12"/>
  <c r="K23" i="12"/>
  <c r="L23" i="12"/>
  <c r="M23" i="12"/>
  <c r="N23" i="12"/>
  <c r="O23" i="12"/>
  <c r="P23" i="12"/>
  <c r="Q23" i="12"/>
  <c r="R23" i="12"/>
  <c r="S23" i="12"/>
  <c r="T23" i="12"/>
  <c r="U23" i="12"/>
  <c r="B24" i="12"/>
  <c r="C24" i="12"/>
  <c r="D24" i="12"/>
  <c r="E24" i="12"/>
  <c r="F24" i="12"/>
  <c r="G24" i="12"/>
  <c r="H24" i="12"/>
  <c r="I24" i="12"/>
  <c r="J24" i="12"/>
  <c r="K24" i="12"/>
  <c r="L24" i="12"/>
  <c r="M24" i="12"/>
  <c r="N24" i="12"/>
  <c r="O24" i="12"/>
  <c r="P24" i="12"/>
  <c r="Q24" i="12"/>
  <c r="R24" i="12"/>
  <c r="S24" i="12"/>
  <c r="T24" i="12"/>
  <c r="U24" i="12"/>
  <c r="B25" i="12"/>
  <c r="C25" i="12"/>
  <c r="D25" i="12"/>
  <c r="E25" i="12"/>
  <c r="F25" i="12"/>
  <c r="G25" i="12"/>
  <c r="H25" i="12"/>
  <c r="I25" i="12"/>
  <c r="J25" i="12"/>
  <c r="K25" i="12"/>
  <c r="L25" i="12"/>
  <c r="M25" i="12"/>
  <c r="N25" i="12"/>
  <c r="O25" i="12"/>
  <c r="P25" i="12"/>
  <c r="Q25" i="12"/>
  <c r="R25" i="12"/>
  <c r="S25" i="12"/>
  <c r="T25" i="12"/>
  <c r="U25" i="12"/>
  <c r="B26" i="12"/>
  <c r="C26" i="12"/>
  <c r="D26" i="12"/>
  <c r="E26" i="12"/>
  <c r="F26" i="12"/>
  <c r="G26" i="12"/>
  <c r="H26" i="12"/>
  <c r="I26" i="12"/>
  <c r="J26" i="12"/>
  <c r="K26" i="12"/>
  <c r="L26" i="12"/>
  <c r="M26" i="12"/>
  <c r="N26" i="12"/>
  <c r="O26" i="12"/>
  <c r="P26" i="12"/>
  <c r="Q26" i="12"/>
  <c r="R26" i="12"/>
  <c r="S26" i="12"/>
  <c r="T26" i="12"/>
  <c r="U26" i="12"/>
  <c r="B27" i="12"/>
  <c r="D27" i="12"/>
  <c r="E27" i="12"/>
  <c r="F27" i="12"/>
  <c r="G27" i="12"/>
  <c r="H27" i="12"/>
  <c r="I27" i="12"/>
  <c r="J27" i="12"/>
  <c r="K27" i="12"/>
  <c r="L27" i="12"/>
  <c r="M27" i="12"/>
  <c r="N27" i="12"/>
  <c r="O27" i="12"/>
  <c r="P27" i="12"/>
  <c r="Q27" i="12"/>
  <c r="R27" i="12"/>
  <c r="S27" i="12"/>
  <c r="T27" i="12"/>
  <c r="U27" i="12"/>
  <c r="B28" i="12"/>
  <c r="C28" i="12"/>
  <c r="D28" i="12"/>
  <c r="E28" i="12"/>
  <c r="F28" i="12"/>
  <c r="G28" i="12"/>
  <c r="H28" i="12"/>
  <c r="I28" i="12"/>
  <c r="J28" i="12"/>
  <c r="K28" i="12"/>
  <c r="L28" i="12"/>
  <c r="M28" i="12"/>
  <c r="N28" i="12"/>
  <c r="O28" i="12"/>
  <c r="P28" i="12"/>
  <c r="Q28" i="12"/>
  <c r="R28" i="12"/>
  <c r="S28" i="12"/>
  <c r="T28" i="12"/>
  <c r="U28" i="12"/>
  <c r="B29" i="12"/>
  <c r="C29" i="12"/>
  <c r="D29" i="12"/>
  <c r="E29" i="12"/>
  <c r="F29" i="12"/>
  <c r="G29" i="12"/>
  <c r="H29" i="12"/>
  <c r="I29" i="12"/>
  <c r="J29" i="12"/>
  <c r="K29" i="12"/>
  <c r="L29" i="12"/>
  <c r="M29" i="12"/>
  <c r="N29" i="12"/>
  <c r="O29" i="12"/>
  <c r="P29" i="12"/>
  <c r="Q29" i="12"/>
  <c r="R29" i="12"/>
  <c r="S29" i="12"/>
  <c r="T29" i="12"/>
  <c r="U29" i="12"/>
  <c r="B30" i="12"/>
  <c r="C30" i="12"/>
  <c r="D30" i="12"/>
  <c r="E30" i="12"/>
  <c r="F30" i="12"/>
  <c r="G30" i="12"/>
  <c r="H30" i="12"/>
  <c r="I30" i="12"/>
  <c r="J30" i="12"/>
  <c r="K30" i="12"/>
  <c r="L30" i="12"/>
  <c r="M30" i="12"/>
  <c r="N30" i="12"/>
  <c r="O30" i="12"/>
  <c r="P30" i="12"/>
  <c r="Q30" i="12"/>
  <c r="R30" i="12"/>
  <c r="S30" i="12"/>
  <c r="T30" i="12"/>
  <c r="U30" i="12"/>
  <c r="B31" i="12"/>
  <c r="C31" i="12"/>
  <c r="D31" i="12"/>
  <c r="E31" i="12"/>
  <c r="F31" i="12"/>
  <c r="G31" i="12"/>
  <c r="H31" i="12"/>
  <c r="I31" i="12"/>
  <c r="J31" i="12"/>
  <c r="K31" i="12"/>
  <c r="L31" i="12"/>
  <c r="M31" i="12"/>
  <c r="N31" i="12"/>
  <c r="O31" i="12"/>
  <c r="P31" i="12"/>
  <c r="Q31" i="12"/>
  <c r="R31" i="12"/>
  <c r="S31" i="12"/>
  <c r="T31" i="12"/>
  <c r="U31" i="12"/>
  <c r="B32" i="12"/>
  <c r="C32" i="12"/>
  <c r="D32" i="12"/>
  <c r="E32" i="12"/>
  <c r="F32" i="12"/>
  <c r="G32" i="12"/>
  <c r="H32" i="12"/>
  <c r="I32" i="12"/>
  <c r="J32" i="12"/>
  <c r="K32" i="12"/>
  <c r="L32" i="12"/>
  <c r="M32" i="12"/>
  <c r="N32" i="12"/>
  <c r="O32" i="12"/>
  <c r="P32" i="12"/>
  <c r="Q32" i="12"/>
  <c r="R32" i="12"/>
  <c r="S32" i="12"/>
  <c r="T32" i="12"/>
  <c r="U32" i="12"/>
  <c r="B33" i="12"/>
  <c r="C33" i="12"/>
  <c r="D33" i="12"/>
  <c r="E33" i="12"/>
  <c r="F33" i="12"/>
  <c r="G33" i="12"/>
  <c r="H33" i="12"/>
  <c r="I33" i="12"/>
  <c r="J33" i="12"/>
  <c r="K33" i="12"/>
  <c r="L33" i="12"/>
  <c r="M33" i="12"/>
  <c r="N33" i="12"/>
  <c r="O33" i="12"/>
  <c r="P33" i="12"/>
  <c r="Q33" i="12"/>
  <c r="R33" i="12"/>
  <c r="S33" i="12"/>
  <c r="T33" i="12"/>
  <c r="U33" i="12"/>
  <c r="B34" i="12"/>
  <c r="C34" i="12"/>
  <c r="D34" i="12"/>
  <c r="E34" i="12"/>
  <c r="F34" i="12"/>
  <c r="G34" i="12"/>
  <c r="H34" i="12"/>
  <c r="I34" i="12"/>
  <c r="J34" i="12"/>
  <c r="K34" i="12"/>
  <c r="L34" i="12"/>
  <c r="M34" i="12"/>
  <c r="N34" i="12"/>
  <c r="O34" i="12"/>
  <c r="P34" i="12"/>
  <c r="Q34" i="12"/>
  <c r="R34" i="12"/>
  <c r="S34" i="12"/>
  <c r="T34" i="12"/>
  <c r="U34" i="12"/>
  <c r="B35" i="12"/>
  <c r="C35" i="12"/>
  <c r="D35" i="12"/>
  <c r="E35" i="12"/>
  <c r="F35" i="12"/>
  <c r="G35" i="12"/>
  <c r="H35" i="12"/>
  <c r="I35" i="12"/>
  <c r="J35" i="12"/>
  <c r="K35" i="12"/>
  <c r="L35" i="12"/>
  <c r="M35" i="12"/>
  <c r="N35" i="12"/>
  <c r="O35" i="12"/>
  <c r="P35" i="12"/>
  <c r="Q35" i="12"/>
  <c r="R35" i="12"/>
  <c r="S35" i="12"/>
  <c r="T35" i="12"/>
  <c r="U35" i="12"/>
  <c r="B36" i="12"/>
  <c r="C36" i="12"/>
  <c r="D36" i="12"/>
  <c r="E36" i="12"/>
  <c r="F36" i="12"/>
  <c r="G36" i="12"/>
  <c r="H36" i="12"/>
  <c r="I36" i="12"/>
  <c r="J36" i="12"/>
  <c r="K36" i="12"/>
  <c r="L36" i="12"/>
  <c r="M36" i="12"/>
  <c r="N36" i="12"/>
  <c r="O36" i="12"/>
  <c r="P36" i="12"/>
  <c r="Q36" i="12"/>
  <c r="R36" i="12"/>
  <c r="S36" i="12"/>
  <c r="T36" i="12"/>
  <c r="U36" i="12"/>
  <c r="B37" i="12"/>
  <c r="C37" i="12"/>
  <c r="D37" i="12"/>
  <c r="E37" i="12"/>
  <c r="F37" i="12"/>
  <c r="G37" i="12"/>
  <c r="H37" i="12"/>
  <c r="I37" i="12"/>
  <c r="J37" i="12"/>
  <c r="K37" i="12"/>
  <c r="L37" i="12"/>
  <c r="M37" i="12"/>
  <c r="N37" i="12"/>
  <c r="O37" i="12"/>
  <c r="P37" i="12"/>
  <c r="Q37" i="12"/>
  <c r="R37" i="12"/>
  <c r="S37" i="12"/>
  <c r="T37" i="12"/>
  <c r="U37" i="12"/>
  <c r="B38" i="12"/>
  <c r="C38" i="12"/>
  <c r="D38" i="12"/>
  <c r="E38" i="12"/>
  <c r="F38" i="12"/>
  <c r="G38" i="12"/>
  <c r="H38" i="12"/>
  <c r="I38" i="12"/>
  <c r="J38" i="12"/>
  <c r="K38" i="12"/>
  <c r="L38" i="12"/>
  <c r="M38" i="12"/>
  <c r="N38" i="12"/>
  <c r="O38" i="12"/>
  <c r="P38" i="12"/>
  <c r="Q38" i="12"/>
  <c r="R38" i="12"/>
  <c r="S38" i="12"/>
  <c r="T38" i="12"/>
  <c r="U38" i="12"/>
  <c r="B39" i="12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T39" i="12"/>
  <c r="U39" i="12"/>
  <c r="B40" i="12"/>
  <c r="C40" i="12"/>
  <c r="D40" i="12"/>
  <c r="E40" i="12"/>
  <c r="F40" i="12"/>
  <c r="G40" i="12"/>
  <c r="H40" i="12"/>
  <c r="I40" i="12"/>
  <c r="J40" i="12"/>
  <c r="K40" i="12"/>
  <c r="L40" i="12"/>
  <c r="M40" i="12"/>
  <c r="N40" i="12"/>
  <c r="O40" i="12"/>
  <c r="P40" i="12"/>
  <c r="Q40" i="12"/>
  <c r="R40" i="12"/>
  <c r="S40" i="12"/>
  <c r="T40" i="12"/>
  <c r="U40" i="12"/>
  <c r="B42" i="12"/>
  <c r="C42" i="12"/>
  <c r="D42" i="12"/>
  <c r="E42" i="12"/>
  <c r="F42" i="12"/>
  <c r="G42" i="12"/>
  <c r="H42" i="12"/>
  <c r="I42" i="12"/>
  <c r="J42" i="12"/>
  <c r="K42" i="12"/>
  <c r="L42" i="12"/>
  <c r="M42" i="12"/>
  <c r="N42" i="12"/>
  <c r="O42" i="12"/>
  <c r="P42" i="12"/>
  <c r="Q42" i="12"/>
  <c r="R42" i="12"/>
  <c r="S42" i="12"/>
  <c r="T42" i="12"/>
  <c r="U42" i="12"/>
  <c r="B43" i="12"/>
  <c r="C43" i="12"/>
  <c r="D43" i="12"/>
  <c r="E43" i="12"/>
  <c r="F43" i="12"/>
  <c r="G43" i="12"/>
  <c r="H43" i="12"/>
  <c r="I43" i="12"/>
  <c r="J43" i="12"/>
  <c r="K43" i="12"/>
  <c r="L43" i="12"/>
  <c r="M43" i="12"/>
  <c r="N43" i="12"/>
  <c r="O43" i="12"/>
  <c r="P43" i="12"/>
  <c r="Q43" i="12"/>
  <c r="R43" i="12"/>
  <c r="S43" i="12"/>
  <c r="T43" i="12"/>
  <c r="U43" i="12"/>
  <c r="B44" i="12"/>
  <c r="C44" i="12"/>
  <c r="D44" i="12"/>
  <c r="E44" i="12"/>
  <c r="F44" i="12"/>
  <c r="G44" i="12"/>
  <c r="H44" i="12"/>
  <c r="I44" i="12"/>
  <c r="J44" i="12"/>
  <c r="K44" i="12"/>
  <c r="L44" i="12"/>
  <c r="M44" i="12"/>
  <c r="N44" i="12"/>
  <c r="O44" i="12"/>
  <c r="P44" i="12"/>
  <c r="Q44" i="12"/>
  <c r="R44" i="12"/>
  <c r="S44" i="12"/>
  <c r="T44" i="12"/>
  <c r="U44" i="12"/>
  <c r="B45" i="12"/>
  <c r="C45" i="12"/>
  <c r="D45" i="12"/>
  <c r="E45" i="12"/>
  <c r="F45" i="12"/>
  <c r="G45" i="12"/>
  <c r="H45" i="12"/>
  <c r="I45" i="12"/>
  <c r="J45" i="12"/>
  <c r="K45" i="12"/>
  <c r="L45" i="12"/>
  <c r="M45" i="12"/>
  <c r="N45" i="12"/>
  <c r="O45" i="12"/>
  <c r="P45" i="12"/>
  <c r="Q45" i="12"/>
  <c r="R45" i="12"/>
  <c r="S45" i="12"/>
  <c r="T45" i="12"/>
  <c r="U45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N46" i="12"/>
  <c r="O46" i="12"/>
  <c r="P46" i="12"/>
  <c r="Q46" i="12"/>
  <c r="R46" i="12"/>
  <c r="S46" i="12"/>
  <c r="T46" i="12"/>
  <c r="U46" i="12"/>
  <c r="B47" i="12"/>
  <c r="C47" i="12"/>
  <c r="D47" i="12"/>
  <c r="E47" i="12"/>
  <c r="F47" i="12"/>
  <c r="G47" i="12"/>
  <c r="H47" i="12"/>
  <c r="I47" i="12"/>
  <c r="J47" i="12"/>
  <c r="K47" i="12"/>
  <c r="L47" i="12"/>
  <c r="M47" i="12"/>
  <c r="N47" i="12"/>
  <c r="O47" i="12"/>
  <c r="P47" i="12"/>
  <c r="Q47" i="12"/>
  <c r="R47" i="12"/>
  <c r="S47" i="12"/>
  <c r="T47" i="12"/>
  <c r="U47" i="12"/>
  <c r="B8" i="11"/>
  <c r="C8" i="11"/>
  <c r="D8" i="11"/>
  <c r="E8" i="11"/>
  <c r="F8" i="11"/>
  <c r="G8" i="11"/>
  <c r="H8" i="11"/>
  <c r="I8" i="11"/>
  <c r="J8" i="11"/>
  <c r="K8" i="11"/>
  <c r="L8" i="11"/>
  <c r="M8" i="11"/>
  <c r="N8" i="11"/>
  <c r="O8" i="11"/>
  <c r="P8" i="11"/>
  <c r="Q8" i="11"/>
  <c r="R8" i="11"/>
  <c r="S8" i="11"/>
  <c r="T8" i="11"/>
  <c r="U8" i="11"/>
  <c r="B9" i="11"/>
  <c r="C9" i="11"/>
  <c r="D9" i="11"/>
  <c r="E9" i="11"/>
  <c r="F9" i="11"/>
  <c r="G9" i="11"/>
  <c r="H9" i="11"/>
  <c r="I9" i="11"/>
  <c r="J9" i="11"/>
  <c r="K9" i="11"/>
  <c r="L9" i="11"/>
  <c r="M9" i="11"/>
  <c r="N9" i="11"/>
  <c r="O9" i="11"/>
  <c r="P9" i="11"/>
  <c r="Q9" i="11"/>
  <c r="R9" i="11"/>
  <c r="S9" i="11"/>
  <c r="T9" i="11"/>
  <c r="U9" i="11"/>
  <c r="B10" i="11"/>
  <c r="C10" i="11"/>
  <c r="D10" i="11"/>
  <c r="E10" i="11"/>
  <c r="F10" i="11"/>
  <c r="G10" i="11"/>
  <c r="H10" i="11"/>
  <c r="I10" i="11"/>
  <c r="J10" i="11"/>
  <c r="K10" i="11"/>
  <c r="L10" i="11"/>
  <c r="M10" i="11"/>
  <c r="N10" i="11"/>
  <c r="O10" i="11"/>
  <c r="P10" i="11"/>
  <c r="Q10" i="11"/>
  <c r="R10" i="11"/>
  <c r="S10" i="11"/>
  <c r="T10" i="11"/>
  <c r="U10" i="11"/>
  <c r="B11" i="11"/>
  <c r="C11" i="11"/>
  <c r="D11" i="11"/>
  <c r="E11" i="11"/>
  <c r="F11" i="11"/>
  <c r="G11" i="11"/>
  <c r="H11" i="11"/>
  <c r="I11" i="11"/>
  <c r="J11" i="11"/>
  <c r="K11" i="11"/>
  <c r="L11" i="11"/>
  <c r="M11" i="11"/>
  <c r="N11" i="11"/>
  <c r="O11" i="11"/>
  <c r="P11" i="11"/>
  <c r="Q11" i="11"/>
  <c r="R11" i="11"/>
  <c r="S11" i="11"/>
  <c r="T11" i="11"/>
  <c r="U11" i="11"/>
  <c r="B12" i="11"/>
  <c r="C12" i="11"/>
  <c r="D12" i="11"/>
  <c r="E12" i="11"/>
  <c r="F12" i="11"/>
  <c r="G12" i="11"/>
  <c r="H12" i="11"/>
  <c r="I12" i="11"/>
  <c r="J12" i="11"/>
  <c r="K12" i="11"/>
  <c r="L12" i="11"/>
  <c r="M12" i="11"/>
  <c r="N12" i="11"/>
  <c r="O12" i="11"/>
  <c r="P12" i="11"/>
  <c r="Q12" i="11"/>
  <c r="R12" i="11"/>
  <c r="S12" i="11"/>
  <c r="T12" i="11"/>
  <c r="U12" i="11"/>
  <c r="B13" i="11"/>
  <c r="C13" i="11"/>
  <c r="D13" i="11"/>
  <c r="E13" i="11"/>
  <c r="F13" i="11"/>
  <c r="G13" i="11"/>
  <c r="H13" i="11"/>
  <c r="I13" i="11"/>
  <c r="J13" i="11"/>
  <c r="K13" i="11"/>
  <c r="L13" i="11"/>
  <c r="M13" i="11"/>
  <c r="N13" i="11"/>
  <c r="O13" i="11"/>
  <c r="P13" i="11"/>
  <c r="Q13" i="11"/>
  <c r="R13" i="11"/>
  <c r="S13" i="11"/>
  <c r="T13" i="11"/>
  <c r="U13" i="11"/>
  <c r="B14" i="11"/>
  <c r="C14" i="11"/>
  <c r="D14" i="11"/>
  <c r="E14" i="11"/>
  <c r="F14" i="11"/>
  <c r="G14" i="11"/>
  <c r="H14" i="11"/>
  <c r="I14" i="11"/>
  <c r="J14" i="11"/>
  <c r="K14" i="11"/>
  <c r="L14" i="11"/>
  <c r="M14" i="11"/>
  <c r="N14" i="11"/>
  <c r="O14" i="11"/>
  <c r="P14" i="11"/>
  <c r="Q14" i="11"/>
  <c r="R14" i="11"/>
  <c r="S14" i="11"/>
  <c r="T14" i="11"/>
  <c r="U14" i="11"/>
  <c r="B15" i="11"/>
  <c r="C15" i="11"/>
  <c r="D15" i="11"/>
  <c r="E15" i="11"/>
  <c r="F15" i="11"/>
  <c r="G15" i="11"/>
  <c r="H15" i="11"/>
  <c r="I15" i="11"/>
  <c r="J15" i="11"/>
  <c r="K15" i="11"/>
  <c r="L15" i="11"/>
  <c r="M15" i="11"/>
  <c r="N15" i="11"/>
  <c r="O15" i="11"/>
  <c r="P15" i="11"/>
  <c r="Q15" i="11"/>
  <c r="R15" i="11"/>
  <c r="S15" i="11"/>
  <c r="T15" i="11"/>
  <c r="U15" i="11"/>
  <c r="B16" i="11"/>
  <c r="C16" i="11"/>
  <c r="D16" i="11"/>
  <c r="E16" i="11"/>
  <c r="F16" i="11"/>
  <c r="G16" i="11"/>
  <c r="H16" i="11"/>
  <c r="I16" i="11"/>
  <c r="J16" i="11"/>
  <c r="K16" i="11"/>
  <c r="L16" i="11"/>
  <c r="M16" i="11"/>
  <c r="N16" i="11"/>
  <c r="O16" i="11"/>
  <c r="P16" i="11"/>
  <c r="Q16" i="11"/>
  <c r="R16" i="11"/>
  <c r="S16" i="11"/>
  <c r="T16" i="11"/>
  <c r="U16" i="11"/>
  <c r="B17" i="11"/>
  <c r="C17" i="11"/>
  <c r="D17" i="11"/>
  <c r="E17" i="11"/>
  <c r="F17" i="11"/>
  <c r="G17" i="11"/>
  <c r="H17" i="11"/>
  <c r="I17" i="11"/>
  <c r="J17" i="11"/>
  <c r="K17" i="11"/>
  <c r="L17" i="11"/>
  <c r="M17" i="11"/>
  <c r="N17" i="11"/>
  <c r="O17" i="11"/>
  <c r="P17" i="11"/>
  <c r="Q17" i="11"/>
  <c r="R17" i="11"/>
  <c r="S17" i="11"/>
  <c r="T17" i="11"/>
  <c r="U17" i="11"/>
  <c r="B18" i="11"/>
  <c r="C18" i="11"/>
  <c r="D18" i="11"/>
  <c r="E18" i="11"/>
  <c r="F18" i="11"/>
  <c r="G18" i="11"/>
  <c r="H18" i="11"/>
  <c r="I18" i="11"/>
  <c r="J18" i="11"/>
  <c r="K18" i="11"/>
  <c r="L18" i="11"/>
  <c r="M18" i="11"/>
  <c r="N18" i="11"/>
  <c r="O18" i="11"/>
  <c r="P18" i="11"/>
  <c r="Q18" i="11"/>
  <c r="R18" i="11"/>
  <c r="S18" i="11"/>
  <c r="T18" i="11"/>
  <c r="U18" i="11"/>
  <c r="B19" i="11"/>
  <c r="C19" i="11"/>
  <c r="D19" i="11"/>
  <c r="E19" i="11"/>
  <c r="F19" i="11"/>
  <c r="G19" i="11"/>
  <c r="H19" i="11"/>
  <c r="I19" i="11"/>
  <c r="J19" i="11"/>
  <c r="K19" i="11"/>
  <c r="L19" i="11"/>
  <c r="M19" i="11"/>
  <c r="N19" i="11"/>
  <c r="O19" i="11"/>
  <c r="P19" i="11"/>
  <c r="Q19" i="11"/>
  <c r="R19" i="11"/>
  <c r="S19" i="11"/>
  <c r="T19" i="11"/>
  <c r="U19" i="11"/>
  <c r="B20" i="11"/>
  <c r="C20" i="11"/>
  <c r="D20" i="11"/>
  <c r="E20" i="11"/>
  <c r="F20" i="11"/>
  <c r="G20" i="11"/>
  <c r="H20" i="11"/>
  <c r="I20" i="11"/>
  <c r="J20" i="11"/>
  <c r="K20" i="11"/>
  <c r="L20" i="11"/>
  <c r="M20" i="11"/>
  <c r="N20" i="11"/>
  <c r="O20" i="11"/>
  <c r="P20" i="11"/>
  <c r="Q20" i="11"/>
  <c r="R20" i="11"/>
  <c r="S20" i="11"/>
  <c r="T20" i="11"/>
  <c r="U20" i="11"/>
  <c r="B21" i="11"/>
  <c r="C21" i="11"/>
  <c r="D21" i="11"/>
  <c r="E21" i="11"/>
  <c r="F21" i="11"/>
  <c r="G21" i="11"/>
  <c r="H21" i="11"/>
  <c r="I21" i="11"/>
  <c r="J21" i="11"/>
  <c r="K21" i="11"/>
  <c r="L21" i="11"/>
  <c r="M21" i="11"/>
  <c r="N21" i="11"/>
  <c r="O21" i="11"/>
  <c r="P21" i="11"/>
  <c r="Q21" i="11"/>
  <c r="R21" i="11"/>
  <c r="S21" i="11"/>
  <c r="T21" i="11"/>
  <c r="U21" i="11"/>
  <c r="B22" i="11"/>
  <c r="C22" i="11"/>
  <c r="D22" i="11"/>
  <c r="E22" i="11"/>
  <c r="F22" i="11"/>
  <c r="G22" i="11"/>
  <c r="H22" i="11"/>
  <c r="I22" i="11"/>
  <c r="J22" i="11"/>
  <c r="K22" i="11"/>
  <c r="L22" i="11"/>
  <c r="M22" i="11"/>
  <c r="N22" i="11"/>
  <c r="O22" i="11"/>
  <c r="P22" i="11"/>
  <c r="Q22" i="11"/>
  <c r="R22" i="11"/>
  <c r="S22" i="11"/>
  <c r="T22" i="11"/>
  <c r="U22" i="11"/>
  <c r="B23" i="11"/>
  <c r="C23" i="11"/>
  <c r="D23" i="11"/>
  <c r="E23" i="11"/>
  <c r="F23" i="11"/>
  <c r="G23" i="11"/>
  <c r="H23" i="11"/>
  <c r="I23" i="11"/>
  <c r="J23" i="11"/>
  <c r="K23" i="11"/>
  <c r="L23" i="11"/>
  <c r="M23" i="11"/>
  <c r="N23" i="11"/>
  <c r="O23" i="11"/>
  <c r="P23" i="11"/>
  <c r="Q23" i="11"/>
  <c r="R23" i="11"/>
  <c r="S23" i="11"/>
  <c r="T23" i="11"/>
  <c r="U23" i="11"/>
  <c r="B24" i="11"/>
  <c r="C24" i="11"/>
  <c r="D24" i="11"/>
  <c r="E24" i="11"/>
  <c r="F24" i="11"/>
  <c r="G24" i="11"/>
  <c r="H24" i="11"/>
  <c r="I24" i="11"/>
  <c r="J24" i="11"/>
  <c r="K24" i="11"/>
  <c r="L24" i="11"/>
  <c r="M24" i="11"/>
  <c r="N24" i="11"/>
  <c r="O24" i="11"/>
  <c r="P24" i="11"/>
  <c r="Q24" i="11"/>
  <c r="R24" i="11"/>
  <c r="S24" i="11"/>
  <c r="T24" i="11"/>
  <c r="U24" i="11"/>
  <c r="B25" i="11"/>
  <c r="C25" i="11"/>
  <c r="D25" i="11"/>
  <c r="E25" i="11"/>
  <c r="F25" i="11"/>
  <c r="G25" i="11"/>
  <c r="H25" i="11"/>
  <c r="I25" i="11"/>
  <c r="J25" i="11"/>
  <c r="K25" i="11"/>
  <c r="L25" i="11"/>
  <c r="M25" i="11"/>
  <c r="N25" i="11"/>
  <c r="O25" i="11"/>
  <c r="P25" i="11"/>
  <c r="Q25" i="11"/>
  <c r="R25" i="11"/>
  <c r="S25" i="11"/>
  <c r="T25" i="11"/>
  <c r="U25" i="11"/>
  <c r="B26" i="11"/>
  <c r="C26" i="11"/>
  <c r="D26" i="11"/>
  <c r="E26" i="11"/>
  <c r="F26" i="11"/>
  <c r="G26" i="11"/>
  <c r="H26" i="11"/>
  <c r="I26" i="11"/>
  <c r="J26" i="11"/>
  <c r="K26" i="11"/>
  <c r="L26" i="11"/>
  <c r="M26" i="11"/>
  <c r="N26" i="11"/>
  <c r="O26" i="11"/>
  <c r="P26" i="11"/>
  <c r="Q26" i="11"/>
  <c r="R26" i="11"/>
  <c r="S26" i="11"/>
  <c r="T26" i="11"/>
  <c r="U26" i="11"/>
  <c r="B27" i="11"/>
  <c r="C27" i="11"/>
  <c r="D27" i="11"/>
  <c r="E27" i="11"/>
  <c r="F27" i="11"/>
  <c r="G27" i="11"/>
  <c r="H27" i="11"/>
  <c r="I27" i="11"/>
  <c r="J27" i="11"/>
  <c r="K27" i="11"/>
  <c r="L27" i="11"/>
  <c r="M27" i="11"/>
  <c r="N27" i="11"/>
  <c r="O27" i="11"/>
  <c r="P27" i="11"/>
  <c r="Q27" i="11"/>
  <c r="R27" i="11"/>
  <c r="S27" i="11"/>
  <c r="T27" i="11"/>
  <c r="U27" i="11"/>
  <c r="B28" i="11"/>
  <c r="C28" i="11"/>
  <c r="D28" i="11"/>
  <c r="E28" i="11"/>
  <c r="F28" i="11"/>
  <c r="G28" i="11"/>
  <c r="H28" i="11"/>
  <c r="I28" i="11"/>
  <c r="J28" i="11"/>
  <c r="K28" i="11"/>
  <c r="L28" i="11"/>
  <c r="M28" i="11"/>
  <c r="N28" i="11"/>
  <c r="O28" i="11"/>
  <c r="P28" i="11"/>
  <c r="Q28" i="11"/>
  <c r="R28" i="11"/>
  <c r="S28" i="11"/>
  <c r="T28" i="11"/>
  <c r="U28" i="11"/>
  <c r="B29" i="11"/>
  <c r="D29" i="11"/>
  <c r="E29" i="11"/>
  <c r="F29" i="11"/>
  <c r="G29" i="11"/>
  <c r="H29" i="11"/>
  <c r="I29" i="11"/>
  <c r="J29" i="11"/>
  <c r="K29" i="11"/>
  <c r="L29" i="11"/>
  <c r="M29" i="11"/>
  <c r="N29" i="11"/>
  <c r="O29" i="11"/>
  <c r="P29" i="11"/>
  <c r="Q29" i="11"/>
  <c r="R29" i="11"/>
  <c r="S29" i="11"/>
  <c r="T29" i="11"/>
  <c r="U29" i="11"/>
  <c r="B30" i="11"/>
  <c r="C30" i="11"/>
  <c r="D30" i="11"/>
  <c r="E30" i="11"/>
  <c r="F30" i="11"/>
  <c r="G30" i="11"/>
  <c r="H30" i="11"/>
  <c r="I30" i="11"/>
  <c r="J30" i="11"/>
  <c r="K30" i="11"/>
  <c r="L30" i="11"/>
  <c r="M30" i="11"/>
  <c r="N30" i="11"/>
  <c r="O30" i="11"/>
  <c r="P30" i="11"/>
  <c r="Q30" i="11"/>
  <c r="R30" i="11"/>
  <c r="S30" i="11"/>
  <c r="T30" i="11"/>
  <c r="U30" i="11"/>
  <c r="B31" i="11"/>
  <c r="C31" i="11"/>
  <c r="D31" i="11"/>
  <c r="E31" i="11"/>
  <c r="F31" i="11"/>
  <c r="G31" i="11"/>
  <c r="H31" i="11"/>
  <c r="I31" i="11"/>
  <c r="J31" i="11"/>
  <c r="K31" i="11"/>
  <c r="L31" i="11"/>
  <c r="M31" i="11"/>
  <c r="N31" i="11"/>
  <c r="O31" i="11"/>
  <c r="P31" i="11"/>
  <c r="Q31" i="11"/>
  <c r="R31" i="11"/>
  <c r="S31" i="11"/>
  <c r="T31" i="11"/>
  <c r="U31" i="11"/>
  <c r="B32" i="11"/>
  <c r="C32" i="11"/>
  <c r="D32" i="11"/>
  <c r="E32" i="11"/>
  <c r="F32" i="11"/>
  <c r="G32" i="11"/>
  <c r="H32" i="11"/>
  <c r="I32" i="11"/>
  <c r="J32" i="11"/>
  <c r="K32" i="11"/>
  <c r="L32" i="11"/>
  <c r="M32" i="11"/>
  <c r="N32" i="11"/>
  <c r="O32" i="11"/>
  <c r="P32" i="11"/>
  <c r="Q32" i="11"/>
  <c r="R32" i="11"/>
  <c r="S32" i="11"/>
  <c r="T32" i="11"/>
  <c r="U32" i="11"/>
  <c r="B33" i="11"/>
  <c r="C33" i="11"/>
  <c r="D33" i="11"/>
  <c r="E33" i="11"/>
  <c r="F33" i="11"/>
  <c r="G33" i="11"/>
  <c r="H33" i="11"/>
  <c r="I33" i="11"/>
  <c r="J33" i="11"/>
  <c r="K33" i="11"/>
  <c r="L33" i="11"/>
  <c r="M33" i="11"/>
  <c r="N33" i="11"/>
  <c r="O33" i="11"/>
  <c r="P33" i="11"/>
  <c r="Q33" i="11"/>
  <c r="R33" i="11"/>
  <c r="S33" i="11"/>
  <c r="T33" i="11"/>
  <c r="U33" i="11"/>
  <c r="B34" i="11"/>
  <c r="C34" i="11"/>
  <c r="D34" i="11"/>
  <c r="E34" i="11"/>
  <c r="F34" i="11"/>
  <c r="G34" i="11"/>
  <c r="H34" i="11"/>
  <c r="I34" i="11"/>
  <c r="J34" i="11"/>
  <c r="K34" i="11"/>
  <c r="L34" i="11"/>
  <c r="M34" i="11"/>
  <c r="N34" i="11"/>
  <c r="O34" i="11"/>
  <c r="P34" i="11"/>
  <c r="Q34" i="11"/>
  <c r="R34" i="11"/>
  <c r="S34" i="11"/>
  <c r="T34" i="11"/>
  <c r="U34" i="11"/>
  <c r="B35" i="11"/>
  <c r="C35" i="11"/>
  <c r="D35" i="11"/>
  <c r="E35" i="11"/>
  <c r="F35" i="11"/>
  <c r="G35" i="11"/>
  <c r="H35" i="11"/>
  <c r="I35" i="11"/>
  <c r="J35" i="11"/>
  <c r="K35" i="11"/>
  <c r="L35" i="11"/>
  <c r="M35" i="11"/>
  <c r="N35" i="11"/>
  <c r="O35" i="11"/>
  <c r="P35" i="11"/>
  <c r="Q35" i="11"/>
  <c r="R35" i="11"/>
  <c r="S35" i="11"/>
  <c r="T35" i="11"/>
  <c r="U35" i="11"/>
  <c r="B36" i="11"/>
  <c r="C36" i="11"/>
  <c r="D36" i="11"/>
  <c r="E36" i="11"/>
  <c r="F36" i="11"/>
  <c r="G36" i="11"/>
  <c r="H36" i="11"/>
  <c r="I36" i="11"/>
  <c r="J36" i="11"/>
  <c r="K36" i="11"/>
  <c r="L36" i="11"/>
  <c r="M36" i="11"/>
  <c r="N36" i="11"/>
  <c r="O36" i="11"/>
  <c r="P36" i="11"/>
  <c r="Q36" i="11"/>
  <c r="R36" i="11"/>
  <c r="S36" i="11"/>
  <c r="T36" i="11"/>
  <c r="U36" i="11"/>
  <c r="B37" i="11"/>
  <c r="C37" i="11"/>
  <c r="D37" i="11"/>
  <c r="E37" i="11"/>
  <c r="F37" i="11"/>
  <c r="G37" i="11"/>
  <c r="H37" i="11"/>
  <c r="I37" i="11"/>
  <c r="J37" i="11"/>
  <c r="K37" i="11"/>
  <c r="L37" i="11"/>
  <c r="M37" i="11"/>
  <c r="N37" i="11"/>
  <c r="O37" i="11"/>
  <c r="P37" i="11"/>
  <c r="Q37" i="11"/>
  <c r="R37" i="11"/>
  <c r="S37" i="11"/>
  <c r="T37" i="11"/>
  <c r="U37" i="11"/>
  <c r="B38" i="11"/>
  <c r="C38" i="11"/>
  <c r="D38" i="11"/>
  <c r="E38" i="11"/>
  <c r="F38" i="11"/>
  <c r="G38" i="11"/>
  <c r="H38" i="11"/>
  <c r="I38" i="11"/>
  <c r="J38" i="11"/>
  <c r="K38" i="11"/>
  <c r="L38" i="11"/>
  <c r="M38" i="11"/>
  <c r="N38" i="11"/>
  <c r="O38" i="11"/>
  <c r="P38" i="11"/>
  <c r="Q38" i="11"/>
  <c r="R38" i="11"/>
  <c r="S38" i="11"/>
  <c r="T38" i="11"/>
  <c r="U38" i="11"/>
  <c r="B39" i="11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T39" i="11"/>
  <c r="U39" i="11"/>
  <c r="B40" i="11"/>
  <c r="C40" i="11"/>
  <c r="D40" i="11"/>
  <c r="E40" i="11"/>
  <c r="F40" i="11"/>
  <c r="G40" i="11"/>
  <c r="H40" i="11"/>
  <c r="I40" i="11"/>
  <c r="J40" i="11"/>
  <c r="K40" i="11"/>
  <c r="L40" i="11"/>
  <c r="M40" i="11"/>
  <c r="N40" i="11"/>
  <c r="O40" i="11"/>
  <c r="P40" i="11"/>
  <c r="Q40" i="11"/>
  <c r="R40" i="11"/>
  <c r="S40" i="11"/>
  <c r="T40" i="11"/>
  <c r="U40" i="11"/>
  <c r="B41" i="11"/>
  <c r="C41" i="11"/>
  <c r="D41" i="11"/>
  <c r="E41" i="11"/>
  <c r="F41" i="11"/>
  <c r="G41" i="11"/>
  <c r="H41" i="11"/>
  <c r="I41" i="11"/>
  <c r="J41" i="11"/>
  <c r="K41" i="11"/>
  <c r="L41" i="11"/>
  <c r="M41" i="11"/>
  <c r="N41" i="11"/>
  <c r="O41" i="11"/>
  <c r="P41" i="11"/>
  <c r="Q41" i="11"/>
  <c r="R41" i="11"/>
  <c r="S41" i="11"/>
  <c r="T41" i="11"/>
  <c r="U41" i="11"/>
  <c r="B42" i="11"/>
  <c r="C42" i="11"/>
  <c r="D42" i="11"/>
  <c r="E42" i="11"/>
  <c r="F42" i="11"/>
  <c r="G42" i="11"/>
  <c r="H42" i="11"/>
  <c r="I42" i="11"/>
  <c r="J42" i="11"/>
  <c r="K42" i="11"/>
  <c r="L42" i="11"/>
  <c r="M42" i="11"/>
  <c r="N42" i="11"/>
  <c r="O42" i="11"/>
  <c r="P42" i="11"/>
  <c r="Q42" i="11"/>
  <c r="R42" i="11"/>
  <c r="S42" i="11"/>
  <c r="T42" i="11"/>
  <c r="U42" i="11"/>
  <c r="B44" i="11"/>
  <c r="C44" i="11"/>
  <c r="D44" i="11"/>
  <c r="E44" i="11"/>
  <c r="F44" i="11"/>
  <c r="G44" i="11"/>
  <c r="H44" i="11"/>
  <c r="I44" i="11"/>
  <c r="J44" i="11"/>
  <c r="K44" i="11"/>
  <c r="L44" i="11"/>
  <c r="M44" i="11"/>
  <c r="N44" i="11"/>
  <c r="O44" i="11"/>
  <c r="P44" i="11"/>
  <c r="Q44" i="11"/>
  <c r="R44" i="11"/>
  <c r="S44" i="11"/>
  <c r="T44" i="11"/>
  <c r="U44" i="11"/>
  <c r="B45" i="11"/>
  <c r="C45" i="11"/>
  <c r="D45" i="11"/>
  <c r="E45" i="11"/>
  <c r="F45" i="11"/>
  <c r="G45" i="11"/>
  <c r="H45" i="11"/>
  <c r="I45" i="11"/>
  <c r="J45" i="11"/>
  <c r="K45" i="11"/>
  <c r="L45" i="11"/>
  <c r="M45" i="11"/>
  <c r="N45" i="11"/>
  <c r="O45" i="11"/>
  <c r="P45" i="11"/>
  <c r="Q45" i="11"/>
  <c r="R45" i="11"/>
  <c r="S45" i="11"/>
  <c r="T45" i="11"/>
  <c r="U45" i="11"/>
  <c r="B46" i="11"/>
  <c r="C46" i="11"/>
  <c r="D46" i="11"/>
  <c r="E46" i="11"/>
  <c r="F46" i="11"/>
  <c r="G46" i="11"/>
  <c r="H46" i="11"/>
  <c r="I46" i="11"/>
  <c r="J46" i="11"/>
  <c r="K46" i="11"/>
  <c r="L46" i="11"/>
  <c r="M46" i="11"/>
  <c r="N46" i="11"/>
  <c r="O46" i="11"/>
  <c r="P46" i="11"/>
  <c r="Q46" i="11"/>
  <c r="R46" i="11"/>
  <c r="S46" i="11"/>
  <c r="T46" i="11"/>
  <c r="U46" i="11"/>
  <c r="B47" i="11"/>
  <c r="C47" i="11"/>
  <c r="D47" i="11"/>
  <c r="E47" i="11"/>
  <c r="F47" i="11"/>
  <c r="G47" i="11"/>
  <c r="H47" i="11"/>
  <c r="I47" i="11"/>
  <c r="J47" i="11"/>
  <c r="K47" i="11"/>
  <c r="L47" i="11"/>
  <c r="M47" i="11"/>
  <c r="N47" i="11"/>
  <c r="O47" i="11"/>
  <c r="P47" i="11"/>
  <c r="Q47" i="11"/>
  <c r="R47" i="11"/>
  <c r="S47" i="11"/>
  <c r="T47" i="11"/>
  <c r="U47" i="11"/>
  <c r="B48" i="11"/>
  <c r="C48" i="11"/>
  <c r="D48" i="11"/>
  <c r="E48" i="11"/>
  <c r="F48" i="11"/>
  <c r="G48" i="11"/>
  <c r="H48" i="11"/>
  <c r="I48" i="11"/>
  <c r="J48" i="11"/>
  <c r="K48" i="11"/>
  <c r="L48" i="11"/>
  <c r="M48" i="11"/>
  <c r="N48" i="11"/>
  <c r="O48" i="11"/>
  <c r="P48" i="11"/>
  <c r="Q48" i="11"/>
  <c r="R48" i="11"/>
  <c r="S48" i="11"/>
  <c r="T48" i="11"/>
  <c r="U48" i="11"/>
  <c r="B49" i="11"/>
  <c r="C49" i="11"/>
  <c r="D49" i="11"/>
  <c r="E49" i="11"/>
  <c r="F49" i="11"/>
  <c r="G49" i="11"/>
  <c r="H49" i="11"/>
  <c r="I49" i="11"/>
  <c r="J49" i="11"/>
  <c r="K49" i="11"/>
  <c r="L49" i="11"/>
  <c r="M49" i="11"/>
  <c r="N49" i="11"/>
  <c r="O49" i="11"/>
  <c r="P49" i="11"/>
  <c r="Q49" i="11"/>
  <c r="R49" i="11"/>
  <c r="S49" i="11"/>
  <c r="T49" i="11"/>
  <c r="U49" i="11"/>
  <c r="B50" i="11"/>
  <c r="C50" i="11"/>
  <c r="D50" i="11"/>
  <c r="E50" i="11"/>
  <c r="F50" i="1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B51" i="11"/>
  <c r="C51" i="11"/>
  <c r="D51" i="11"/>
  <c r="E51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B8" i="9"/>
  <c r="C8" i="9"/>
  <c r="D8" i="9"/>
  <c r="E8" i="9"/>
  <c r="F8" i="9"/>
  <c r="G8" i="9"/>
  <c r="H8" i="9"/>
  <c r="I8" i="9"/>
  <c r="J8" i="9"/>
  <c r="K8" i="9"/>
  <c r="L8" i="9"/>
  <c r="M8" i="9"/>
  <c r="N8" i="9"/>
  <c r="O8" i="9"/>
  <c r="P8" i="9"/>
  <c r="Q8" i="9"/>
  <c r="R8" i="9"/>
  <c r="S8" i="9"/>
  <c r="T8" i="9"/>
  <c r="U8" i="9"/>
  <c r="B9" i="9"/>
  <c r="C9" i="9"/>
  <c r="D9" i="9"/>
  <c r="E9" i="9"/>
  <c r="F9" i="9"/>
  <c r="G9" i="9"/>
  <c r="H9" i="9"/>
  <c r="I9" i="9"/>
  <c r="J9" i="9"/>
  <c r="K9" i="9"/>
  <c r="L9" i="9"/>
  <c r="M9" i="9"/>
  <c r="N9" i="9"/>
  <c r="O9" i="9"/>
  <c r="P9" i="9"/>
  <c r="Q9" i="9"/>
  <c r="R9" i="9"/>
  <c r="S9" i="9"/>
  <c r="T9" i="9"/>
  <c r="U9" i="9"/>
  <c r="B10" i="9"/>
  <c r="C10" i="9"/>
  <c r="D10" i="9"/>
  <c r="E10" i="9"/>
  <c r="F10" i="9"/>
  <c r="G10" i="9"/>
  <c r="H10" i="9"/>
  <c r="I10" i="9"/>
  <c r="J10" i="9"/>
  <c r="K10" i="9"/>
  <c r="L10" i="9"/>
  <c r="M10" i="9"/>
  <c r="N10" i="9"/>
  <c r="O10" i="9"/>
  <c r="P10" i="9"/>
  <c r="Q10" i="9"/>
  <c r="R10" i="9"/>
  <c r="S10" i="9"/>
  <c r="T10" i="9"/>
  <c r="U10" i="9"/>
  <c r="B11" i="9"/>
  <c r="C11" i="9"/>
  <c r="D11" i="9"/>
  <c r="E11" i="9"/>
  <c r="F11" i="9"/>
  <c r="G11" i="9"/>
  <c r="H11" i="9"/>
  <c r="I11" i="9"/>
  <c r="J11" i="9"/>
  <c r="K11" i="9"/>
  <c r="L11" i="9"/>
  <c r="M11" i="9"/>
  <c r="N11" i="9"/>
  <c r="O11" i="9"/>
  <c r="P11" i="9"/>
  <c r="Q11" i="9"/>
  <c r="R11" i="9"/>
  <c r="S11" i="9"/>
  <c r="T11" i="9"/>
  <c r="U11" i="9"/>
  <c r="B12" i="9"/>
  <c r="C12" i="9"/>
  <c r="D12" i="9"/>
  <c r="E12" i="9"/>
  <c r="F12" i="9"/>
  <c r="G12" i="9"/>
  <c r="H12" i="9"/>
  <c r="I12" i="9"/>
  <c r="J12" i="9"/>
  <c r="K12" i="9"/>
  <c r="L12" i="9"/>
  <c r="M12" i="9"/>
  <c r="N12" i="9"/>
  <c r="O12" i="9"/>
  <c r="P12" i="9"/>
  <c r="Q12" i="9"/>
  <c r="R12" i="9"/>
  <c r="S12" i="9"/>
  <c r="T12" i="9"/>
  <c r="U12" i="9"/>
  <c r="B13" i="9"/>
  <c r="C13" i="9"/>
  <c r="D13" i="9"/>
  <c r="E13" i="9"/>
  <c r="F13" i="9"/>
  <c r="G13" i="9"/>
  <c r="H13" i="9"/>
  <c r="I13" i="9"/>
  <c r="J13" i="9"/>
  <c r="K13" i="9"/>
  <c r="L13" i="9"/>
  <c r="M13" i="9"/>
  <c r="N13" i="9"/>
  <c r="O13" i="9"/>
  <c r="P13" i="9"/>
  <c r="Q13" i="9"/>
  <c r="R13" i="9"/>
  <c r="S13" i="9"/>
  <c r="T13" i="9"/>
  <c r="U13" i="9"/>
  <c r="B14" i="9"/>
  <c r="C14" i="9"/>
  <c r="D14" i="9"/>
  <c r="E14" i="9"/>
  <c r="F14" i="9"/>
  <c r="G14" i="9"/>
  <c r="H14" i="9"/>
  <c r="I14" i="9"/>
  <c r="J14" i="9"/>
  <c r="K14" i="9"/>
  <c r="L14" i="9"/>
  <c r="M14" i="9"/>
  <c r="N14" i="9"/>
  <c r="O14" i="9"/>
  <c r="P14" i="9"/>
  <c r="Q14" i="9"/>
  <c r="R14" i="9"/>
  <c r="S14" i="9"/>
  <c r="T14" i="9"/>
  <c r="U14" i="9"/>
  <c r="B15" i="9"/>
  <c r="C15" i="9"/>
  <c r="D15" i="9"/>
  <c r="E15" i="9"/>
  <c r="F15" i="9"/>
  <c r="G15" i="9"/>
  <c r="H15" i="9"/>
  <c r="I15" i="9"/>
  <c r="J15" i="9"/>
  <c r="K15" i="9"/>
  <c r="L15" i="9"/>
  <c r="M15" i="9"/>
  <c r="N15" i="9"/>
  <c r="O15" i="9"/>
  <c r="P15" i="9"/>
  <c r="Q15" i="9"/>
  <c r="R15" i="9"/>
  <c r="S15" i="9"/>
  <c r="T15" i="9"/>
  <c r="U15" i="9"/>
  <c r="B16" i="9"/>
  <c r="C16" i="9"/>
  <c r="D16" i="9"/>
  <c r="E16" i="9"/>
  <c r="F16" i="9"/>
  <c r="G16" i="9"/>
  <c r="H16" i="9"/>
  <c r="I16" i="9"/>
  <c r="J16" i="9"/>
  <c r="K16" i="9"/>
  <c r="L16" i="9"/>
  <c r="M16" i="9"/>
  <c r="N16" i="9"/>
  <c r="O16" i="9"/>
  <c r="P16" i="9"/>
  <c r="Q16" i="9"/>
  <c r="R16" i="9"/>
  <c r="S16" i="9"/>
  <c r="T16" i="9"/>
  <c r="U16" i="9"/>
  <c r="B17" i="9"/>
  <c r="C17" i="9"/>
  <c r="D17" i="9"/>
  <c r="E17" i="9"/>
  <c r="F17" i="9"/>
  <c r="G17" i="9"/>
  <c r="H17" i="9"/>
  <c r="I17" i="9"/>
  <c r="J17" i="9"/>
  <c r="K17" i="9"/>
  <c r="L17" i="9"/>
  <c r="M17" i="9"/>
  <c r="N17" i="9"/>
  <c r="O17" i="9"/>
  <c r="P17" i="9"/>
  <c r="Q17" i="9"/>
  <c r="R17" i="9"/>
  <c r="S17" i="9"/>
  <c r="T17" i="9"/>
  <c r="U17" i="9"/>
  <c r="B18" i="9"/>
  <c r="C18" i="9"/>
  <c r="D18" i="9"/>
  <c r="E18" i="9"/>
  <c r="F18" i="9"/>
  <c r="G18" i="9"/>
  <c r="H18" i="9"/>
  <c r="I18" i="9"/>
  <c r="J18" i="9"/>
  <c r="K18" i="9"/>
  <c r="L18" i="9"/>
  <c r="M18" i="9"/>
  <c r="N18" i="9"/>
  <c r="O18" i="9"/>
  <c r="P18" i="9"/>
  <c r="Q18" i="9"/>
  <c r="R18" i="9"/>
  <c r="S18" i="9"/>
  <c r="T18" i="9"/>
  <c r="U18" i="9"/>
  <c r="B19" i="9"/>
  <c r="C19" i="9"/>
  <c r="D19" i="9"/>
  <c r="E19" i="9"/>
  <c r="F19" i="9"/>
  <c r="G19" i="9"/>
  <c r="H19" i="9"/>
  <c r="I19" i="9"/>
  <c r="J19" i="9"/>
  <c r="K19" i="9"/>
  <c r="L19" i="9"/>
  <c r="M19" i="9"/>
  <c r="N19" i="9"/>
  <c r="O19" i="9"/>
  <c r="P19" i="9"/>
  <c r="Q19" i="9"/>
  <c r="R19" i="9"/>
  <c r="S19" i="9"/>
  <c r="T19" i="9"/>
  <c r="U19" i="9"/>
  <c r="B20" i="9"/>
  <c r="C20" i="9"/>
  <c r="D20" i="9"/>
  <c r="E20" i="9"/>
  <c r="F20" i="9"/>
  <c r="G20" i="9"/>
  <c r="H20" i="9"/>
  <c r="I20" i="9"/>
  <c r="J20" i="9"/>
  <c r="K20" i="9"/>
  <c r="L20" i="9"/>
  <c r="M20" i="9"/>
  <c r="N20" i="9"/>
  <c r="O20" i="9"/>
  <c r="P20" i="9"/>
  <c r="Q20" i="9"/>
  <c r="R20" i="9"/>
  <c r="S20" i="9"/>
  <c r="T20" i="9"/>
  <c r="U20" i="9"/>
  <c r="B21" i="9"/>
  <c r="C21" i="9"/>
  <c r="D21" i="9"/>
  <c r="E21" i="9"/>
  <c r="F21" i="9"/>
  <c r="G21" i="9"/>
  <c r="H21" i="9"/>
  <c r="I21" i="9"/>
  <c r="J21" i="9"/>
  <c r="K21" i="9"/>
  <c r="L21" i="9"/>
  <c r="M21" i="9"/>
  <c r="N21" i="9"/>
  <c r="O21" i="9"/>
  <c r="P21" i="9"/>
  <c r="Q21" i="9"/>
  <c r="R21" i="9"/>
  <c r="S21" i="9"/>
  <c r="T21" i="9"/>
  <c r="U21" i="9"/>
  <c r="B22" i="9"/>
  <c r="C22" i="9"/>
  <c r="D22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B23" i="9"/>
  <c r="C23" i="9"/>
  <c r="D23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B24" i="9"/>
  <c r="C24" i="9"/>
  <c r="D24" i="9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B25" i="9"/>
  <c r="C25" i="9"/>
  <c r="D25" i="9"/>
  <c r="E25" i="9"/>
  <c r="F25" i="9"/>
  <c r="G25" i="9"/>
  <c r="H25" i="9"/>
  <c r="I25" i="9"/>
  <c r="J25" i="9"/>
  <c r="K25" i="9"/>
  <c r="L25" i="9"/>
  <c r="M25" i="9"/>
  <c r="N25" i="9"/>
  <c r="O25" i="9"/>
  <c r="P25" i="9"/>
  <c r="Q25" i="9"/>
  <c r="R25" i="9"/>
  <c r="S25" i="9"/>
  <c r="T25" i="9"/>
  <c r="U25" i="9"/>
  <c r="B26" i="9"/>
  <c r="C26" i="9"/>
  <c r="D26" i="9"/>
  <c r="E26" i="9"/>
  <c r="F26" i="9"/>
  <c r="G26" i="9"/>
  <c r="H26" i="9"/>
  <c r="I26" i="9"/>
  <c r="J26" i="9"/>
  <c r="K26" i="9"/>
  <c r="L26" i="9"/>
  <c r="M26" i="9"/>
  <c r="N26" i="9"/>
  <c r="O26" i="9"/>
  <c r="P26" i="9"/>
  <c r="Q26" i="9"/>
  <c r="R26" i="9"/>
  <c r="S26" i="9"/>
  <c r="T26" i="9"/>
  <c r="U26" i="9"/>
  <c r="B27" i="9"/>
  <c r="D27" i="9"/>
  <c r="E27" i="9"/>
  <c r="F27" i="9"/>
  <c r="G27" i="9"/>
  <c r="H27" i="9"/>
  <c r="I27" i="9"/>
  <c r="J27" i="9"/>
  <c r="K27" i="9"/>
  <c r="L27" i="9"/>
  <c r="M27" i="9"/>
  <c r="N27" i="9"/>
  <c r="O27" i="9"/>
  <c r="P27" i="9"/>
  <c r="Q27" i="9"/>
  <c r="R27" i="9"/>
  <c r="S27" i="9"/>
  <c r="T27" i="9"/>
  <c r="U27" i="9"/>
  <c r="B28" i="9"/>
  <c r="C28" i="9"/>
  <c r="D28" i="9"/>
  <c r="E28" i="9"/>
  <c r="F28" i="9"/>
  <c r="G28" i="9"/>
  <c r="H28" i="9"/>
  <c r="I28" i="9"/>
  <c r="J28" i="9"/>
  <c r="K28" i="9"/>
  <c r="L28" i="9"/>
  <c r="M28" i="9"/>
  <c r="N28" i="9"/>
  <c r="O28" i="9"/>
  <c r="P28" i="9"/>
  <c r="Q28" i="9"/>
  <c r="R28" i="9"/>
  <c r="S28" i="9"/>
  <c r="T28" i="9"/>
  <c r="U28" i="9"/>
  <c r="B29" i="9"/>
  <c r="C29" i="9"/>
  <c r="D29" i="9"/>
  <c r="E29" i="9"/>
  <c r="F29" i="9"/>
  <c r="G29" i="9"/>
  <c r="H29" i="9"/>
  <c r="I29" i="9"/>
  <c r="J29" i="9"/>
  <c r="K29" i="9"/>
  <c r="L29" i="9"/>
  <c r="M29" i="9"/>
  <c r="N29" i="9"/>
  <c r="O29" i="9"/>
  <c r="P29" i="9"/>
  <c r="Q29" i="9"/>
  <c r="R29" i="9"/>
  <c r="S29" i="9"/>
  <c r="T29" i="9"/>
  <c r="U29" i="9"/>
  <c r="B30" i="9"/>
  <c r="C30" i="9"/>
  <c r="D30" i="9"/>
  <c r="E30" i="9"/>
  <c r="F30" i="9"/>
  <c r="G30" i="9"/>
  <c r="H30" i="9"/>
  <c r="I30" i="9"/>
  <c r="J30" i="9"/>
  <c r="K30" i="9"/>
  <c r="L30" i="9"/>
  <c r="M30" i="9"/>
  <c r="N30" i="9"/>
  <c r="O30" i="9"/>
  <c r="P30" i="9"/>
  <c r="Q30" i="9"/>
  <c r="R30" i="9"/>
  <c r="S30" i="9"/>
  <c r="T30" i="9"/>
  <c r="U30" i="9"/>
  <c r="B31" i="9"/>
  <c r="C31" i="9"/>
  <c r="D31" i="9"/>
  <c r="E31" i="9"/>
  <c r="F31" i="9"/>
  <c r="G31" i="9"/>
  <c r="H31" i="9"/>
  <c r="I31" i="9"/>
  <c r="J31" i="9"/>
  <c r="K31" i="9"/>
  <c r="L31" i="9"/>
  <c r="M31" i="9"/>
  <c r="N31" i="9"/>
  <c r="O31" i="9"/>
  <c r="P31" i="9"/>
  <c r="Q31" i="9"/>
  <c r="R31" i="9"/>
  <c r="S31" i="9"/>
  <c r="T31" i="9"/>
  <c r="U31" i="9"/>
  <c r="B32" i="9"/>
  <c r="C32" i="9"/>
  <c r="D32" i="9"/>
  <c r="E32" i="9"/>
  <c r="F32" i="9"/>
  <c r="G32" i="9"/>
  <c r="H32" i="9"/>
  <c r="I32" i="9"/>
  <c r="J32" i="9"/>
  <c r="K32" i="9"/>
  <c r="L32" i="9"/>
  <c r="M32" i="9"/>
  <c r="N32" i="9"/>
  <c r="O32" i="9"/>
  <c r="P32" i="9"/>
  <c r="Q32" i="9"/>
  <c r="R32" i="9"/>
  <c r="S32" i="9"/>
  <c r="T32" i="9"/>
  <c r="U32" i="9"/>
  <c r="B33" i="9"/>
  <c r="C33" i="9"/>
  <c r="D33" i="9"/>
  <c r="E33" i="9"/>
  <c r="F33" i="9"/>
  <c r="G33" i="9"/>
  <c r="H33" i="9"/>
  <c r="I33" i="9"/>
  <c r="J33" i="9"/>
  <c r="K33" i="9"/>
  <c r="L33" i="9"/>
  <c r="M33" i="9"/>
  <c r="N33" i="9"/>
  <c r="O33" i="9"/>
  <c r="P33" i="9"/>
  <c r="Q33" i="9"/>
  <c r="R33" i="9"/>
  <c r="S33" i="9"/>
  <c r="T33" i="9"/>
  <c r="U33" i="9"/>
  <c r="B34" i="9"/>
  <c r="C34" i="9"/>
  <c r="D34" i="9"/>
  <c r="E34" i="9"/>
  <c r="F34" i="9"/>
  <c r="G34" i="9"/>
  <c r="H34" i="9"/>
  <c r="I34" i="9"/>
  <c r="J34" i="9"/>
  <c r="K34" i="9"/>
  <c r="L34" i="9"/>
  <c r="M34" i="9"/>
  <c r="N34" i="9"/>
  <c r="O34" i="9"/>
  <c r="P34" i="9"/>
  <c r="Q34" i="9"/>
  <c r="R34" i="9"/>
  <c r="S34" i="9"/>
  <c r="T34" i="9"/>
  <c r="U34" i="9"/>
  <c r="B35" i="9"/>
  <c r="C35" i="9"/>
  <c r="D35" i="9"/>
  <c r="E35" i="9"/>
  <c r="F35" i="9"/>
  <c r="G35" i="9"/>
  <c r="H35" i="9"/>
  <c r="I35" i="9"/>
  <c r="J35" i="9"/>
  <c r="K35" i="9"/>
  <c r="L35" i="9"/>
  <c r="M35" i="9"/>
  <c r="N35" i="9"/>
  <c r="O35" i="9"/>
  <c r="P35" i="9"/>
  <c r="Q35" i="9"/>
  <c r="R35" i="9"/>
  <c r="S35" i="9"/>
  <c r="T35" i="9"/>
  <c r="U35" i="9"/>
  <c r="B36" i="9"/>
  <c r="C36" i="9"/>
  <c r="D36" i="9"/>
  <c r="E36" i="9"/>
  <c r="F36" i="9"/>
  <c r="G36" i="9"/>
  <c r="H36" i="9"/>
  <c r="I36" i="9"/>
  <c r="J36" i="9"/>
  <c r="K36" i="9"/>
  <c r="L36" i="9"/>
  <c r="M36" i="9"/>
  <c r="N36" i="9"/>
  <c r="O36" i="9"/>
  <c r="P36" i="9"/>
  <c r="Q36" i="9"/>
  <c r="R36" i="9"/>
  <c r="S36" i="9"/>
  <c r="T36" i="9"/>
  <c r="U36" i="9"/>
  <c r="B37" i="9"/>
  <c r="C37" i="9"/>
  <c r="D37" i="9"/>
  <c r="E37" i="9"/>
  <c r="F37" i="9"/>
  <c r="G37" i="9"/>
  <c r="H37" i="9"/>
  <c r="I37" i="9"/>
  <c r="J37" i="9"/>
  <c r="K37" i="9"/>
  <c r="L37" i="9"/>
  <c r="M37" i="9"/>
  <c r="N37" i="9"/>
  <c r="O37" i="9"/>
  <c r="P37" i="9"/>
  <c r="Q37" i="9"/>
  <c r="R37" i="9"/>
  <c r="S37" i="9"/>
  <c r="T37" i="9"/>
  <c r="U37" i="9"/>
  <c r="B38" i="9"/>
  <c r="C38" i="9"/>
  <c r="D38" i="9"/>
  <c r="E38" i="9"/>
  <c r="F38" i="9"/>
  <c r="G38" i="9"/>
  <c r="H38" i="9"/>
  <c r="I38" i="9"/>
  <c r="J38" i="9"/>
  <c r="K38" i="9"/>
  <c r="L38" i="9"/>
  <c r="M38" i="9"/>
  <c r="N38" i="9"/>
  <c r="O38" i="9"/>
  <c r="P38" i="9"/>
  <c r="Q38" i="9"/>
  <c r="R38" i="9"/>
  <c r="S38" i="9"/>
  <c r="T38" i="9"/>
  <c r="U38" i="9"/>
  <c r="B39" i="9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T39" i="9"/>
  <c r="U39" i="9"/>
  <c r="B40" i="9"/>
  <c r="C40" i="9"/>
  <c r="D40" i="9"/>
  <c r="E40" i="9"/>
  <c r="F40" i="9"/>
  <c r="G40" i="9"/>
  <c r="H40" i="9"/>
  <c r="I40" i="9"/>
  <c r="J40" i="9"/>
  <c r="K40" i="9"/>
  <c r="L40" i="9"/>
  <c r="M40" i="9"/>
  <c r="N40" i="9"/>
  <c r="O40" i="9"/>
  <c r="P40" i="9"/>
  <c r="Q40" i="9"/>
  <c r="R40" i="9"/>
  <c r="S40" i="9"/>
  <c r="T40" i="9"/>
  <c r="U40" i="9"/>
  <c r="B42" i="9"/>
  <c r="C42" i="9"/>
  <c r="D42" i="9"/>
  <c r="E42" i="9"/>
  <c r="F42" i="9"/>
  <c r="G42" i="9"/>
  <c r="H42" i="9"/>
  <c r="I42" i="9"/>
  <c r="J42" i="9"/>
  <c r="K42" i="9"/>
  <c r="L42" i="9"/>
  <c r="M42" i="9"/>
  <c r="N42" i="9"/>
  <c r="O42" i="9"/>
  <c r="P42" i="9"/>
  <c r="Q42" i="9"/>
  <c r="R42" i="9"/>
  <c r="S42" i="9"/>
  <c r="T42" i="9"/>
  <c r="U42" i="9"/>
  <c r="B43" i="9"/>
  <c r="C43" i="9"/>
  <c r="D43" i="9"/>
  <c r="E43" i="9"/>
  <c r="F43" i="9"/>
  <c r="G43" i="9"/>
  <c r="H43" i="9"/>
  <c r="I43" i="9"/>
  <c r="J43" i="9"/>
  <c r="K43" i="9"/>
  <c r="L43" i="9"/>
  <c r="M43" i="9"/>
  <c r="N43" i="9"/>
  <c r="O43" i="9"/>
  <c r="P43" i="9"/>
  <c r="Q43" i="9"/>
  <c r="R43" i="9"/>
  <c r="S43" i="9"/>
  <c r="T43" i="9"/>
  <c r="U43" i="9"/>
  <c r="B44" i="9"/>
  <c r="C44" i="9"/>
  <c r="D44" i="9"/>
  <c r="E44" i="9"/>
  <c r="F44" i="9"/>
  <c r="G44" i="9"/>
  <c r="H44" i="9"/>
  <c r="I44" i="9"/>
  <c r="J44" i="9"/>
  <c r="K44" i="9"/>
  <c r="L44" i="9"/>
  <c r="M44" i="9"/>
  <c r="N44" i="9"/>
  <c r="O44" i="9"/>
  <c r="P44" i="9"/>
  <c r="Q44" i="9"/>
  <c r="R44" i="9"/>
  <c r="S44" i="9"/>
  <c r="T44" i="9"/>
  <c r="U44" i="9"/>
  <c r="B45" i="9"/>
  <c r="C45" i="9"/>
  <c r="D45" i="9"/>
  <c r="E45" i="9"/>
  <c r="F45" i="9"/>
  <c r="G45" i="9"/>
  <c r="H45" i="9"/>
  <c r="I45" i="9"/>
  <c r="J45" i="9"/>
  <c r="K45" i="9"/>
  <c r="L45" i="9"/>
  <c r="M45" i="9"/>
  <c r="N45" i="9"/>
  <c r="O45" i="9"/>
  <c r="P45" i="9"/>
  <c r="Q45" i="9"/>
  <c r="R45" i="9"/>
  <c r="S45" i="9"/>
  <c r="T45" i="9"/>
  <c r="U45" i="9"/>
  <c r="B46" i="9"/>
  <c r="C46" i="9"/>
  <c r="D46" i="9"/>
  <c r="E46" i="9"/>
  <c r="F46" i="9"/>
  <c r="G46" i="9"/>
  <c r="H46" i="9"/>
  <c r="I46" i="9"/>
  <c r="J46" i="9"/>
  <c r="K46" i="9"/>
  <c r="L46" i="9"/>
  <c r="M46" i="9"/>
  <c r="N46" i="9"/>
  <c r="O46" i="9"/>
  <c r="P46" i="9"/>
  <c r="Q46" i="9"/>
  <c r="R46" i="9"/>
  <c r="S46" i="9"/>
  <c r="T46" i="9"/>
  <c r="U46" i="9"/>
  <c r="B47" i="9"/>
  <c r="C47" i="9"/>
  <c r="D47" i="9"/>
  <c r="E47" i="9"/>
  <c r="F47" i="9"/>
  <c r="G47" i="9"/>
  <c r="H47" i="9"/>
  <c r="I47" i="9"/>
  <c r="J47" i="9"/>
  <c r="K47" i="9"/>
  <c r="L47" i="9"/>
  <c r="M47" i="9"/>
  <c r="N47" i="9"/>
  <c r="O47" i="9"/>
  <c r="P47" i="9"/>
  <c r="Q47" i="9"/>
  <c r="R47" i="9"/>
  <c r="S47" i="9"/>
  <c r="T47" i="9"/>
  <c r="U47" i="9"/>
  <c r="E6" i="9"/>
  <c r="F6" i="9"/>
  <c r="G6" i="9"/>
  <c r="H6" i="9"/>
  <c r="B8" i="37"/>
  <c r="C8" i="37"/>
  <c r="B9" i="37"/>
  <c r="C9" i="37"/>
  <c r="B10" i="37"/>
  <c r="C10" i="37"/>
  <c r="B11" i="37"/>
  <c r="C11" i="37"/>
  <c r="B12" i="37"/>
  <c r="C12" i="37"/>
  <c r="B13" i="37"/>
  <c r="C13" i="37"/>
  <c r="B14" i="37"/>
  <c r="C14" i="37"/>
  <c r="B15" i="37"/>
  <c r="C15" i="37"/>
  <c r="B16" i="37"/>
  <c r="C16" i="37"/>
  <c r="B17" i="37"/>
  <c r="C17" i="37"/>
  <c r="B18" i="37"/>
  <c r="C18" i="37"/>
  <c r="B19" i="37"/>
  <c r="C19" i="37"/>
  <c r="B20" i="37"/>
  <c r="C20" i="37"/>
  <c r="B21" i="37"/>
  <c r="C21" i="37"/>
  <c r="B22" i="37"/>
  <c r="C22" i="37"/>
  <c r="B23" i="37"/>
  <c r="C23" i="37"/>
  <c r="B24" i="37"/>
  <c r="C24" i="37"/>
  <c r="B25" i="37"/>
  <c r="C25" i="37"/>
  <c r="B26" i="37"/>
  <c r="C26" i="37"/>
  <c r="B27" i="37"/>
  <c r="C27" i="37"/>
  <c r="B28" i="37"/>
  <c r="C28" i="37"/>
  <c r="B29" i="37"/>
  <c r="B30" i="37"/>
  <c r="C30" i="37"/>
  <c r="B31" i="37"/>
  <c r="C31" i="37"/>
  <c r="B32" i="37"/>
  <c r="C32" i="37"/>
  <c r="B33" i="37"/>
  <c r="C33" i="37"/>
  <c r="B34" i="37"/>
  <c r="C34" i="37"/>
  <c r="B35" i="37"/>
  <c r="C35" i="37"/>
  <c r="B36" i="37"/>
  <c r="C36" i="37"/>
  <c r="B37" i="37"/>
  <c r="C37" i="37"/>
  <c r="B38" i="37"/>
  <c r="C38" i="37"/>
  <c r="B39" i="37"/>
  <c r="C39" i="37"/>
  <c r="B40" i="37"/>
  <c r="C40" i="37"/>
  <c r="B41" i="37"/>
  <c r="C41" i="37"/>
  <c r="B42" i="37"/>
  <c r="C42" i="37"/>
  <c r="B44" i="37"/>
  <c r="C44" i="37"/>
  <c r="B45" i="37"/>
  <c r="C45" i="37"/>
  <c r="B46" i="37"/>
  <c r="C46" i="37"/>
  <c r="B47" i="37"/>
  <c r="C47" i="37"/>
  <c r="B48" i="37"/>
  <c r="C48" i="37"/>
  <c r="B49" i="37"/>
  <c r="C49" i="37"/>
  <c r="B50" i="37"/>
  <c r="C50" i="37"/>
  <c r="B51" i="37"/>
  <c r="C51" i="37"/>
  <c r="V40" i="11" l="1"/>
  <c r="V20" i="11"/>
  <c r="V8" i="12"/>
  <c r="V8" i="9"/>
  <c r="V6" i="14"/>
  <c r="V29" i="14"/>
  <c r="V30" i="14"/>
  <c r="V31" i="14"/>
  <c r="V32" i="14"/>
  <c r="V33" i="14"/>
  <c r="V34" i="14"/>
  <c r="V35" i="14"/>
  <c r="V36" i="14"/>
  <c r="V37" i="14"/>
  <c r="V38" i="14"/>
  <c r="V39" i="14"/>
  <c r="V40" i="14"/>
  <c r="V41" i="14"/>
  <c r="V42" i="14"/>
  <c r="V44" i="14"/>
  <c r="V45" i="14"/>
  <c r="V46" i="14"/>
  <c r="V47" i="14"/>
  <c r="V48" i="14"/>
  <c r="V49" i="14"/>
  <c r="V50" i="14"/>
  <c r="V51" i="14"/>
  <c r="V38" i="12"/>
  <c r="V30" i="12"/>
  <c r="V45" i="12"/>
  <c r="V20" i="12"/>
  <c r="V16" i="12"/>
  <c r="V25" i="12"/>
  <c r="V31" i="11"/>
  <c r="V15" i="11"/>
  <c r="V25" i="11"/>
  <c r="V22" i="11"/>
  <c r="V8" i="11"/>
  <c r="V49" i="11"/>
  <c r="V36" i="11"/>
  <c r="V28" i="11"/>
  <c r="V18" i="11"/>
  <c r="V34" i="9"/>
  <c r="V43" i="9"/>
  <c r="V45" i="11"/>
  <c r="V34" i="11"/>
  <c r="V38" i="11"/>
  <c r="V11" i="11"/>
  <c r="V18" i="12"/>
  <c r="V22" i="12"/>
  <c r="V12" i="12"/>
  <c r="V14" i="12"/>
  <c r="V34" i="12"/>
  <c r="V38" i="9"/>
  <c r="V18" i="9"/>
  <c r="V14" i="9"/>
  <c r="V30" i="9"/>
  <c r="V20" i="9"/>
  <c r="V25" i="9"/>
  <c r="V16" i="9"/>
  <c r="V19" i="9"/>
  <c r="V12" i="9"/>
  <c r="V22" i="9"/>
  <c r="V23" i="9"/>
  <c r="V21" i="9"/>
  <c r="V40" i="12"/>
  <c r="V26" i="12"/>
  <c r="V21" i="12"/>
  <c r="V17" i="12"/>
  <c r="V13" i="12"/>
  <c r="V47" i="12"/>
  <c r="V28" i="12"/>
  <c r="V23" i="12"/>
  <c r="V19" i="12"/>
  <c r="V15" i="12"/>
  <c r="V46" i="12"/>
  <c r="V39" i="12"/>
  <c r="V32" i="12"/>
  <c r="V44" i="12"/>
  <c r="V43" i="12"/>
  <c r="V36" i="12"/>
  <c r="V24" i="12"/>
  <c r="V11" i="12"/>
  <c r="V42" i="12"/>
  <c r="V35" i="12"/>
  <c r="V31" i="12"/>
  <c r="V27" i="12"/>
  <c r="V37" i="12"/>
  <c r="V33" i="12"/>
  <c r="V29" i="12"/>
  <c r="V10" i="12"/>
  <c r="V29" i="11"/>
  <c r="V50" i="11"/>
  <c r="V42" i="11"/>
  <c r="V37" i="11"/>
  <c r="V33" i="11"/>
  <c r="V27" i="11"/>
  <c r="V21" i="11"/>
  <c r="V17" i="11"/>
  <c r="V9" i="11"/>
  <c r="V48" i="11"/>
  <c r="V39" i="11"/>
  <c r="V35" i="11"/>
  <c r="V30" i="11"/>
  <c r="V23" i="11"/>
  <c r="V19" i="11"/>
  <c r="V13" i="11"/>
  <c r="V47" i="9"/>
  <c r="V44" i="9"/>
  <c r="V40" i="9"/>
  <c r="V32" i="9"/>
  <c r="V26" i="9"/>
  <c r="V36" i="9"/>
  <c r="V28" i="9"/>
  <c r="V46" i="9"/>
  <c r="V39" i="9"/>
  <c r="V35" i="9"/>
  <c r="V31" i="9"/>
  <c r="V27" i="9"/>
  <c r="V10" i="9"/>
  <c r="V45" i="9"/>
  <c r="V42" i="9"/>
  <c r="V37" i="9"/>
  <c r="V33" i="9"/>
  <c r="V29" i="9"/>
  <c r="V24" i="9"/>
  <c r="V7" i="14"/>
  <c r="V8" i="14"/>
  <c r="V9" i="14"/>
  <c r="V10" i="14"/>
  <c r="V11" i="14"/>
  <c r="V12" i="14"/>
  <c r="V13" i="14"/>
  <c r="V14" i="14"/>
  <c r="V15" i="14"/>
  <c r="V16" i="14"/>
  <c r="V17" i="14"/>
  <c r="V18" i="14"/>
  <c r="V19" i="14"/>
  <c r="V20" i="14"/>
  <c r="V21" i="14"/>
  <c r="V22" i="14"/>
  <c r="V23" i="14"/>
  <c r="V24" i="14"/>
  <c r="V25" i="14"/>
  <c r="V26" i="14"/>
  <c r="V27" i="14"/>
  <c r="V28" i="14"/>
  <c r="V9" i="12"/>
  <c r="V41" i="11"/>
  <c r="V32" i="11"/>
  <c r="V26" i="11"/>
  <c r="V16" i="11"/>
  <c r="V12" i="11"/>
  <c r="V47" i="11"/>
  <c r="V46" i="11"/>
  <c r="V51" i="11"/>
  <c r="V44" i="11"/>
  <c r="V24" i="11"/>
  <c r="V14" i="11"/>
  <c r="V10" i="11"/>
  <c r="V17" i="9"/>
  <c r="V13" i="9"/>
  <c r="V9" i="9"/>
  <c r="V15" i="9"/>
  <c r="V11" i="9"/>
  <c r="B8" i="36"/>
  <c r="C8" i="36"/>
  <c r="B9" i="36"/>
  <c r="C9" i="36"/>
  <c r="B10" i="36"/>
  <c r="C10" i="36"/>
  <c r="B11" i="36"/>
  <c r="C11" i="36"/>
  <c r="B12" i="36"/>
  <c r="C12" i="36"/>
  <c r="B13" i="36"/>
  <c r="C13" i="36"/>
  <c r="B14" i="36"/>
  <c r="C14" i="36"/>
  <c r="B15" i="36"/>
  <c r="C15" i="36"/>
  <c r="B16" i="36"/>
  <c r="C16" i="36"/>
  <c r="B17" i="36"/>
  <c r="C17" i="36"/>
  <c r="B18" i="36"/>
  <c r="C18" i="36"/>
  <c r="B19" i="36"/>
  <c r="C19" i="36"/>
  <c r="B20" i="36"/>
  <c r="C20" i="36"/>
  <c r="B21" i="36"/>
  <c r="C21" i="36"/>
  <c r="B22" i="36"/>
  <c r="C22" i="36"/>
  <c r="B23" i="36"/>
  <c r="C23" i="36"/>
  <c r="B24" i="36"/>
  <c r="C24" i="36"/>
  <c r="B25" i="36"/>
  <c r="C25" i="36"/>
  <c r="B26" i="36"/>
  <c r="C26" i="36"/>
  <c r="B27" i="36"/>
  <c r="B28" i="36"/>
  <c r="C28" i="36"/>
  <c r="B29" i="36"/>
  <c r="C29" i="36"/>
  <c r="B30" i="36"/>
  <c r="C30" i="36"/>
  <c r="B31" i="36"/>
  <c r="C31" i="36"/>
  <c r="B32" i="36"/>
  <c r="C32" i="36"/>
  <c r="B33" i="36"/>
  <c r="C33" i="36"/>
  <c r="B34" i="36"/>
  <c r="C34" i="36"/>
  <c r="B35" i="36"/>
  <c r="C35" i="36"/>
  <c r="B36" i="36"/>
  <c r="C36" i="36"/>
  <c r="B37" i="36"/>
  <c r="C37" i="36"/>
  <c r="B38" i="36"/>
  <c r="C38" i="36"/>
  <c r="B39" i="36"/>
  <c r="C39" i="36"/>
  <c r="B40" i="36"/>
  <c r="C40" i="36"/>
  <c r="B42" i="36"/>
  <c r="C42" i="36"/>
  <c r="B43" i="36"/>
  <c r="C43" i="36"/>
  <c r="B44" i="36"/>
  <c r="C44" i="36"/>
  <c r="B45" i="36"/>
  <c r="C45" i="36"/>
  <c r="B46" i="36"/>
  <c r="C46" i="36"/>
  <c r="B47" i="36"/>
  <c r="C47" i="36"/>
  <c r="B8" i="20"/>
  <c r="C8" i="20"/>
  <c r="B9" i="20"/>
  <c r="C9" i="20"/>
  <c r="B10" i="20"/>
  <c r="C10" i="20"/>
  <c r="B11" i="20"/>
  <c r="C11" i="20"/>
  <c r="B12" i="20"/>
  <c r="C12" i="20"/>
  <c r="B13" i="20"/>
  <c r="C13" i="20"/>
  <c r="B14" i="20"/>
  <c r="C14" i="20"/>
  <c r="B15" i="20"/>
  <c r="C15" i="20"/>
  <c r="B16" i="20"/>
  <c r="C16" i="20"/>
  <c r="B17" i="20"/>
  <c r="C17" i="20"/>
  <c r="B18" i="20"/>
  <c r="C18" i="20"/>
  <c r="B19" i="20"/>
  <c r="C19" i="20"/>
  <c r="B20" i="20"/>
  <c r="C20" i="20"/>
  <c r="B21" i="20"/>
  <c r="C21" i="20"/>
  <c r="B22" i="20"/>
  <c r="C22" i="20"/>
  <c r="B23" i="20"/>
  <c r="C23" i="20"/>
  <c r="B24" i="20"/>
  <c r="C24" i="20"/>
  <c r="B25" i="20"/>
  <c r="C25" i="20"/>
  <c r="B26" i="20"/>
  <c r="C26" i="20"/>
  <c r="B27" i="20"/>
  <c r="C27" i="20"/>
  <c r="B28" i="20"/>
  <c r="C28" i="20"/>
  <c r="B29" i="20"/>
  <c r="B30" i="20"/>
  <c r="C30" i="20"/>
  <c r="B31" i="20"/>
  <c r="C31" i="20"/>
  <c r="B32" i="20"/>
  <c r="C32" i="20"/>
  <c r="B33" i="20"/>
  <c r="C33" i="20"/>
  <c r="B34" i="20"/>
  <c r="C34" i="20"/>
  <c r="B35" i="20"/>
  <c r="C35" i="20"/>
  <c r="B36" i="20"/>
  <c r="C36" i="20"/>
  <c r="B37" i="20"/>
  <c r="C37" i="20"/>
  <c r="B38" i="20"/>
  <c r="C38" i="20"/>
  <c r="B39" i="20"/>
  <c r="C39" i="20"/>
  <c r="B40" i="20"/>
  <c r="C40" i="20"/>
  <c r="B41" i="20"/>
  <c r="C41" i="20"/>
  <c r="B42" i="20"/>
  <c r="C42" i="20"/>
  <c r="B44" i="20"/>
  <c r="C44" i="20"/>
  <c r="B45" i="20"/>
  <c r="C45" i="20"/>
  <c r="B46" i="20"/>
  <c r="C46" i="20"/>
  <c r="B47" i="20"/>
  <c r="C47" i="20"/>
  <c r="B48" i="20"/>
  <c r="C48" i="20"/>
  <c r="B49" i="20"/>
  <c r="C49" i="20"/>
  <c r="B50" i="20"/>
  <c r="C50" i="20"/>
  <c r="B51" i="20"/>
  <c r="C51" i="20"/>
  <c r="B48" i="19"/>
  <c r="C48" i="19"/>
  <c r="D8" i="23"/>
  <c r="H8" i="23"/>
  <c r="J8" i="23"/>
  <c r="L8" i="23"/>
  <c r="D9" i="23"/>
  <c r="H9" i="23"/>
  <c r="J9" i="23"/>
  <c r="L9" i="23"/>
  <c r="D10" i="23"/>
  <c r="H10" i="23"/>
  <c r="J10" i="23"/>
  <c r="L10" i="23"/>
  <c r="D11" i="23"/>
  <c r="H11" i="23"/>
  <c r="J11" i="23"/>
  <c r="L11" i="23"/>
  <c r="D12" i="23"/>
  <c r="H12" i="23"/>
  <c r="J12" i="23"/>
  <c r="L12" i="23"/>
  <c r="D13" i="23"/>
  <c r="H13" i="23"/>
  <c r="J13" i="23"/>
  <c r="L13" i="23"/>
  <c r="D14" i="23"/>
  <c r="H14" i="23"/>
  <c r="J14" i="23"/>
  <c r="L14" i="23"/>
  <c r="D15" i="23"/>
  <c r="F15" i="23"/>
  <c r="H15" i="23"/>
  <c r="J15" i="23"/>
  <c r="L15" i="23"/>
  <c r="D16" i="23"/>
  <c r="F16" i="23"/>
  <c r="H16" i="23"/>
  <c r="J16" i="23"/>
  <c r="L16" i="23"/>
  <c r="D17" i="23"/>
  <c r="F17" i="23"/>
  <c r="H17" i="23"/>
  <c r="J17" i="23"/>
  <c r="L17" i="23"/>
  <c r="D18" i="23"/>
  <c r="F18" i="23"/>
  <c r="H18" i="23"/>
  <c r="J18" i="23"/>
  <c r="L18" i="23"/>
  <c r="D19" i="23"/>
  <c r="F19" i="23"/>
  <c r="H19" i="23"/>
  <c r="J19" i="23"/>
  <c r="L19" i="23"/>
  <c r="D20" i="23"/>
  <c r="F20" i="23"/>
  <c r="H20" i="23"/>
  <c r="J20" i="23"/>
  <c r="L20" i="23"/>
  <c r="D21" i="23"/>
  <c r="F21" i="23"/>
  <c r="H21" i="23"/>
  <c r="J21" i="23"/>
  <c r="L21" i="23"/>
  <c r="D22" i="23"/>
  <c r="F22" i="23"/>
  <c r="H22" i="23"/>
  <c r="J22" i="23"/>
  <c r="L22" i="23"/>
  <c r="D23" i="23"/>
  <c r="F23" i="23"/>
  <c r="H23" i="23"/>
  <c r="J23" i="23"/>
  <c r="L23" i="23"/>
  <c r="D24" i="23"/>
  <c r="F24" i="23"/>
  <c r="H24" i="23"/>
  <c r="J24" i="23"/>
  <c r="L24" i="23"/>
  <c r="D25" i="23"/>
  <c r="F25" i="23"/>
  <c r="H25" i="23"/>
  <c r="J25" i="23"/>
  <c r="L25" i="23"/>
  <c r="D26" i="23"/>
  <c r="F26" i="23"/>
  <c r="H26" i="23"/>
  <c r="J26" i="23"/>
  <c r="L26" i="23"/>
  <c r="D27" i="23"/>
  <c r="F27" i="23"/>
  <c r="H27" i="23"/>
  <c r="J27" i="23"/>
  <c r="L27" i="23"/>
  <c r="D28" i="23"/>
  <c r="F28" i="23"/>
  <c r="H28" i="23"/>
  <c r="J28" i="23"/>
  <c r="L28" i="23"/>
  <c r="D29" i="23"/>
  <c r="F29" i="23"/>
  <c r="H29" i="23"/>
  <c r="J29" i="23"/>
  <c r="L29" i="23"/>
  <c r="D30" i="23"/>
  <c r="F30" i="23"/>
  <c r="H30" i="23"/>
  <c r="J30" i="23"/>
  <c r="L30" i="23"/>
  <c r="D31" i="23"/>
  <c r="F31" i="23"/>
  <c r="H31" i="23"/>
  <c r="J31" i="23"/>
  <c r="L31" i="23"/>
  <c r="D32" i="23"/>
  <c r="F32" i="23"/>
  <c r="H32" i="23"/>
  <c r="J32" i="23"/>
  <c r="L32" i="23"/>
  <c r="D33" i="23"/>
  <c r="F33" i="23"/>
  <c r="H33" i="23"/>
  <c r="J33" i="23"/>
  <c r="L33" i="23"/>
  <c r="D34" i="23"/>
  <c r="F34" i="23"/>
  <c r="H34" i="23"/>
  <c r="J34" i="23"/>
  <c r="L34" i="23"/>
  <c r="D35" i="23"/>
  <c r="F35" i="23"/>
  <c r="H35" i="23"/>
  <c r="J35" i="23"/>
  <c r="L35" i="23"/>
  <c r="D36" i="23"/>
  <c r="F36" i="23"/>
  <c r="H36" i="23"/>
  <c r="J36" i="23"/>
  <c r="L36" i="23"/>
  <c r="D37" i="23"/>
  <c r="F37" i="23"/>
  <c r="H37" i="23"/>
  <c r="J37" i="23"/>
  <c r="L37" i="23"/>
  <c r="D8" i="8"/>
  <c r="J8" i="8"/>
  <c r="D9" i="8"/>
  <c r="J9" i="8"/>
  <c r="D10" i="8"/>
  <c r="J10" i="8"/>
  <c r="D11" i="8"/>
  <c r="J11" i="8"/>
  <c r="D12" i="8"/>
  <c r="J12" i="8"/>
  <c r="D13" i="8"/>
  <c r="J13" i="8"/>
  <c r="D14" i="8"/>
  <c r="J14" i="8"/>
  <c r="D15" i="8"/>
  <c r="J15" i="8"/>
  <c r="D16" i="8"/>
  <c r="J16" i="8"/>
  <c r="D17" i="8"/>
  <c r="F17" i="8"/>
  <c r="H17" i="8"/>
  <c r="J17" i="8"/>
  <c r="L17" i="8"/>
  <c r="D18" i="8"/>
  <c r="F18" i="8"/>
  <c r="H18" i="8"/>
  <c r="J18" i="8"/>
  <c r="L18" i="8"/>
  <c r="D19" i="8"/>
  <c r="F19" i="8"/>
  <c r="H19" i="8"/>
  <c r="J19" i="8"/>
  <c r="L19" i="8"/>
  <c r="D20" i="8"/>
  <c r="F20" i="8"/>
  <c r="H20" i="8"/>
  <c r="J20" i="8"/>
  <c r="L20" i="8"/>
  <c r="D21" i="8"/>
  <c r="F21" i="8"/>
  <c r="H21" i="8"/>
  <c r="J21" i="8"/>
  <c r="L21" i="8"/>
  <c r="D22" i="8"/>
  <c r="F22" i="8"/>
  <c r="H22" i="8"/>
  <c r="J22" i="8"/>
  <c r="L22" i="8"/>
  <c r="D23" i="8"/>
  <c r="F23" i="8"/>
  <c r="H23" i="8"/>
  <c r="J23" i="8"/>
  <c r="L23" i="8"/>
  <c r="D24" i="8"/>
  <c r="F24" i="8"/>
  <c r="H24" i="8"/>
  <c r="J24" i="8"/>
  <c r="L24" i="8"/>
  <c r="J25" i="8"/>
  <c r="J26" i="8"/>
  <c r="J27" i="8"/>
  <c r="J28" i="8"/>
  <c r="J29" i="8"/>
  <c r="J30" i="8"/>
  <c r="J31" i="8"/>
  <c r="J32" i="8"/>
  <c r="J33" i="8"/>
  <c r="J34" i="8"/>
  <c r="J35" i="8"/>
  <c r="B7" i="9" l="1"/>
  <c r="C7" i="9"/>
  <c r="D7" i="9"/>
  <c r="E7" i="9"/>
  <c r="F7" i="9"/>
  <c r="G7" i="9"/>
  <c r="H7" i="9"/>
  <c r="I7" i="9"/>
  <c r="J7" i="9"/>
  <c r="K7" i="9"/>
  <c r="L7" i="9"/>
  <c r="M7" i="9"/>
  <c r="N7" i="9"/>
  <c r="O7" i="9"/>
  <c r="P7" i="9"/>
  <c r="Q7" i="9"/>
  <c r="R7" i="9"/>
  <c r="S7" i="9"/>
  <c r="T7" i="9"/>
  <c r="U7" i="9"/>
  <c r="AQ2" i="37"/>
  <c r="AS2" i="37" s="1"/>
  <c r="AM3" i="37"/>
  <c r="AL3" i="37"/>
  <c r="B7" i="37"/>
  <c r="C7" i="37"/>
  <c r="C6" i="37"/>
  <c r="AM3" i="36"/>
  <c r="AQ2" i="36"/>
  <c r="AS2" i="36" s="1"/>
  <c r="B7" i="36"/>
  <c r="C7" i="36"/>
  <c r="C6" i="36"/>
  <c r="C7" i="20"/>
  <c r="C6" i="20"/>
  <c r="AP2" i="20"/>
  <c r="AL3" i="20"/>
  <c r="AR2" i="20"/>
  <c r="B7" i="20"/>
  <c r="AL3" i="19"/>
  <c r="R3" i="19"/>
  <c r="B8" i="19"/>
  <c r="B7" i="8"/>
  <c r="C7" i="8"/>
  <c r="D7" i="8"/>
  <c r="J7" i="8"/>
  <c r="B8" i="8"/>
  <c r="C8" i="8"/>
  <c r="B9" i="8"/>
  <c r="C9" i="8"/>
  <c r="B10" i="8"/>
  <c r="C10" i="8"/>
  <c r="B11" i="8"/>
  <c r="C11" i="8"/>
  <c r="B12" i="8"/>
  <c r="C12" i="8"/>
  <c r="B13" i="8"/>
  <c r="C13" i="8"/>
  <c r="B14" i="8"/>
  <c r="C14" i="8"/>
  <c r="B15" i="8"/>
  <c r="C15" i="8"/>
  <c r="B16" i="8"/>
  <c r="C16" i="8"/>
  <c r="B17" i="8"/>
  <c r="C17" i="8"/>
  <c r="B18" i="8"/>
  <c r="C18" i="8"/>
  <c r="B19" i="8"/>
  <c r="C19" i="8"/>
  <c r="B20" i="8"/>
  <c r="C20" i="8"/>
  <c r="B21" i="8"/>
  <c r="C21" i="8"/>
  <c r="B22" i="8"/>
  <c r="C22" i="8"/>
  <c r="B23" i="8"/>
  <c r="C23" i="8"/>
  <c r="B24" i="8"/>
  <c r="C24" i="8"/>
  <c r="B25" i="8"/>
  <c r="C25" i="8"/>
  <c r="B26" i="8"/>
  <c r="C26" i="8"/>
  <c r="B27" i="8"/>
  <c r="B28" i="8"/>
  <c r="C28" i="8"/>
  <c r="B29" i="8"/>
  <c r="C29" i="8"/>
  <c r="B30" i="8"/>
  <c r="C30" i="8"/>
  <c r="B31" i="8"/>
  <c r="C31" i="8"/>
  <c r="B32" i="8"/>
  <c r="C32" i="8"/>
  <c r="B33" i="8"/>
  <c r="C33" i="8"/>
  <c r="B34" i="8"/>
  <c r="C34" i="8"/>
  <c r="B35" i="8"/>
  <c r="C35" i="8"/>
  <c r="B7" i="23"/>
  <c r="C7" i="23"/>
  <c r="D7" i="23"/>
  <c r="H7" i="23"/>
  <c r="J7" i="23"/>
  <c r="L7" i="23"/>
  <c r="B8" i="23"/>
  <c r="C8" i="23"/>
  <c r="B9" i="23"/>
  <c r="C9" i="23"/>
  <c r="B10" i="23"/>
  <c r="C10" i="23"/>
  <c r="B11" i="23"/>
  <c r="C11" i="23"/>
  <c r="B12" i="23"/>
  <c r="C12" i="23"/>
  <c r="B13" i="23"/>
  <c r="C13" i="23"/>
  <c r="B14" i="23"/>
  <c r="C14" i="23"/>
  <c r="B15" i="23"/>
  <c r="C15" i="23"/>
  <c r="B16" i="23"/>
  <c r="C16" i="23"/>
  <c r="B17" i="23"/>
  <c r="C17" i="23"/>
  <c r="B18" i="23"/>
  <c r="C18" i="23"/>
  <c r="B19" i="23"/>
  <c r="C19" i="23"/>
  <c r="B20" i="23"/>
  <c r="C20" i="23"/>
  <c r="B21" i="23"/>
  <c r="C21" i="23"/>
  <c r="B22" i="23"/>
  <c r="C22" i="23"/>
  <c r="B23" i="23"/>
  <c r="C23" i="23"/>
  <c r="B24" i="23"/>
  <c r="C24" i="23"/>
  <c r="B25" i="23"/>
  <c r="C25" i="23"/>
  <c r="B26" i="23"/>
  <c r="C26" i="23"/>
  <c r="B27" i="23"/>
  <c r="C27" i="23"/>
  <c r="B28" i="23"/>
  <c r="C28" i="23"/>
  <c r="B29" i="23"/>
  <c r="B30" i="23"/>
  <c r="C30" i="23"/>
  <c r="B31" i="23"/>
  <c r="C31" i="23"/>
  <c r="B32" i="23"/>
  <c r="C32" i="23"/>
  <c r="B33" i="23"/>
  <c r="C33" i="23"/>
  <c r="B34" i="23"/>
  <c r="C34" i="23"/>
  <c r="B35" i="23"/>
  <c r="C35" i="23"/>
  <c r="B36" i="23"/>
  <c r="C36" i="23"/>
  <c r="B37" i="23"/>
  <c r="C37" i="23"/>
  <c r="D25" i="37"/>
  <c r="D27" i="48" s="1"/>
  <c r="V7" i="9" l="1"/>
  <c r="G25" i="23"/>
  <c r="I25" i="23"/>
  <c r="K25" i="23"/>
  <c r="M25" i="23"/>
  <c r="D25" i="20"/>
  <c r="D27" i="19" s="1"/>
  <c r="E25" i="23"/>
  <c r="S54" i="37" l="1"/>
  <c r="S3" i="37"/>
  <c r="R58" i="19"/>
  <c r="R54" i="20"/>
  <c r="R3" i="20" l="1"/>
  <c r="S50" i="36"/>
  <c r="B6" i="37"/>
  <c r="Y2" i="37"/>
  <c r="B6" i="36"/>
  <c r="S3" i="36"/>
  <c r="Y2" i="36"/>
  <c r="BE4" i="36" l="1"/>
  <c r="BC4" i="36"/>
  <c r="BA4" i="36"/>
  <c r="AY4" i="36"/>
  <c r="AW4" i="36"/>
  <c r="AU4" i="36"/>
  <c r="AS4" i="36"/>
  <c r="AQ4" i="36"/>
  <c r="AO4" i="36"/>
  <c r="BD4" i="36"/>
  <c r="AZ4" i="36"/>
  <c r="AV4" i="36"/>
  <c r="AR4" i="36"/>
  <c r="AN4" i="36"/>
  <c r="BB4" i="36"/>
  <c r="AX4" i="36"/>
  <c r="AT4" i="36"/>
  <c r="AP4" i="36"/>
  <c r="AJ4" i="37"/>
  <c r="BE4" i="37"/>
  <c r="BC4" i="37"/>
  <c r="BA4" i="37"/>
  <c r="AY4" i="37"/>
  <c r="AW4" i="37"/>
  <c r="AU4" i="37"/>
  <c r="AS4" i="37"/>
  <c r="AQ4" i="37"/>
  <c r="AO4" i="37"/>
  <c r="BD4" i="37"/>
  <c r="AZ4" i="37"/>
  <c r="AV4" i="37"/>
  <c r="AR4" i="37"/>
  <c r="AN4" i="37"/>
  <c r="BB4" i="37"/>
  <c r="AT4" i="37"/>
  <c r="AX4" i="37"/>
  <c r="AP4" i="37"/>
  <c r="U4" i="37"/>
  <c r="W4" i="37"/>
  <c r="Y4" i="37"/>
  <c r="AA4" i="37"/>
  <c r="AC4" i="37"/>
  <c r="AE4" i="37"/>
  <c r="AG4" i="37"/>
  <c r="AI4" i="37"/>
  <c r="AK4" i="37"/>
  <c r="T4" i="37"/>
  <c r="V4" i="37"/>
  <c r="X4" i="37"/>
  <c r="Z4" i="37"/>
  <c r="AB4" i="37"/>
  <c r="AD4" i="37"/>
  <c r="AF4" i="37"/>
  <c r="AH4" i="37"/>
  <c r="AJ4" i="36"/>
  <c r="AH4" i="36"/>
  <c r="AF4" i="36"/>
  <c r="AD4" i="36"/>
  <c r="AB4" i="36"/>
  <c r="Z4" i="36"/>
  <c r="X4" i="36"/>
  <c r="V4" i="36"/>
  <c r="T4" i="36"/>
  <c r="AK4" i="36"/>
  <c r="AI4" i="36"/>
  <c r="AG4" i="36"/>
  <c r="AE4" i="36"/>
  <c r="AC4" i="36"/>
  <c r="AA4" i="36"/>
  <c r="Y4" i="36"/>
  <c r="W4" i="36"/>
  <c r="U4" i="36"/>
  <c r="W6" i="36" l="1"/>
  <c r="W7" i="36"/>
  <c r="W8" i="36"/>
  <c r="W9" i="36"/>
  <c r="W10" i="36"/>
  <c r="W11" i="36"/>
  <c r="W12" i="36"/>
  <c r="W13" i="36"/>
  <c r="W14" i="36"/>
  <c r="W15" i="36"/>
  <c r="W16" i="36"/>
  <c r="W17" i="36"/>
  <c r="W18" i="36"/>
  <c r="W19" i="36"/>
  <c r="W20" i="36"/>
  <c r="W21" i="36"/>
  <c r="W22" i="36"/>
  <c r="W23" i="36"/>
  <c r="W24" i="36"/>
  <c r="W25" i="36"/>
  <c r="W26" i="36"/>
  <c r="W27" i="36"/>
  <c r="W28" i="36"/>
  <c r="W29" i="36"/>
  <c r="W30" i="36"/>
  <c r="W31" i="36"/>
  <c r="W32" i="36"/>
  <c r="W33" i="36"/>
  <c r="W34" i="36"/>
  <c r="W35" i="36"/>
  <c r="W36" i="36"/>
  <c r="W37" i="36"/>
  <c r="W38" i="36"/>
  <c r="W39" i="36"/>
  <c r="W40" i="36"/>
  <c r="W42" i="36"/>
  <c r="W43" i="36"/>
  <c r="W44" i="36"/>
  <c r="W45" i="36"/>
  <c r="W46" i="36"/>
  <c r="W47" i="36"/>
  <c r="AA6" i="36"/>
  <c r="AA7" i="36"/>
  <c r="AA8" i="36"/>
  <c r="AA9" i="36"/>
  <c r="AA10" i="36"/>
  <c r="AA11" i="36"/>
  <c r="AA12" i="36"/>
  <c r="AA13" i="36"/>
  <c r="AA14" i="36"/>
  <c r="AA15" i="36"/>
  <c r="AA16" i="36"/>
  <c r="AA17" i="36"/>
  <c r="AA18" i="36"/>
  <c r="AA19" i="36"/>
  <c r="AA20" i="36"/>
  <c r="AA21" i="36"/>
  <c r="AA22" i="36"/>
  <c r="AA23" i="36"/>
  <c r="AA24" i="36"/>
  <c r="AA25" i="36"/>
  <c r="AA26" i="36"/>
  <c r="AA27" i="36"/>
  <c r="AA28" i="36"/>
  <c r="AA29" i="36"/>
  <c r="AA30" i="36"/>
  <c r="AA31" i="36"/>
  <c r="AA32" i="36"/>
  <c r="AA33" i="36"/>
  <c r="AA34" i="36"/>
  <c r="AA35" i="36"/>
  <c r="AA36" i="36"/>
  <c r="AA37" i="36"/>
  <c r="AA38" i="36"/>
  <c r="AA39" i="36"/>
  <c r="AA40" i="36"/>
  <c r="AA42" i="36"/>
  <c r="AA43" i="36"/>
  <c r="AA44" i="36"/>
  <c r="AA45" i="36"/>
  <c r="AA46" i="36"/>
  <c r="AA47" i="36"/>
  <c r="AE6" i="36"/>
  <c r="AE7" i="36"/>
  <c r="AE8" i="36"/>
  <c r="AE9" i="36"/>
  <c r="AE10" i="36"/>
  <c r="AE11" i="36"/>
  <c r="AE12" i="36"/>
  <c r="AE13" i="36"/>
  <c r="AE14" i="36"/>
  <c r="AE15" i="36"/>
  <c r="AE16" i="36"/>
  <c r="AE17" i="36"/>
  <c r="AE18" i="36"/>
  <c r="AE19" i="36"/>
  <c r="AE20" i="36"/>
  <c r="AE21" i="36"/>
  <c r="AE22" i="36"/>
  <c r="AE23" i="36"/>
  <c r="AE24" i="36"/>
  <c r="AE25" i="36"/>
  <c r="AE26" i="36"/>
  <c r="AE27" i="36"/>
  <c r="AE28" i="36"/>
  <c r="AE29" i="36"/>
  <c r="AE30" i="36"/>
  <c r="AE31" i="36"/>
  <c r="AE32" i="36"/>
  <c r="AE33" i="36"/>
  <c r="AE34" i="36"/>
  <c r="AE35" i="36"/>
  <c r="AE36" i="36"/>
  <c r="AE37" i="36"/>
  <c r="AE38" i="36"/>
  <c r="AE39" i="36"/>
  <c r="AE40" i="36"/>
  <c r="AE42" i="36"/>
  <c r="AE43" i="36"/>
  <c r="AE44" i="36"/>
  <c r="AE45" i="36"/>
  <c r="AE46" i="36"/>
  <c r="AE47" i="36"/>
  <c r="AI6" i="36"/>
  <c r="AI7" i="36"/>
  <c r="AI8" i="36"/>
  <c r="AI9" i="36"/>
  <c r="AI10" i="36"/>
  <c r="AI11" i="36"/>
  <c r="AI12" i="36"/>
  <c r="AI13" i="36"/>
  <c r="AI14" i="36"/>
  <c r="AI15" i="36"/>
  <c r="AI16" i="36"/>
  <c r="AI17" i="36"/>
  <c r="AI18" i="36"/>
  <c r="AI19" i="36"/>
  <c r="AI20" i="36"/>
  <c r="AI21" i="36"/>
  <c r="AI22" i="36"/>
  <c r="AI23" i="36"/>
  <c r="AI24" i="36"/>
  <c r="AI25" i="36"/>
  <c r="AI26" i="36"/>
  <c r="AI27" i="36"/>
  <c r="AI28" i="36"/>
  <c r="AI29" i="36"/>
  <c r="AI30" i="36"/>
  <c r="AI31" i="36"/>
  <c r="AI32" i="36"/>
  <c r="AI33" i="36"/>
  <c r="AI34" i="36"/>
  <c r="AI35" i="36"/>
  <c r="AI36" i="36"/>
  <c r="AI37" i="36"/>
  <c r="AI38" i="36"/>
  <c r="AI39" i="36"/>
  <c r="AI40" i="36"/>
  <c r="AI42" i="36"/>
  <c r="AI43" i="36"/>
  <c r="AI44" i="36"/>
  <c r="AI45" i="36"/>
  <c r="AI46" i="36"/>
  <c r="AI47" i="36"/>
  <c r="T7" i="36"/>
  <c r="T9" i="36"/>
  <c r="T11" i="36"/>
  <c r="T13" i="36"/>
  <c r="T15" i="36"/>
  <c r="T17" i="36"/>
  <c r="T19" i="36"/>
  <c r="T21" i="36"/>
  <c r="T23" i="36"/>
  <c r="T25" i="36"/>
  <c r="T26" i="36"/>
  <c r="T27" i="36"/>
  <c r="T28" i="36"/>
  <c r="T29" i="36"/>
  <c r="T30" i="36"/>
  <c r="T31" i="36"/>
  <c r="T32" i="36"/>
  <c r="T33" i="36"/>
  <c r="T34" i="36"/>
  <c r="T35" i="36"/>
  <c r="T36" i="36"/>
  <c r="T37" i="36"/>
  <c r="T38" i="36"/>
  <c r="T39" i="36"/>
  <c r="T40" i="36"/>
  <c r="T42" i="36"/>
  <c r="T43" i="36"/>
  <c r="T44" i="36"/>
  <c r="T45" i="36"/>
  <c r="T46" i="36"/>
  <c r="T47" i="36"/>
  <c r="T6" i="36"/>
  <c r="T8" i="36"/>
  <c r="T10" i="36"/>
  <c r="T12" i="36"/>
  <c r="T14" i="36"/>
  <c r="T16" i="36"/>
  <c r="T18" i="36"/>
  <c r="T20" i="36"/>
  <c r="T22" i="36"/>
  <c r="T24" i="36"/>
  <c r="X7" i="36"/>
  <c r="X9" i="36"/>
  <c r="X11" i="36"/>
  <c r="X13" i="36"/>
  <c r="X15" i="36"/>
  <c r="X17" i="36"/>
  <c r="X19" i="36"/>
  <c r="X21" i="36"/>
  <c r="X23" i="36"/>
  <c r="X25" i="36"/>
  <c r="X26" i="36"/>
  <c r="X27" i="36"/>
  <c r="X28" i="36"/>
  <c r="X29" i="36"/>
  <c r="X30" i="36"/>
  <c r="X31" i="36"/>
  <c r="X32" i="36"/>
  <c r="X33" i="36"/>
  <c r="X34" i="36"/>
  <c r="X35" i="36"/>
  <c r="X36" i="36"/>
  <c r="X37" i="36"/>
  <c r="X38" i="36"/>
  <c r="X39" i="36"/>
  <c r="X40" i="36"/>
  <c r="X42" i="36"/>
  <c r="X43" i="36"/>
  <c r="X44" i="36"/>
  <c r="X45" i="36"/>
  <c r="X46" i="36"/>
  <c r="X47" i="36"/>
  <c r="X6" i="36"/>
  <c r="X8" i="36"/>
  <c r="X10" i="36"/>
  <c r="X12" i="36"/>
  <c r="X14" i="36"/>
  <c r="X16" i="36"/>
  <c r="X18" i="36"/>
  <c r="X20" i="36"/>
  <c r="X22" i="36"/>
  <c r="X24" i="36"/>
  <c r="AB7" i="36"/>
  <c r="AB9" i="36"/>
  <c r="AB11" i="36"/>
  <c r="AB13" i="36"/>
  <c r="AB15" i="36"/>
  <c r="AB17" i="36"/>
  <c r="AB19" i="36"/>
  <c r="AB21" i="36"/>
  <c r="AB23" i="36"/>
  <c r="AB25" i="36"/>
  <c r="AB26" i="36"/>
  <c r="AB27" i="36"/>
  <c r="AB28" i="36"/>
  <c r="AB29" i="36"/>
  <c r="AB30" i="36"/>
  <c r="AB31" i="36"/>
  <c r="AB32" i="36"/>
  <c r="AB33" i="36"/>
  <c r="AB34" i="36"/>
  <c r="AB35" i="36"/>
  <c r="AB36" i="36"/>
  <c r="AB37" i="36"/>
  <c r="AB38" i="36"/>
  <c r="AB39" i="36"/>
  <c r="AB40" i="36"/>
  <c r="AB42" i="36"/>
  <c r="AB43" i="36"/>
  <c r="AB44" i="36"/>
  <c r="AB45" i="36"/>
  <c r="AB46" i="36"/>
  <c r="AB47" i="36"/>
  <c r="AB6" i="36"/>
  <c r="AB8" i="36"/>
  <c r="AB10" i="36"/>
  <c r="AB12" i="36"/>
  <c r="AB14" i="36"/>
  <c r="AB16" i="36"/>
  <c r="AB18" i="36"/>
  <c r="AB20" i="36"/>
  <c r="AB22" i="36"/>
  <c r="AB24" i="36"/>
  <c r="AF7" i="36"/>
  <c r="AF9" i="36"/>
  <c r="AF11" i="36"/>
  <c r="AF13" i="36"/>
  <c r="AF15" i="36"/>
  <c r="AF17" i="36"/>
  <c r="AF19" i="36"/>
  <c r="AF21" i="36"/>
  <c r="AF23" i="36"/>
  <c r="AF24" i="36"/>
  <c r="AF25" i="36"/>
  <c r="AF26" i="36"/>
  <c r="AF27" i="36"/>
  <c r="AF28" i="36"/>
  <c r="AF29" i="36"/>
  <c r="AF30" i="36"/>
  <c r="AF31" i="36"/>
  <c r="AF32" i="36"/>
  <c r="AF33" i="36"/>
  <c r="AF34" i="36"/>
  <c r="AF35" i="36"/>
  <c r="AF36" i="36"/>
  <c r="AF37" i="36"/>
  <c r="AF38" i="36"/>
  <c r="AF39" i="36"/>
  <c r="AF40" i="36"/>
  <c r="AF42" i="36"/>
  <c r="AF43" i="36"/>
  <c r="AF44" i="36"/>
  <c r="AF45" i="36"/>
  <c r="AF46" i="36"/>
  <c r="AF47" i="36"/>
  <c r="AF6" i="36"/>
  <c r="AF8" i="36"/>
  <c r="AF10" i="36"/>
  <c r="AF12" i="36"/>
  <c r="AF14" i="36"/>
  <c r="AF16" i="36"/>
  <c r="AF18" i="36"/>
  <c r="AF20" i="36"/>
  <c r="AF22" i="36"/>
  <c r="AJ7" i="36"/>
  <c r="AJ9" i="36"/>
  <c r="AJ11" i="36"/>
  <c r="AJ13" i="36"/>
  <c r="AJ15" i="36"/>
  <c r="AJ17" i="36"/>
  <c r="AJ19" i="36"/>
  <c r="AJ21" i="36"/>
  <c r="AJ23" i="36"/>
  <c r="AJ24" i="36"/>
  <c r="AJ25" i="36"/>
  <c r="AJ26" i="36"/>
  <c r="AJ27" i="36"/>
  <c r="AJ28" i="36"/>
  <c r="AJ29" i="36"/>
  <c r="AJ30" i="36"/>
  <c r="AJ31" i="36"/>
  <c r="AJ32" i="36"/>
  <c r="AJ33" i="36"/>
  <c r="AJ34" i="36"/>
  <c r="AJ35" i="36"/>
  <c r="AJ36" i="36"/>
  <c r="AJ37" i="36"/>
  <c r="AJ38" i="36"/>
  <c r="AJ39" i="36"/>
  <c r="AJ40" i="36"/>
  <c r="AJ42" i="36"/>
  <c r="AJ43" i="36"/>
  <c r="AJ44" i="36"/>
  <c r="AJ45" i="36"/>
  <c r="AJ46" i="36"/>
  <c r="AJ47" i="36"/>
  <c r="AJ6" i="36"/>
  <c r="AJ8" i="36"/>
  <c r="AJ10" i="36"/>
  <c r="AJ12" i="36"/>
  <c r="AJ14" i="36"/>
  <c r="AJ16" i="36"/>
  <c r="AJ18" i="36"/>
  <c r="AJ20" i="36"/>
  <c r="AJ22" i="36"/>
  <c r="AF6" i="37"/>
  <c r="AF7" i="37"/>
  <c r="AF8" i="37"/>
  <c r="AF9" i="37"/>
  <c r="AF10" i="37"/>
  <c r="AF11" i="37"/>
  <c r="AF12" i="37"/>
  <c r="AF13" i="37"/>
  <c r="AF14" i="37"/>
  <c r="AF15" i="37"/>
  <c r="AF16" i="37"/>
  <c r="AF17" i="37"/>
  <c r="AF18" i="37"/>
  <c r="AF19" i="37"/>
  <c r="AF20" i="37"/>
  <c r="AF21" i="37"/>
  <c r="AF22" i="37"/>
  <c r="AF23" i="37"/>
  <c r="AF24" i="37"/>
  <c r="AF25" i="37"/>
  <c r="AF26" i="37"/>
  <c r="AF27" i="37"/>
  <c r="AF28" i="37"/>
  <c r="AF30" i="37"/>
  <c r="AF32" i="37"/>
  <c r="AF34" i="37"/>
  <c r="AF36" i="37"/>
  <c r="AF38" i="37"/>
  <c r="AF40" i="37"/>
  <c r="AF42" i="37"/>
  <c r="AF45" i="37"/>
  <c r="AF47" i="37"/>
  <c r="AF49" i="37"/>
  <c r="AF51" i="37"/>
  <c r="AF31" i="37"/>
  <c r="AF35" i="37"/>
  <c r="AF39" i="37"/>
  <c r="AF44" i="37"/>
  <c r="AF48" i="37"/>
  <c r="AF29" i="37"/>
  <c r="AF33" i="37"/>
  <c r="AF37" i="37"/>
  <c r="AF41" i="37"/>
  <c r="AF46" i="37"/>
  <c r="AF50" i="37"/>
  <c r="AB6" i="37"/>
  <c r="AB7" i="37"/>
  <c r="AB8" i="37"/>
  <c r="AB9" i="37"/>
  <c r="AB10" i="37"/>
  <c r="AB11" i="37"/>
  <c r="AB12" i="37"/>
  <c r="AB13" i="37"/>
  <c r="AB14" i="37"/>
  <c r="AB15" i="37"/>
  <c r="AB16" i="37"/>
  <c r="AB17" i="37"/>
  <c r="AB18" i="37"/>
  <c r="AB19" i="37"/>
  <c r="AB20" i="37"/>
  <c r="AB21" i="37"/>
  <c r="AB22" i="37"/>
  <c r="AB23" i="37"/>
  <c r="AB24" i="37"/>
  <c r="AB25" i="37"/>
  <c r="AB26" i="37"/>
  <c r="AB27" i="37"/>
  <c r="AB28" i="37"/>
  <c r="AB30" i="37"/>
  <c r="AB32" i="37"/>
  <c r="AB34" i="37"/>
  <c r="AB36" i="37"/>
  <c r="AB38" i="37"/>
  <c r="AB40" i="37"/>
  <c r="AB42" i="37"/>
  <c r="AB45" i="37"/>
  <c r="AB47" i="37"/>
  <c r="AB49" i="37"/>
  <c r="AB51" i="37"/>
  <c r="AB29" i="37"/>
  <c r="AB33" i="37"/>
  <c r="AB37" i="37"/>
  <c r="AB41" i="37"/>
  <c r="AB46" i="37"/>
  <c r="AB50" i="37"/>
  <c r="AB31" i="37"/>
  <c r="AB35" i="37"/>
  <c r="AB39" i="37"/>
  <c r="AB44" i="37"/>
  <c r="AB48" i="37"/>
  <c r="X6" i="37"/>
  <c r="X7" i="37"/>
  <c r="X8" i="37"/>
  <c r="X9" i="37"/>
  <c r="X10" i="37"/>
  <c r="X11" i="37"/>
  <c r="X12" i="37"/>
  <c r="X13" i="37"/>
  <c r="X14" i="37"/>
  <c r="X15" i="37"/>
  <c r="X16" i="37"/>
  <c r="X17" i="37"/>
  <c r="X18" i="37"/>
  <c r="X19" i="37"/>
  <c r="X20" i="37"/>
  <c r="X21" i="37"/>
  <c r="X22" i="37"/>
  <c r="X23" i="37"/>
  <c r="X24" i="37"/>
  <c r="X25" i="37"/>
  <c r="X26" i="37"/>
  <c r="X27" i="37"/>
  <c r="X28" i="37"/>
  <c r="X30" i="37"/>
  <c r="X32" i="37"/>
  <c r="X34" i="37"/>
  <c r="X36" i="37"/>
  <c r="X38" i="37"/>
  <c r="X40" i="37"/>
  <c r="X42" i="37"/>
  <c r="X45" i="37"/>
  <c r="X47" i="37"/>
  <c r="X49" i="37"/>
  <c r="X51" i="37"/>
  <c r="X31" i="37"/>
  <c r="X35" i="37"/>
  <c r="X39" i="37"/>
  <c r="X44" i="37"/>
  <c r="X48" i="37"/>
  <c r="X29" i="37"/>
  <c r="X33" i="37"/>
  <c r="X37" i="37"/>
  <c r="X41" i="37"/>
  <c r="X46" i="37"/>
  <c r="X50" i="37"/>
  <c r="T6" i="37"/>
  <c r="T7" i="37"/>
  <c r="T8" i="37"/>
  <c r="T9" i="37"/>
  <c r="T10" i="37"/>
  <c r="T11" i="37"/>
  <c r="T12" i="37"/>
  <c r="T13" i="37"/>
  <c r="T14" i="37"/>
  <c r="T15" i="37"/>
  <c r="T16" i="37"/>
  <c r="T17" i="37"/>
  <c r="T18" i="37"/>
  <c r="T19" i="37"/>
  <c r="T20" i="37"/>
  <c r="T21" i="37"/>
  <c r="T22" i="37"/>
  <c r="T23" i="37"/>
  <c r="T24" i="37"/>
  <c r="T25" i="37"/>
  <c r="T26" i="37"/>
  <c r="T27" i="37"/>
  <c r="T28" i="37"/>
  <c r="T30" i="37"/>
  <c r="T32" i="37"/>
  <c r="T34" i="37"/>
  <c r="T36" i="37"/>
  <c r="T38" i="37"/>
  <c r="T40" i="37"/>
  <c r="T42" i="37"/>
  <c r="T45" i="37"/>
  <c r="T47" i="37"/>
  <c r="T49" i="37"/>
  <c r="T51" i="37"/>
  <c r="T29" i="37"/>
  <c r="T33" i="37"/>
  <c r="T37" i="37"/>
  <c r="T41" i="37"/>
  <c r="T46" i="37"/>
  <c r="T50" i="37"/>
  <c r="T31" i="37"/>
  <c r="T35" i="37"/>
  <c r="T39" i="37"/>
  <c r="T44" i="37"/>
  <c r="T48" i="37"/>
  <c r="AI6" i="37"/>
  <c r="AI7" i="37"/>
  <c r="AI8" i="37"/>
  <c r="AI9" i="37"/>
  <c r="AI10" i="37"/>
  <c r="AI11" i="37"/>
  <c r="AI12" i="37"/>
  <c r="AI13" i="37"/>
  <c r="AI14" i="37"/>
  <c r="AI15" i="37"/>
  <c r="AI16" i="37"/>
  <c r="AI17" i="37"/>
  <c r="AI18" i="37"/>
  <c r="AI19" i="37"/>
  <c r="AI20" i="37"/>
  <c r="AI21" i="37"/>
  <c r="AI22" i="37"/>
  <c r="AI23" i="37"/>
  <c r="AI24" i="37"/>
  <c r="AI25" i="37"/>
  <c r="AI26" i="37"/>
  <c r="AI27" i="37"/>
  <c r="AI28" i="37"/>
  <c r="AI29" i="37"/>
  <c r="AI30" i="37"/>
  <c r="AI31" i="37"/>
  <c r="AI32" i="37"/>
  <c r="AI33" i="37"/>
  <c r="AI34" i="37"/>
  <c r="AI35" i="37"/>
  <c r="AI36" i="37"/>
  <c r="AI37" i="37"/>
  <c r="AI38" i="37"/>
  <c r="AI39" i="37"/>
  <c r="AI40" i="37"/>
  <c r="AI41" i="37"/>
  <c r="AI42" i="37"/>
  <c r="AI44" i="37"/>
  <c r="AI45" i="37"/>
  <c r="AI46" i="37"/>
  <c r="AI47" i="37"/>
  <c r="AI48" i="37"/>
  <c r="AI49" i="37"/>
  <c r="AI50" i="37"/>
  <c r="AI51" i="37"/>
  <c r="AE6" i="37"/>
  <c r="AE7" i="37"/>
  <c r="AE8" i="37"/>
  <c r="AE9" i="37"/>
  <c r="AE10" i="37"/>
  <c r="AE11" i="37"/>
  <c r="AE12" i="37"/>
  <c r="AE13" i="37"/>
  <c r="AE14" i="37"/>
  <c r="AE15" i="37"/>
  <c r="AE16" i="37"/>
  <c r="AE17" i="37"/>
  <c r="AE18" i="37"/>
  <c r="AE19" i="37"/>
  <c r="AE20" i="37"/>
  <c r="AE21" i="37"/>
  <c r="AE22" i="37"/>
  <c r="AE23" i="37"/>
  <c r="AE24" i="37"/>
  <c r="AE25" i="37"/>
  <c r="AE26" i="37"/>
  <c r="AE27" i="37"/>
  <c r="AE28" i="37"/>
  <c r="AE29" i="37"/>
  <c r="AE30" i="37"/>
  <c r="AE31" i="37"/>
  <c r="AE32" i="37"/>
  <c r="AE33" i="37"/>
  <c r="AE34" i="37"/>
  <c r="AE35" i="37"/>
  <c r="AE36" i="37"/>
  <c r="AE37" i="37"/>
  <c r="AE38" i="37"/>
  <c r="AE39" i="37"/>
  <c r="AE40" i="37"/>
  <c r="AE41" i="37"/>
  <c r="AE42" i="37"/>
  <c r="AE44" i="37"/>
  <c r="AE45" i="37"/>
  <c r="AE46" i="37"/>
  <c r="AE47" i="37"/>
  <c r="AE48" i="37"/>
  <c r="AE49" i="37"/>
  <c r="AE50" i="37"/>
  <c r="AE51" i="37"/>
  <c r="AA6" i="37"/>
  <c r="AA7" i="37"/>
  <c r="AA8" i="37"/>
  <c r="AA9" i="37"/>
  <c r="AA10" i="37"/>
  <c r="AA11" i="37"/>
  <c r="AA12" i="37"/>
  <c r="AA13" i="37"/>
  <c r="AA14" i="37"/>
  <c r="AA15" i="37"/>
  <c r="AA16" i="37"/>
  <c r="AA17" i="37"/>
  <c r="AA18" i="37"/>
  <c r="AA19" i="37"/>
  <c r="AA20" i="37"/>
  <c r="AA21" i="37"/>
  <c r="AA22" i="37"/>
  <c r="AA23" i="37"/>
  <c r="AA24" i="37"/>
  <c r="AA25" i="37"/>
  <c r="AA26" i="37"/>
  <c r="AA27" i="37"/>
  <c r="AA28" i="37"/>
  <c r="AA29" i="37"/>
  <c r="AA30" i="37"/>
  <c r="AA31" i="37"/>
  <c r="AA32" i="37"/>
  <c r="AA33" i="37"/>
  <c r="AA34" i="37"/>
  <c r="AA35" i="37"/>
  <c r="AA36" i="37"/>
  <c r="AA37" i="37"/>
  <c r="AA38" i="37"/>
  <c r="AA39" i="37"/>
  <c r="AA40" i="37"/>
  <c r="AA41" i="37"/>
  <c r="AA42" i="37"/>
  <c r="AA44" i="37"/>
  <c r="AA45" i="37"/>
  <c r="AA46" i="37"/>
  <c r="AA47" i="37"/>
  <c r="AA48" i="37"/>
  <c r="AA49" i="37"/>
  <c r="AA50" i="37"/>
  <c r="AA51" i="37"/>
  <c r="W6" i="37"/>
  <c r="W7" i="37"/>
  <c r="W8" i="37"/>
  <c r="W9" i="37"/>
  <c r="W10" i="37"/>
  <c r="W11" i="37"/>
  <c r="W12" i="37"/>
  <c r="W13" i="37"/>
  <c r="W14" i="37"/>
  <c r="W15" i="37"/>
  <c r="W16" i="37"/>
  <c r="W17" i="37"/>
  <c r="W18" i="37"/>
  <c r="W19" i="37"/>
  <c r="W20" i="37"/>
  <c r="W21" i="37"/>
  <c r="W22" i="37"/>
  <c r="W23" i="37"/>
  <c r="W24" i="37"/>
  <c r="W25" i="37"/>
  <c r="W26" i="37"/>
  <c r="W27" i="37"/>
  <c r="W28" i="37"/>
  <c r="W29" i="37"/>
  <c r="W30" i="37"/>
  <c r="W31" i="37"/>
  <c r="W32" i="37"/>
  <c r="W33" i="37"/>
  <c r="W34" i="37"/>
  <c r="W35" i="37"/>
  <c r="W36" i="37"/>
  <c r="W37" i="37"/>
  <c r="W38" i="37"/>
  <c r="W39" i="37"/>
  <c r="W40" i="37"/>
  <c r="W41" i="37"/>
  <c r="W42" i="37"/>
  <c r="W44" i="37"/>
  <c r="W45" i="37"/>
  <c r="W46" i="37"/>
  <c r="W47" i="37"/>
  <c r="W48" i="37"/>
  <c r="W49" i="37"/>
  <c r="W50" i="37"/>
  <c r="W51" i="37"/>
  <c r="AX6" i="37"/>
  <c r="AX8" i="37"/>
  <c r="AX10" i="37"/>
  <c r="AX12" i="37"/>
  <c r="AX14" i="37"/>
  <c r="AX15" i="37"/>
  <c r="AX16" i="37"/>
  <c r="AX17" i="37"/>
  <c r="AX18" i="37"/>
  <c r="AX19" i="37"/>
  <c r="AX20" i="37"/>
  <c r="AX21" i="37"/>
  <c r="AX22" i="37"/>
  <c r="AX23" i="37"/>
  <c r="AX24" i="37"/>
  <c r="AX25" i="37"/>
  <c r="AX26" i="37"/>
  <c r="AX27" i="37"/>
  <c r="AX28" i="37"/>
  <c r="AX9" i="37"/>
  <c r="AX13" i="37"/>
  <c r="AX7" i="37"/>
  <c r="AX11" i="37"/>
  <c r="AX29" i="37"/>
  <c r="AX30" i="37"/>
  <c r="AX31" i="37"/>
  <c r="AX32" i="37"/>
  <c r="AX33" i="37"/>
  <c r="AX34" i="37"/>
  <c r="AX35" i="37"/>
  <c r="AX36" i="37"/>
  <c r="AX37" i="37"/>
  <c r="AX38" i="37"/>
  <c r="AX39" i="37"/>
  <c r="AX40" i="37"/>
  <c r="AX41" i="37"/>
  <c r="AX42" i="37"/>
  <c r="AX44" i="37"/>
  <c r="AX45" i="37"/>
  <c r="AX46" i="37"/>
  <c r="AX47" i="37"/>
  <c r="AX48" i="37"/>
  <c r="AX49" i="37"/>
  <c r="AX50" i="37"/>
  <c r="AX51" i="37"/>
  <c r="BB6" i="37"/>
  <c r="BB8" i="37"/>
  <c r="BB10" i="37"/>
  <c r="BB12" i="37"/>
  <c r="BB14" i="37"/>
  <c r="BB15" i="37"/>
  <c r="BB16" i="37"/>
  <c r="BB17" i="37"/>
  <c r="BB18" i="37"/>
  <c r="BB19" i="37"/>
  <c r="BB20" i="37"/>
  <c r="BB21" i="37"/>
  <c r="BB22" i="37"/>
  <c r="BB23" i="37"/>
  <c r="BB24" i="37"/>
  <c r="BB25" i="37"/>
  <c r="BB26" i="37"/>
  <c r="BB27" i="37"/>
  <c r="BB28" i="37"/>
  <c r="BB7" i="37"/>
  <c r="BB11" i="37"/>
  <c r="BB9" i="37"/>
  <c r="BB13" i="37"/>
  <c r="BB29" i="37"/>
  <c r="BB30" i="37"/>
  <c r="BB31" i="37"/>
  <c r="BB32" i="37"/>
  <c r="BB33" i="37"/>
  <c r="BB34" i="37"/>
  <c r="BB35" i="37"/>
  <c r="BB36" i="37"/>
  <c r="BB37" i="37"/>
  <c r="BB38" i="37"/>
  <c r="BB39" i="37"/>
  <c r="BB40" i="37"/>
  <c r="BB41" i="37"/>
  <c r="BB42" i="37"/>
  <c r="BB44" i="37"/>
  <c r="BB45" i="37"/>
  <c r="BB46" i="37"/>
  <c r="BB47" i="37"/>
  <c r="BB48" i="37"/>
  <c r="BB49" i="37"/>
  <c r="BB50" i="37"/>
  <c r="BB51" i="37"/>
  <c r="AR7" i="37"/>
  <c r="AR9" i="37"/>
  <c r="AR11" i="37"/>
  <c r="AR13" i="37"/>
  <c r="AR15" i="37"/>
  <c r="AR16" i="37"/>
  <c r="AR17" i="37"/>
  <c r="AR18" i="37"/>
  <c r="AR19" i="37"/>
  <c r="AR20" i="37"/>
  <c r="AR21" i="37"/>
  <c r="AR22" i="37"/>
  <c r="AR23" i="37"/>
  <c r="AR24" i="37"/>
  <c r="AR25" i="37"/>
  <c r="AR26" i="37"/>
  <c r="AR27" i="37"/>
  <c r="AR28" i="37"/>
  <c r="AR8" i="37"/>
  <c r="AR12" i="37"/>
  <c r="AR6" i="37"/>
  <c r="AR10" i="37"/>
  <c r="AR14" i="37"/>
  <c r="AR29" i="37"/>
  <c r="AR30" i="37"/>
  <c r="AR31" i="37"/>
  <c r="AR32" i="37"/>
  <c r="AR33" i="37"/>
  <c r="AR34" i="37"/>
  <c r="AR35" i="37"/>
  <c r="AR36" i="37"/>
  <c r="AR37" i="37"/>
  <c r="AR38" i="37"/>
  <c r="AR39" i="37"/>
  <c r="AR40" i="37"/>
  <c r="AR41" i="37"/>
  <c r="AR42" i="37"/>
  <c r="AR44" i="37"/>
  <c r="AR45" i="37"/>
  <c r="AR46" i="37"/>
  <c r="AR47" i="37"/>
  <c r="AR48" i="37"/>
  <c r="AR49" i="37"/>
  <c r="AR50" i="37"/>
  <c r="AR51" i="37"/>
  <c r="AZ7" i="37"/>
  <c r="AZ9" i="37"/>
  <c r="AZ11" i="37"/>
  <c r="AZ13" i="37"/>
  <c r="AZ15" i="37"/>
  <c r="AZ16" i="37"/>
  <c r="AZ17" i="37"/>
  <c r="AZ18" i="37"/>
  <c r="AZ19" i="37"/>
  <c r="AZ20" i="37"/>
  <c r="AZ21" i="37"/>
  <c r="AZ22" i="37"/>
  <c r="AZ23" i="37"/>
  <c r="AZ24" i="37"/>
  <c r="AZ25" i="37"/>
  <c r="AZ26" i="37"/>
  <c r="AZ27" i="37"/>
  <c r="AZ28" i="37"/>
  <c r="AZ8" i="37"/>
  <c r="AZ12" i="37"/>
  <c r="AZ6" i="37"/>
  <c r="AZ10" i="37"/>
  <c r="AZ14" i="37"/>
  <c r="AZ29" i="37"/>
  <c r="AZ30" i="37"/>
  <c r="AZ31" i="37"/>
  <c r="AZ32" i="37"/>
  <c r="AZ33" i="37"/>
  <c r="AZ34" i="37"/>
  <c r="AZ35" i="37"/>
  <c r="AZ36" i="37"/>
  <c r="AZ37" i="37"/>
  <c r="AZ38" i="37"/>
  <c r="AZ39" i="37"/>
  <c r="AZ40" i="37"/>
  <c r="AZ41" i="37"/>
  <c r="AZ42" i="37"/>
  <c r="AZ44" i="37"/>
  <c r="AZ45" i="37"/>
  <c r="AZ46" i="37"/>
  <c r="AZ47" i="37"/>
  <c r="AZ48" i="37"/>
  <c r="AZ49" i="37"/>
  <c r="AZ50" i="37"/>
  <c r="AZ51" i="37"/>
  <c r="AO6" i="37"/>
  <c r="AO7" i="37"/>
  <c r="AO8" i="37"/>
  <c r="AO9" i="37"/>
  <c r="AO10" i="37"/>
  <c r="AO11" i="37"/>
  <c r="AO12" i="37"/>
  <c r="AO13" i="37"/>
  <c r="AO14" i="37"/>
  <c r="AO15" i="37"/>
  <c r="AO16" i="37"/>
  <c r="AO18" i="37"/>
  <c r="AO20" i="37"/>
  <c r="AO22" i="37"/>
  <c r="AO24" i="37"/>
  <c r="AO26" i="37"/>
  <c r="AO28" i="37"/>
  <c r="AO17" i="37"/>
  <c r="AO19" i="37"/>
  <c r="AO21" i="37"/>
  <c r="AO23" i="37"/>
  <c r="AO25" i="37"/>
  <c r="AO27" i="37"/>
  <c r="AO29" i="37"/>
  <c r="AO31" i="37"/>
  <c r="AO33" i="37"/>
  <c r="AO35" i="37"/>
  <c r="AO37" i="37"/>
  <c r="AO39" i="37"/>
  <c r="AO41" i="37"/>
  <c r="AO44" i="37"/>
  <c r="AO46" i="37"/>
  <c r="AO48" i="37"/>
  <c r="AO30" i="37"/>
  <c r="AO32" i="37"/>
  <c r="AO34" i="37"/>
  <c r="AO36" i="37"/>
  <c r="AO38" i="37"/>
  <c r="AO40" i="37"/>
  <c r="AO42" i="37"/>
  <c r="AO45" i="37"/>
  <c r="AO47" i="37"/>
  <c r="AO49" i="37"/>
  <c r="AO50" i="37"/>
  <c r="AO51" i="37"/>
  <c r="AS6" i="37"/>
  <c r="AS7" i="37"/>
  <c r="AS8" i="37"/>
  <c r="AS9" i="37"/>
  <c r="AS10" i="37"/>
  <c r="AS11" i="37"/>
  <c r="AS12" i="37"/>
  <c r="AS13" i="37"/>
  <c r="AS14" i="37"/>
  <c r="AS15" i="37"/>
  <c r="AS16" i="37"/>
  <c r="AS18" i="37"/>
  <c r="AS20" i="37"/>
  <c r="AS22" i="37"/>
  <c r="AS24" i="37"/>
  <c r="AS26" i="37"/>
  <c r="AS28" i="37"/>
  <c r="AS17" i="37"/>
  <c r="AS19" i="37"/>
  <c r="AS21" i="37"/>
  <c r="AS23" i="37"/>
  <c r="AS25" i="37"/>
  <c r="AS27" i="37"/>
  <c r="AS29" i="37"/>
  <c r="AS31" i="37"/>
  <c r="AS33" i="37"/>
  <c r="AS35" i="37"/>
  <c r="AS37" i="37"/>
  <c r="AS39" i="37"/>
  <c r="AS41" i="37"/>
  <c r="AS44" i="37"/>
  <c r="AS46" i="37"/>
  <c r="AS30" i="37"/>
  <c r="AS32" i="37"/>
  <c r="AS34" i="37"/>
  <c r="AS36" i="37"/>
  <c r="AS38" i="37"/>
  <c r="AS40" i="37"/>
  <c r="AS42" i="37"/>
  <c r="AS45" i="37"/>
  <c r="AS47" i="37"/>
  <c r="AS48" i="37"/>
  <c r="AS49" i="37"/>
  <c r="AS50" i="37"/>
  <c r="AS51" i="37"/>
  <c r="AW6" i="37"/>
  <c r="AW7" i="37"/>
  <c r="AW8" i="37"/>
  <c r="AW9" i="37"/>
  <c r="AW10" i="37"/>
  <c r="AW11" i="37"/>
  <c r="AW12" i="37"/>
  <c r="AW13" i="37"/>
  <c r="AW14" i="37"/>
  <c r="AW16" i="37"/>
  <c r="AW18" i="37"/>
  <c r="AW20" i="37"/>
  <c r="AW22" i="37"/>
  <c r="AW24" i="37"/>
  <c r="AW26" i="37"/>
  <c r="AW28" i="37"/>
  <c r="AW15" i="37"/>
  <c r="AW17" i="37"/>
  <c r="AW19" i="37"/>
  <c r="AW21" i="37"/>
  <c r="AW23" i="37"/>
  <c r="AW25" i="37"/>
  <c r="AW27" i="37"/>
  <c r="AW29" i="37"/>
  <c r="AW31" i="37"/>
  <c r="AW33" i="37"/>
  <c r="AW35" i="37"/>
  <c r="AW37" i="37"/>
  <c r="AW39" i="37"/>
  <c r="AW41" i="37"/>
  <c r="AW44" i="37"/>
  <c r="AW46" i="37"/>
  <c r="AW30" i="37"/>
  <c r="AW32" i="37"/>
  <c r="AW34" i="37"/>
  <c r="AW36" i="37"/>
  <c r="AW38" i="37"/>
  <c r="AW40" i="37"/>
  <c r="AW42" i="37"/>
  <c r="AW45" i="37"/>
  <c r="AW47" i="37"/>
  <c r="AW48" i="37"/>
  <c r="AW49" i="37"/>
  <c r="AW50" i="37"/>
  <c r="AW51" i="37"/>
  <c r="BA6" i="37"/>
  <c r="BA7" i="37"/>
  <c r="BA8" i="37"/>
  <c r="BA9" i="37"/>
  <c r="BA10" i="37"/>
  <c r="BA11" i="37"/>
  <c r="BA12" i="37"/>
  <c r="BA13" i="37"/>
  <c r="BA14" i="37"/>
  <c r="BA16" i="37"/>
  <c r="BA18" i="37"/>
  <c r="BA20" i="37"/>
  <c r="BA22" i="37"/>
  <c r="BA24" i="37"/>
  <c r="BA26" i="37"/>
  <c r="BA28" i="37"/>
  <c r="BA15" i="37"/>
  <c r="BA17" i="37"/>
  <c r="BA19" i="37"/>
  <c r="BA21" i="37"/>
  <c r="BA23" i="37"/>
  <c r="BA25" i="37"/>
  <c r="BA27" i="37"/>
  <c r="BA29" i="37"/>
  <c r="BA31" i="37"/>
  <c r="BA33" i="37"/>
  <c r="BA35" i="37"/>
  <c r="BA37" i="37"/>
  <c r="BA39" i="37"/>
  <c r="BA41" i="37"/>
  <c r="BA44" i="37"/>
  <c r="BA46" i="37"/>
  <c r="BA30" i="37"/>
  <c r="BA32" i="37"/>
  <c r="BA34" i="37"/>
  <c r="BA36" i="37"/>
  <c r="BA38" i="37"/>
  <c r="BA40" i="37"/>
  <c r="BA42" i="37"/>
  <c r="BA45" i="37"/>
  <c r="BA47" i="37"/>
  <c r="BA48" i="37"/>
  <c r="BA49" i="37"/>
  <c r="BA50" i="37"/>
  <c r="BA51" i="37"/>
  <c r="BE6" i="37"/>
  <c r="BE7" i="37"/>
  <c r="BE8" i="37"/>
  <c r="BE9" i="37"/>
  <c r="BE10" i="37"/>
  <c r="BE11" i="37"/>
  <c r="BE12" i="37"/>
  <c r="BE13" i="37"/>
  <c r="BE14" i="37"/>
  <c r="BE16" i="37"/>
  <c r="BE18" i="37"/>
  <c r="BE20" i="37"/>
  <c r="BE22" i="37"/>
  <c r="BE24" i="37"/>
  <c r="BE26" i="37"/>
  <c r="BE28" i="37"/>
  <c r="BE15" i="37"/>
  <c r="BE17" i="37"/>
  <c r="BE19" i="37"/>
  <c r="BE21" i="37"/>
  <c r="BE23" i="37"/>
  <c r="BE25" i="37"/>
  <c r="BE27" i="37"/>
  <c r="BE29" i="37"/>
  <c r="BE31" i="37"/>
  <c r="BE33" i="37"/>
  <c r="BE35" i="37"/>
  <c r="BE37" i="37"/>
  <c r="BE39" i="37"/>
  <c r="BE41" i="37"/>
  <c r="BE44" i="37"/>
  <c r="BE46" i="37"/>
  <c r="BE30" i="37"/>
  <c r="BE32" i="37"/>
  <c r="BE34" i="37"/>
  <c r="BE36" i="37"/>
  <c r="BE38" i="37"/>
  <c r="BE40" i="37"/>
  <c r="BE42" i="37"/>
  <c r="BE45" i="37"/>
  <c r="BE47" i="37"/>
  <c r="BE48" i="37"/>
  <c r="BE49" i="37"/>
  <c r="BE50" i="37"/>
  <c r="BE51" i="37"/>
  <c r="AP7" i="36"/>
  <c r="AP9" i="36"/>
  <c r="AP11" i="36"/>
  <c r="AP13" i="36"/>
  <c r="AP15" i="36"/>
  <c r="AP17" i="36"/>
  <c r="AP18" i="36"/>
  <c r="AP19" i="36"/>
  <c r="AP20" i="36"/>
  <c r="AP21" i="36"/>
  <c r="AP22" i="36"/>
  <c r="AP23" i="36"/>
  <c r="AP24" i="36"/>
  <c r="AP25" i="36"/>
  <c r="AP26" i="36"/>
  <c r="AP27" i="36"/>
  <c r="AP28" i="36"/>
  <c r="AP29" i="36"/>
  <c r="AP30" i="36"/>
  <c r="AP31" i="36"/>
  <c r="AP32" i="36"/>
  <c r="AP33" i="36"/>
  <c r="AP34" i="36"/>
  <c r="AP35" i="36"/>
  <c r="AP36" i="36"/>
  <c r="AP37" i="36"/>
  <c r="AP38" i="36"/>
  <c r="AP39" i="36"/>
  <c r="AP40" i="36"/>
  <c r="AP42" i="36"/>
  <c r="AP43" i="36"/>
  <c r="AP44" i="36"/>
  <c r="AP45" i="36"/>
  <c r="AP46" i="36"/>
  <c r="AP47" i="36"/>
  <c r="AP8" i="36"/>
  <c r="AP12" i="36"/>
  <c r="AP16" i="36"/>
  <c r="AP6" i="36"/>
  <c r="AP10" i="36"/>
  <c r="AP14" i="36"/>
  <c r="AX7" i="36"/>
  <c r="AX9" i="36"/>
  <c r="AX11" i="36"/>
  <c r="AX13" i="36"/>
  <c r="AX15" i="36"/>
  <c r="AX17" i="36"/>
  <c r="AX18" i="36"/>
  <c r="AX19" i="36"/>
  <c r="AX20" i="36"/>
  <c r="AX21" i="36"/>
  <c r="AX22" i="36"/>
  <c r="AX23" i="36"/>
  <c r="AX24" i="36"/>
  <c r="AX25" i="36"/>
  <c r="AX26" i="36"/>
  <c r="AX27" i="36"/>
  <c r="AX28" i="36"/>
  <c r="AX29" i="36"/>
  <c r="AX30" i="36"/>
  <c r="AX31" i="36"/>
  <c r="AX32" i="36"/>
  <c r="AX33" i="36"/>
  <c r="AX34" i="36"/>
  <c r="AX35" i="36"/>
  <c r="AX36" i="36"/>
  <c r="AX37" i="36"/>
  <c r="AX38" i="36"/>
  <c r="AX39" i="36"/>
  <c r="AX40" i="36"/>
  <c r="AX42" i="36"/>
  <c r="AX43" i="36"/>
  <c r="AX44" i="36"/>
  <c r="AX45" i="36"/>
  <c r="AX46" i="36"/>
  <c r="AX47" i="36"/>
  <c r="AX8" i="36"/>
  <c r="AX12" i="36"/>
  <c r="AX16" i="36"/>
  <c r="AX6" i="36"/>
  <c r="AX10" i="36"/>
  <c r="AX14" i="36"/>
  <c r="AN6" i="36"/>
  <c r="AN8" i="36"/>
  <c r="AN10" i="36"/>
  <c r="AN12" i="36"/>
  <c r="AN14" i="36"/>
  <c r="AN16" i="36"/>
  <c r="AN17" i="36"/>
  <c r="AN18" i="36"/>
  <c r="AN19" i="36"/>
  <c r="AN20" i="36"/>
  <c r="AN21" i="36"/>
  <c r="AN22" i="36"/>
  <c r="AN23" i="36"/>
  <c r="AN24" i="36"/>
  <c r="AN25" i="36"/>
  <c r="AN26" i="36"/>
  <c r="AN27" i="36"/>
  <c r="AN28" i="36"/>
  <c r="AN29" i="36"/>
  <c r="AN30" i="36"/>
  <c r="AN31" i="36"/>
  <c r="AN32" i="36"/>
  <c r="AN33" i="36"/>
  <c r="AN34" i="36"/>
  <c r="AN35" i="36"/>
  <c r="AN36" i="36"/>
  <c r="AN37" i="36"/>
  <c r="AN38" i="36"/>
  <c r="AN39" i="36"/>
  <c r="AN40" i="36"/>
  <c r="AN42" i="36"/>
  <c r="AN43" i="36"/>
  <c r="AN44" i="36"/>
  <c r="AN45" i="36"/>
  <c r="AN46" i="36"/>
  <c r="AN47" i="36"/>
  <c r="AM4" i="36"/>
  <c r="AN9" i="36"/>
  <c r="AN13" i="36"/>
  <c r="AN7" i="36"/>
  <c r="AN11" i="36"/>
  <c r="AN15" i="36"/>
  <c r="AV6" i="36"/>
  <c r="AV8" i="36"/>
  <c r="AV10" i="36"/>
  <c r="AV12" i="36"/>
  <c r="AV14" i="36"/>
  <c r="AV16" i="36"/>
  <c r="AV17" i="36"/>
  <c r="AV18" i="36"/>
  <c r="AV19" i="36"/>
  <c r="AV20" i="36"/>
  <c r="AV21" i="36"/>
  <c r="AV22" i="36"/>
  <c r="AV23" i="36"/>
  <c r="AV24" i="36"/>
  <c r="AV25" i="36"/>
  <c r="AV26" i="36"/>
  <c r="AV27" i="36"/>
  <c r="AV28" i="36"/>
  <c r="AV29" i="36"/>
  <c r="AV30" i="36"/>
  <c r="AV31" i="36"/>
  <c r="AV32" i="36"/>
  <c r="AV33" i="36"/>
  <c r="AV34" i="36"/>
  <c r="AV35" i="36"/>
  <c r="AV36" i="36"/>
  <c r="AV37" i="36"/>
  <c r="AV38" i="36"/>
  <c r="AV39" i="36"/>
  <c r="AV40" i="36"/>
  <c r="AV42" i="36"/>
  <c r="AV43" i="36"/>
  <c r="AV44" i="36"/>
  <c r="AV45" i="36"/>
  <c r="AV46" i="36"/>
  <c r="AV47" i="36"/>
  <c r="AV9" i="36"/>
  <c r="AV13" i="36"/>
  <c r="AV7" i="36"/>
  <c r="AV11" i="36"/>
  <c r="AV15" i="36"/>
  <c r="BD6" i="36"/>
  <c r="BD8" i="36"/>
  <c r="BD10" i="36"/>
  <c r="BD12" i="36"/>
  <c r="BD14" i="36"/>
  <c r="BD16" i="36"/>
  <c r="BD17" i="36"/>
  <c r="BD18" i="36"/>
  <c r="BD19" i="36"/>
  <c r="BD20" i="36"/>
  <c r="BD21" i="36"/>
  <c r="BD22" i="36"/>
  <c r="BD23" i="36"/>
  <c r="BD24" i="36"/>
  <c r="BD25" i="36"/>
  <c r="BD26" i="36"/>
  <c r="BD27" i="36"/>
  <c r="BD28" i="36"/>
  <c r="BD29" i="36"/>
  <c r="BD30" i="36"/>
  <c r="BD31" i="36"/>
  <c r="BD32" i="36"/>
  <c r="BD33" i="36"/>
  <c r="BD34" i="36"/>
  <c r="BD35" i="36"/>
  <c r="BD36" i="36"/>
  <c r="BD37" i="36"/>
  <c r="BD38" i="36"/>
  <c r="BD39" i="36"/>
  <c r="BD40" i="36"/>
  <c r="BD42" i="36"/>
  <c r="BD43" i="36"/>
  <c r="BD44" i="36"/>
  <c r="BD45" i="36"/>
  <c r="BD46" i="36"/>
  <c r="BD47" i="36"/>
  <c r="BD9" i="36"/>
  <c r="BD13" i="36"/>
  <c r="BD7" i="36"/>
  <c r="BD11" i="36"/>
  <c r="BD15" i="36"/>
  <c r="AQ6" i="36"/>
  <c r="AQ7" i="36"/>
  <c r="AQ8" i="36"/>
  <c r="AQ9" i="36"/>
  <c r="AQ10" i="36"/>
  <c r="AQ11" i="36"/>
  <c r="AQ12" i="36"/>
  <c r="AQ13" i="36"/>
  <c r="AQ14" i="36"/>
  <c r="AQ15" i="36"/>
  <c r="AQ16" i="36"/>
  <c r="AQ17" i="36"/>
  <c r="AQ19" i="36"/>
  <c r="AQ21" i="36"/>
  <c r="AQ23" i="36"/>
  <c r="AQ25" i="36"/>
  <c r="AQ27" i="36"/>
  <c r="AQ29" i="36"/>
  <c r="AQ31" i="36"/>
  <c r="AQ33" i="36"/>
  <c r="AQ35" i="36"/>
  <c r="AQ37" i="36"/>
  <c r="AQ39" i="36"/>
  <c r="AQ42" i="36"/>
  <c r="AQ45" i="36"/>
  <c r="AQ46" i="36"/>
  <c r="AQ18" i="36"/>
  <c r="AQ20" i="36"/>
  <c r="AQ22" i="36"/>
  <c r="AQ24" i="36"/>
  <c r="AQ26" i="36"/>
  <c r="AQ28" i="36"/>
  <c r="AQ30" i="36"/>
  <c r="AQ32" i="36"/>
  <c r="AQ34" i="36"/>
  <c r="AQ36" i="36"/>
  <c r="AQ38" i="36"/>
  <c r="AQ40" i="36"/>
  <c r="AQ43" i="36"/>
  <c r="AQ44" i="36"/>
  <c r="AQ47" i="36"/>
  <c r="AU6" i="36"/>
  <c r="AU7" i="36"/>
  <c r="AU8" i="36"/>
  <c r="AU9" i="36"/>
  <c r="AU10" i="36"/>
  <c r="AU11" i="36"/>
  <c r="AU12" i="36"/>
  <c r="AU13" i="36"/>
  <c r="AU14" i="36"/>
  <c r="AU15" i="36"/>
  <c r="AU16" i="36"/>
  <c r="AU17" i="36"/>
  <c r="AU19" i="36"/>
  <c r="AU21" i="36"/>
  <c r="AU23" i="36"/>
  <c r="AU25" i="36"/>
  <c r="AU27" i="36"/>
  <c r="AU29" i="36"/>
  <c r="AU31" i="36"/>
  <c r="AU33" i="36"/>
  <c r="AU35" i="36"/>
  <c r="AU37" i="36"/>
  <c r="AU39" i="36"/>
  <c r="AU42" i="36"/>
  <c r="AU45" i="36"/>
  <c r="AU46" i="36"/>
  <c r="AU18" i="36"/>
  <c r="AU20" i="36"/>
  <c r="AU22" i="36"/>
  <c r="AU24" i="36"/>
  <c r="AU26" i="36"/>
  <c r="AU28" i="36"/>
  <c r="AU30" i="36"/>
  <c r="AU32" i="36"/>
  <c r="AU34" i="36"/>
  <c r="AU36" i="36"/>
  <c r="AU38" i="36"/>
  <c r="AU40" i="36"/>
  <c r="AU43" i="36"/>
  <c r="AU44" i="36"/>
  <c r="AU47" i="36"/>
  <c r="AY6" i="36"/>
  <c r="AY7" i="36"/>
  <c r="AY8" i="36"/>
  <c r="AY9" i="36"/>
  <c r="AY10" i="36"/>
  <c r="AY11" i="36"/>
  <c r="AY12" i="36"/>
  <c r="AY13" i="36"/>
  <c r="AY14" i="36"/>
  <c r="AY15" i="36"/>
  <c r="AY16" i="36"/>
  <c r="AY17" i="36"/>
  <c r="AY19" i="36"/>
  <c r="AY21" i="36"/>
  <c r="AY23" i="36"/>
  <c r="AY25" i="36"/>
  <c r="AY27" i="36"/>
  <c r="AY29" i="36"/>
  <c r="AY31" i="36"/>
  <c r="AY33" i="36"/>
  <c r="AY35" i="36"/>
  <c r="AY37" i="36"/>
  <c r="AY39" i="36"/>
  <c r="AY42" i="36"/>
  <c r="AY45" i="36"/>
  <c r="AY46" i="36"/>
  <c r="AY18" i="36"/>
  <c r="AY20" i="36"/>
  <c r="AY22" i="36"/>
  <c r="AY24" i="36"/>
  <c r="AY26" i="36"/>
  <c r="AY28" i="36"/>
  <c r="AY30" i="36"/>
  <c r="AY32" i="36"/>
  <c r="AY34" i="36"/>
  <c r="AY36" i="36"/>
  <c r="AY38" i="36"/>
  <c r="AY40" i="36"/>
  <c r="AY43" i="36"/>
  <c r="AY44" i="36"/>
  <c r="AY47" i="36"/>
  <c r="BC6" i="36"/>
  <c r="BC7" i="36"/>
  <c r="BC8" i="36"/>
  <c r="BC9" i="36"/>
  <c r="BC10" i="36"/>
  <c r="BC11" i="36"/>
  <c r="BC12" i="36"/>
  <c r="BC13" i="36"/>
  <c r="BC14" i="36"/>
  <c r="BC15" i="36"/>
  <c r="BC16" i="36"/>
  <c r="BC17" i="36"/>
  <c r="BC19" i="36"/>
  <c r="BC21" i="36"/>
  <c r="BC23" i="36"/>
  <c r="BC25" i="36"/>
  <c r="BC27" i="36"/>
  <c r="BC29" i="36"/>
  <c r="BC31" i="36"/>
  <c r="BC33" i="36"/>
  <c r="BC35" i="36"/>
  <c r="BC37" i="36"/>
  <c r="BC39" i="36"/>
  <c r="BC42" i="36"/>
  <c r="BC45" i="36"/>
  <c r="BC46" i="36"/>
  <c r="BC18" i="36"/>
  <c r="BC20" i="36"/>
  <c r="BC22" i="36"/>
  <c r="BC24" i="36"/>
  <c r="BC26" i="36"/>
  <c r="BC28" i="36"/>
  <c r="BC30" i="36"/>
  <c r="BC32" i="36"/>
  <c r="BC34" i="36"/>
  <c r="BC36" i="36"/>
  <c r="BC38" i="36"/>
  <c r="BC40" i="36"/>
  <c r="BC43" i="36"/>
  <c r="BC44" i="36"/>
  <c r="BC47" i="36"/>
  <c r="U6" i="36"/>
  <c r="U7" i="36"/>
  <c r="U8" i="36"/>
  <c r="U9" i="36"/>
  <c r="U10" i="36"/>
  <c r="U11" i="36"/>
  <c r="U12" i="36"/>
  <c r="U13" i="36"/>
  <c r="U14" i="36"/>
  <c r="U15" i="36"/>
  <c r="U16" i="36"/>
  <c r="U17" i="36"/>
  <c r="U18" i="36"/>
  <c r="U19" i="36"/>
  <c r="U20" i="36"/>
  <c r="U21" i="36"/>
  <c r="U22" i="36"/>
  <c r="U23" i="36"/>
  <c r="U24" i="36"/>
  <c r="U25" i="36"/>
  <c r="U26" i="36"/>
  <c r="U27" i="36"/>
  <c r="U28" i="36"/>
  <c r="U29" i="36"/>
  <c r="U30" i="36"/>
  <c r="U31" i="36"/>
  <c r="U32" i="36"/>
  <c r="U33" i="36"/>
  <c r="U34" i="36"/>
  <c r="U35" i="36"/>
  <c r="U36" i="36"/>
  <c r="U37" i="36"/>
  <c r="U38" i="36"/>
  <c r="U39" i="36"/>
  <c r="U40" i="36"/>
  <c r="U42" i="36"/>
  <c r="U43" i="36"/>
  <c r="U44" i="36"/>
  <c r="U45" i="36"/>
  <c r="U46" i="36"/>
  <c r="U47" i="36"/>
  <c r="Y6" i="36"/>
  <c r="Y7" i="36"/>
  <c r="Y8" i="36"/>
  <c r="Y9" i="36"/>
  <c r="Y10" i="36"/>
  <c r="Y11" i="36"/>
  <c r="Y12" i="36"/>
  <c r="Y13" i="36"/>
  <c r="Y14" i="36"/>
  <c r="Y15" i="36"/>
  <c r="Y16" i="36"/>
  <c r="Y17" i="36"/>
  <c r="Y18" i="36"/>
  <c r="Y19" i="36"/>
  <c r="Y20" i="36"/>
  <c r="Y21" i="36"/>
  <c r="Y22" i="36"/>
  <c r="Y23" i="36"/>
  <c r="Y24" i="36"/>
  <c r="Y25" i="36"/>
  <c r="Y26" i="36"/>
  <c r="Y27" i="36"/>
  <c r="Y28" i="36"/>
  <c r="Y29" i="36"/>
  <c r="Y30" i="36"/>
  <c r="Y31" i="36"/>
  <c r="Y32" i="36"/>
  <c r="Y33" i="36"/>
  <c r="Y34" i="36"/>
  <c r="Y35" i="36"/>
  <c r="Y36" i="36"/>
  <c r="Y37" i="36"/>
  <c r="Y38" i="36"/>
  <c r="Y39" i="36"/>
  <c r="Y40" i="36"/>
  <c r="Y42" i="36"/>
  <c r="Y43" i="36"/>
  <c r="Y44" i="36"/>
  <c r="Y45" i="36"/>
  <c r="Y46" i="36"/>
  <c r="Y47" i="36"/>
  <c r="AC6" i="36"/>
  <c r="AC7" i="36"/>
  <c r="AC8" i="36"/>
  <c r="AC9" i="36"/>
  <c r="AC10" i="36"/>
  <c r="AC11" i="36"/>
  <c r="AC12" i="36"/>
  <c r="AC13" i="36"/>
  <c r="AC14" i="36"/>
  <c r="AC15" i="36"/>
  <c r="AC16" i="36"/>
  <c r="AC17" i="36"/>
  <c r="AC18" i="36"/>
  <c r="AC19" i="36"/>
  <c r="AC20" i="36"/>
  <c r="AC21" i="36"/>
  <c r="AC22" i="36"/>
  <c r="AC23" i="36"/>
  <c r="AC24" i="36"/>
  <c r="AC25" i="36"/>
  <c r="AC26" i="36"/>
  <c r="AC27" i="36"/>
  <c r="AC28" i="36"/>
  <c r="AC29" i="36"/>
  <c r="AC30" i="36"/>
  <c r="AC31" i="36"/>
  <c r="AC32" i="36"/>
  <c r="AC33" i="36"/>
  <c r="AC34" i="36"/>
  <c r="AC35" i="36"/>
  <c r="AC36" i="36"/>
  <c r="AC37" i="36"/>
  <c r="AC38" i="36"/>
  <c r="AC39" i="36"/>
  <c r="AC40" i="36"/>
  <c r="AC42" i="36"/>
  <c r="AC43" i="36"/>
  <c r="AC44" i="36"/>
  <c r="AC45" i="36"/>
  <c r="AC46" i="36"/>
  <c r="AC47" i="36"/>
  <c r="AG6" i="36"/>
  <c r="AG7" i="36"/>
  <c r="AG8" i="36"/>
  <c r="AG9" i="36"/>
  <c r="AG10" i="36"/>
  <c r="AG11" i="36"/>
  <c r="AG12" i="36"/>
  <c r="AG13" i="36"/>
  <c r="AG14" i="36"/>
  <c r="AG15" i="36"/>
  <c r="AG16" i="36"/>
  <c r="AG17" i="36"/>
  <c r="AG18" i="36"/>
  <c r="AG19" i="36"/>
  <c r="AG20" i="36"/>
  <c r="AG21" i="36"/>
  <c r="AG22" i="36"/>
  <c r="AG23" i="36"/>
  <c r="AG24" i="36"/>
  <c r="AG25" i="36"/>
  <c r="AG26" i="36"/>
  <c r="AG27" i="36"/>
  <c r="AG28" i="36"/>
  <c r="AG29" i="36"/>
  <c r="AG30" i="36"/>
  <c r="AG31" i="36"/>
  <c r="AG32" i="36"/>
  <c r="AG33" i="36"/>
  <c r="AG34" i="36"/>
  <c r="AG35" i="36"/>
  <c r="AG36" i="36"/>
  <c r="AG37" i="36"/>
  <c r="AG38" i="36"/>
  <c r="AG39" i="36"/>
  <c r="AG40" i="36"/>
  <c r="AG42" i="36"/>
  <c r="AG43" i="36"/>
  <c r="AG44" i="36"/>
  <c r="AG45" i="36"/>
  <c r="AG46" i="36"/>
  <c r="AG47" i="36"/>
  <c r="AK6" i="36"/>
  <c r="AK7" i="36"/>
  <c r="AK8" i="36"/>
  <c r="AK9" i="36"/>
  <c r="AK10" i="36"/>
  <c r="AK11" i="36"/>
  <c r="AK12" i="36"/>
  <c r="AK13" i="36"/>
  <c r="AK14" i="36"/>
  <c r="AK15" i="36"/>
  <c r="AK16" i="36"/>
  <c r="AK17" i="36"/>
  <c r="AK18" i="36"/>
  <c r="AK19" i="36"/>
  <c r="AK20" i="36"/>
  <c r="AK21" i="36"/>
  <c r="AK22" i="36"/>
  <c r="AK23" i="36"/>
  <c r="AK24" i="36"/>
  <c r="AK25" i="36"/>
  <c r="AK26" i="36"/>
  <c r="AK27" i="36"/>
  <c r="AK28" i="36"/>
  <c r="AK29" i="36"/>
  <c r="AK30" i="36"/>
  <c r="AK31" i="36"/>
  <c r="AK32" i="36"/>
  <c r="AK33" i="36"/>
  <c r="AK34" i="36"/>
  <c r="AK35" i="36"/>
  <c r="AK36" i="36"/>
  <c r="AK37" i="36"/>
  <c r="AK38" i="36"/>
  <c r="AK39" i="36"/>
  <c r="AK40" i="36"/>
  <c r="AK42" i="36"/>
  <c r="AK43" i="36"/>
  <c r="AK44" i="36"/>
  <c r="AK45" i="36"/>
  <c r="AK46" i="36"/>
  <c r="AK47" i="36"/>
  <c r="V6" i="36"/>
  <c r="V8" i="36"/>
  <c r="V10" i="36"/>
  <c r="V12" i="36"/>
  <c r="V14" i="36"/>
  <c r="V16" i="36"/>
  <c r="V18" i="36"/>
  <c r="V20" i="36"/>
  <c r="V22" i="36"/>
  <c r="V24" i="36"/>
  <c r="V25" i="36"/>
  <c r="V26" i="36"/>
  <c r="V27" i="36"/>
  <c r="V28" i="36"/>
  <c r="V29" i="36"/>
  <c r="V30" i="36"/>
  <c r="V31" i="36"/>
  <c r="V32" i="36"/>
  <c r="V33" i="36"/>
  <c r="V34" i="36"/>
  <c r="V35" i="36"/>
  <c r="V36" i="36"/>
  <c r="V37" i="36"/>
  <c r="V38" i="36"/>
  <c r="V39" i="36"/>
  <c r="V40" i="36"/>
  <c r="V42" i="36"/>
  <c r="V43" i="36"/>
  <c r="V44" i="36"/>
  <c r="V45" i="36"/>
  <c r="V46" i="36"/>
  <c r="V47" i="36"/>
  <c r="V7" i="36"/>
  <c r="V9" i="36"/>
  <c r="V11" i="36"/>
  <c r="V13" i="36"/>
  <c r="V15" i="36"/>
  <c r="V17" i="36"/>
  <c r="V19" i="36"/>
  <c r="V21" i="36"/>
  <c r="V23" i="36"/>
  <c r="Z6" i="36"/>
  <c r="Z8" i="36"/>
  <c r="Z10" i="36"/>
  <c r="Z12" i="36"/>
  <c r="Z14" i="36"/>
  <c r="Z16" i="36"/>
  <c r="Z18" i="36"/>
  <c r="Z20" i="36"/>
  <c r="Z22" i="36"/>
  <c r="Z24" i="36"/>
  <c r="Z25" i="36"/>
  <c r="Z26" i="36"/>
  <c r="Z27" i="36"/>
  <c r="Z28" i="36"/>
  <c r="Z29" i="36"/>
  <c r="Z30" i="36"/>
  <c r="Z31" i="36"/>
  <c r="Z32" i="36"/>
  <c r="Z33" i="36"/>
  <c r="Z34" i="36"/>
  <c r="Z35" i="36"/>
  <c r="Z36" i="36"/>
  <c r="Z37" i="36"/>
  <c r="Z38" i="36"/>
  <c r="Z39" i="36"/>
  <c r="Z40" i="36"/>
  <c r="Z42" i="36"/>
  <c r="Z43" i="36"/>
  <c r="Z44" i="36"/>
  <c r="Z45" i="36"/>
  <c r="Z46" i="36"/>
  <c r="Z47" i="36"/>
  <c r="Z7" i="36"/>
  <c r="Z9" i="36"/>
  <c r="Z11" i="36"/>
  <c r="Z13" i="36"/>
  <c r="Z15" i="36"/>
  <c r="Z17" i="36"/>
  <c r="Z19" i="36"/>
  <c r="Z21" i="36"/>
  <c r="Z23" i="36"/>
  <c r="AD6" i="36"/>
  <c r="AD8" i="36"/>
  <c r="AD10" i="36"/>
  <c r="AD12" i="36"/>
  <c r="AD14" i="36"/>
  <c r="AD16" i="36"/>
  <c r="AD18" i="36"/>
  <c r="AD20" i="36"/>
  <c r="AD22" i="36"/>
  <c r="AD24" i="36"/>
  <c r="AD25" i="36"/>
  <c r="AD26" i="36"/>
  <c r="AD27" i="36"/>
  <c r="AD28" i="36"/>
  <c r="AD29" i="36"/>
  <c r="AD30" i="36"/>
  <c r="AD31" i="36"/>
  <c r="AD32" i="36"/>
  <c r="AD33" i="36"/>
  <c r="AD34" i="36"/>
  <c r="AD35" i="36"/>
  <c r="AD36" i="36"/>
  <c r="AD37" i="36"/>
  <c r="AD38" i="36"/>
  <c r="AD39" i="36"/>
  <c r="AD40" i="36"/>
  <c r="AD42" i="36"/>
  <c r="AD43" i="36"/>
  <c r="AD44" i="36"/>
  <c r="AD45" i="36"/>
  <c r="AD46" i="36"/>
  <c r="AD47" i="36"/>
  <c r="AD7" i="36"/>
  <c r="AD9" i="36"/>
  <c r="AD11" i="36"/>
  <c r="AD13" i="36"/>
  <c r="AD15" i="36"/>
  <c r="AD17" i="36"/>
  <c r="AD19" i="36"/>
  <c r="AD21" i="36"/>
  <c r="AD23" i="36"/>
  <c r="AH6" i="36"/>
  <c r="AH8" i="36"/>
  <c r="AH10" i="36"/>
  <c r="AH12" i="36"/>
  <c r="AH14" i="36"/>
  <c r="AH16" i="36"/>
  <c r="AH18" i="36"/>
  <c r="AH20" i="36"/>
  <c r="AH22" i="36"/>
  <c r="AH24" i="36"/>
  <c r="AH25" i="36"/>
  <c r="AH26" i="36"/>
  <c r="AH27" i="36"/>
  <c r="AH28" i="36"/>
  <c r="AH29" i="36"/>
  <c r="AH30" i="36"/>
  <c r="AH31" i="36"/>
  <c r="AH32" i="36"/>
  <c r="AH33" i="36"/>
  <c r="AH34" i="36"/>
  <c r="AH35" i="36"/>
  <c r="AH36" i="36"/>
  <c r="AH37" i="36"/>
  <c r="AH38" i="36"/>
  <c r="AH39" i="36"/>
  <c r="AH40" i="36"/>
  <c r="AH42" i="36"/>
  <c r="AH43" i="36"/>
  <c r="AH44" i="36"/>
  <c r="AH45" i="36"/>
  <c r="AH46" i="36"/>
  <c r="AH47" i="36"/>
  <c r="AH7" i="36"/>
  <c r="AH9" i="36"/>
  <c r="AH11" i="36"/>
  <c r="AH13" i="36"/>
  <c r="AH15" i="36"/>
  <c r="AH17" i="36"/>
  <c r="AH19" i="36"/>
  <c r="AH21" i="36"/>
  <c r="AH23" i="36"/>
  <c r="AH6" i="37"/>
  <c r="AH7" i="37"/>
  <c r="AH8" i="37"/>
  <c r="AH9" i="37"/>
  <c r="AH10" i="37"/>
  <c r="AH11" i="37"/>
  <c r="AH12" i="37"/>
  <c r="AH13" i="37"/>
  <c r="AH14" i="37"/>
  <c r="AH15" i="37"/>
  <c r="AH16" i="37"/>
  <c r="AH17" i="37"/>
  <c r="AH18" i="37"/>
  <c r="AH19" i="37"/>
  <c r="AH20" i="37"/>
  <c r="AH21" i="37"/>
  <c r="AH22" i="37"/>
  <c r="AH23" i="37"/>
  <c r="AH24" i="37"/>
  <c r="AH25" i="37"/>
  <c r="AH26" i="37"/>
  <c r="AH27" i="37"/>
  <c r="AH28" i="37"/>
  <c r="AH29" i="37"/>
  <c r="AH31" i="37"/>
  <c r="AH33" i="37"/>
  <c r="AH35" i="37"/>
  <c r="AH37" i="37"/>
  <c r="AH39" i="37"/>
  <c r="AH41" i="37"/>
  <c r="AH44" i="37"/>
  <c r="AH46" i="37"/>
  <c r="AH48" i="37"/>
  <c r="AH50" i="37"/>
  <c r="AH30" i="37"/>
  <c r="AH34" i="37"/>
  <c r="AH38" i="37"/>
  <c r="AH42" i="37"/>
  <c r="AH47" i="37"/>
  <c r="AH51" i="37"/>
  <c r="AH32" i="37"/>
  <c r="AH36" i="37"/>
  <c r="AH40" i="37"/>
  <c r="AH45" i="37"/>
  <c r="AH49" i="37"/>
  <c r="AD6" i="37"/>
  <c r="AD7" i="37"/>
  <c r="AD8" i="37"/>
  <c r="AD9" i="37"/>
  <c r="AD10" i="37"/>
  <c r="AD11" i="37"/>
  <c r="AD12" i="37"/>
  <c r="AD13" i="37"/>
  <c r="AD14" i="37"/>
  <c r="AD15" i="37"/>
  <c r="AD16" i="37"/>
  <c r="AD17" i="37"/>
  <c r="AD18" i="37"/>
  <c r="AD19" i="37"/>
  <c r="AD20" i="37"/>
  <c r="AD21" i="37"/>
  <c r="AD22" i="37"/>
  <c r="AD23" i="37"/>
  <c r="AD24" i="37"/>
  <c r="AD25" i="37"/>
  <c r="AD26" i="37"/>
  <c r="AD27" i="37"/>
  <c r="AD28" i="37"/>
  <c r="AD29" i="37"/>
  <c r="AD31" i="37"/>
  <c r="AD33" i="37"/>
  <c r="AD35" i="37"/>
  <c r="AD37" i="37"/>
  <c r="AD39" i="37"/>
  <c r="AD41" i="37"/>
  <c r="AD44" i="37"/>
  <c r="AD46" i="37"/>
  <c r="AD48" i="37"/>
  <c r="AD50" i="37"/>
  <c r="AD32" i="37"/>
  <c r="AD36" i="37"/>
  <c r="AD40" i="37"/>
  <c r="AD45" i="37"/>
  <c r="AD49" i="37"/>
  <c r="AD30" i="37"/>
  <c r="AD34" i="37"/>
  <c r="AD38" i="37"/>
  <c r="AD42" i="37"/>
  <c r="AD47" i="37"/>
  <c r="AD51" i="37"/>
  <c r="Z6" i="37"/>
  <c r="Z7" i="37"/>
  <c r="Z8" i="37"/>
  <c r="Z9" i="37"/>
  <c r="Z10" i="37"/>
  <c r="Z11" i="37"/>
  <c r="Z12" i="37"/>
  <c r="Z13" i="37"/>
  <c r="Z14" i="37"/>
  <c r="Z15" i="37"/>
  <c r="Z16" i="37"/>
  <c r="Z17" i="37"/>
  <c r="Z18" i="37"/>
  <c r="Z19" i="37"/>
  <c r="Z20" i="37"/>
  <c r="Z21" i="37"/>
  <c r="Z22" i="37"/>
  <c r="Z23" i="37"/>
  <c r="Z24" i="37"/>
  <c r="Z25" i="37"/>
  <c r="Z26" i="37"/>
  <c r="Z27" i="37"/>
  <c r="Z28" i="37"/>
  <c r="Z29" i="37"/>
  <c r="Z31" i="37"/>
  <c r="Z33" i="37"/>
  <c r="Z35" i="37"/>
  <c r="Z37" i="37"/>
  <c r="Z39" i="37"/>
  <c r="Z41" i="37"/>
  <c r="Z44" i="37"/>
  <c r="Z46" i="37"/>
  <c r="Z48" i="37"/>
  <c r="Z50" i="37"/>
  <c r="Z30" i="37"/>
  <c r="Z34" i="37"/>
  <c r="Z38" i="37"/>
  <c r="Z42" i="37"/>
  <c r="Z47" i="37"/>
  <c r="Z51" i="37"/>
  <c r="Z32" i="37"/>
  <c r="Z36" i="37"/>
  <c r="Z40" i="37"/>
  <c r="Z45" i="37"/>
  <c r="Z49" i="37"/>
  <c r="V6" i="37"/>
  <c r="V7" i="37"/>
  <c r="V8" i="37"/>
  <c r="V9" i="37"/>
  <c r="V10" i="37"/>
  <c r="V11" i="37"/>
  <c r="V12" i="37"/>
  <c r="V13" i="37"/>
  <c r="V14" i="37"/>
  <c r="V15" i="37"/>
  <c r="V16" i="37"/>
  <c r="V17" i="37"/>
  <c r="V18" i="37"/>
  <c r="V19" i="37"/>
  <c r="V20" i="37"/>
  <c r="V21" i="37"/>
  <c r="V22" i="37"/>
  <c r="V23" i="37"/>
  <c r="V24" i="37"/>
  <c r="V25" i="37"/>
  <c r="V26" i="37"/>
  <c r="V27" i="37"/>
  <c r="V28" i="37"/>
  <c r="V29" i="37"/>
  <c r="V31" i="37"/>
  <c r="V33" i="37"/>
  <c r="V35" i="37"/>
  <c r="V37" i="37"/>
  <c r="V39" i="37"/>
  <c r="V41" i="37"/>
  <c r="V44" i="37"/>
  <c r="V46" i="37"/>
  <c r="V48" i="37"/>
  <c r="V50" i="37"/>
  <c r="V32" i="37"/>
  <c r="V36" i="37"/>
  <c r="V40" i="37"/>
  <c r="V45" i="37"/>
  <c r="V49" i="37"/>
  <c r="V30" i="37"/>
  <c r="V34" i="37"/>
  <c r="V38" i="37"/>
  <c r="V42" i="37"/>
  <c r="V47" i="37"/>
  <c r="V51" i="37"/>
  <c r="AK6" i="37"/>
  <c r="AK7" i="37"/>
  <c r="AK8" i="37"/>
  <c r="AK9" i="37"/>
  <c r="AK10" i="37"/>
  <c r="AK11" i="37"/>
  <c r="AK12" i="37"/>
  <c r="AK13" i="37"/>
  <c r="AK14" i="37"/>
  <c r="AK15" i="37"/>
  <c r="AK16" i="37"/>
  <c r="AK17" i="37"/>
  <c r="AK18" i="37"/>
  <c r="AK19" i="37"/>
  <c r="AK20" i="37"/>
  <c r="AK21" i="37"/>
  <c r="AK22" i="37"/>
  <c r="AK23" i="37"/>
  <c r="AK24" i="37"/>
  <c r="AK25" i="37"/>
  <c r="AK26" i="37"/>
  <c r="AK27" i="37"/>
  <c r="AK28" i="37"/>
  <c r="AK29" i="37"/>
  <c r="AK30" i="37"/>
  <c r="AK31" i="37"/>
  <c r="AK32" i="37"/>
  <c r="AK33" i="37"/>
  <c r="AK34" i="37"/>
  <c r="AK35" i="37"/>
  <c r="AK36" i="37"/>
  <c r="AK37" i="37"/>
  <c r="AK38" i="37"/>
  <c r="AK39" i="37"/>
  <c r="AK40" i="37"/>
  <c r="AK41" i="37"/>
  <c r="AK42" i="37"/>
  <c r="AK44" i="37"/>
  <c r="AK45" i="37"/>
  <c r="AK46" i="37"/>
  <c r="AK47" i="37"/>
  <c r="AK48" i="37"/>
  <c r="AK49" i="37"/>
  <c r="AK50" i="37"/>
  <c r="AK51" i="37"/>
  <c r="AG6" i="37"/>
  <c r="AG7" i="37"/>
  <c r="AG8" i="37"/>
  <c r="AG9" i="37"/>
  <c r="AG10" i="37"/>
  <c r="AG11" i="37"/>
  <c r="AG12" i="37"/>
  <c r="AG13" i="37"/>
  <c r="AG14" i="37"/>
  <c r="AG15" i="37"/>
  <c r="AG16" i="37"/>
  <c r="AG17" i="37"/>
  <c r="AG18" i="37"/>
  <c r="AG19" i="37"/>
  <c r="AG20" i="37"/>
  <c r="AG21" i="37"/>
  <c r="AG22" i="37"/>
  <c r="AG23" i="37"/>
  <c r="AG24" i="37"/>
  <c r="AG25" i="37"/>
  <c r="AG26" i="37"/>
  <c r="AG27" i="37"/>
  <c r="AG28" i="37"/>
  <c r="AG29" i="37"/>
  <c r="AG30" i="37"/>
  <c r="AG31" i="37"/>
  <c r="AG32" i="37"/>
  <c r="AG33" i="37"/>
  <c r="AG34" i="37"/>
  <c r="AG35" i="37"/>
  <c r="AG36" i="37"/>
  <c r="AG37" i="37"/>
  <c r="AG38" i="37"/>
  <c r="AG39" i="37"/>
  <c r="AG40" i="37"/>
  <c r="AG41" i="37"/>
  <c r="AG42" i="37"/>
  <c r="AG44" i="37"/>
  <c r="AG45" i="37"/>
  <c r="AG46" i="37"/>
  <c r="AG47" i="37"/>
  <c r="AG48" i="37"/>
  <c r="AG49" i="37"/>
  <c r="AG50" i="37"/>
  <c r="AG51" i="37"/>
  <c r="AC6" i="37"/>
  <c r="AC7" i="37"/>
  <c r="AC8" i="37"/>
  <c r="AC9" i="37"/>
  <c r="AC10" i="37"/>
  <c r="AC11" i="37"/>
  <c r="AC12" i="37"/>
  <c r="AC13" i="37"/>
  <c r="AC14" i="37"/>
  <c r="AC15" i="37"/>
  <c r="AC16" i="37"/>
  <c r="AC17" i="37"/>
  <c r="AC18" i="37"/>
  <c r="AC19" i="37"/>
  <c r="AC20" i="37"/>
  <c r="AC21" i="37"/>
  <c r="AC22" i="37"/>
  <c r="AC23" i="37"/>
  <c r="AC24" i="37"/>
  <c r="AC25" i="37"/>
  <c r="AC26" i="37"/>
  <c r="AC27" i="37"/>
  <c r="AC28" i="37"/>
  <c r="AC29" i="37"/>
  <c r="AC30" i="37"/>
  <c r="AC31" i="37"/>
  <c r="AC32" i="37"/>
  <c r="AC33" i="37"/>
  <c r="AC34" i="37"/>
  <c r="AC35" i="37"/>
  <c r="AC36" i="37"/>
  <c r="AC37" i="37"/>
  <c r="AC38" i="37"/>
  <c r="AC39" i="37"/>
  <c r="AC40" i="37"/>
  <c r="AC41" i="37"/>
  <c r="AC42" i="37"/>
  <c r="AC44" i="37"/>
  <c r="AC45" i="37"/>
  <c r="AC46" i="37"/>
  <c r="AC47" i="37"/>
  <c r="AC48" i="37"/>
  <c r="AC49" i="37"/>
  <c r="AC50" i="37"/>
  <c r="AC51" i="37"/>
  <c r="Y6" i="37"/>
  <c r="Y7" i="37"/>
  <c r="Y8" i="37"/>
  <c r="Y9" i="37"/>
  <c r="Y10" i="37"/>
  <c r="Y11" i="37"/>
  <c r="Y12" i="37"/>
  <c r="Y13" i="37"/>
  <c r="Y14" i="37"/>
  <c r="Y15" i="37"/>
  <c r="Y16" i="37"/>
  <c r="Y17" i="37"/>
  <c r="Y18" i="37"/>
  <c r="Y19" i="37"/>
  <c r="Y20" i="37"/>
  <c r="Y21" i="37"/>
  <c r="Y22" i="37"/>
  <c r="Y23" i="37"/>
  <c r="Y24" i="37"/>
  <c r="Y25" i="37"/>
  <c r="Y26" i="37"/>
  <c r="Y27" i="37"/>
  <c r="Y28" i="37"/>
  <c r="Y29" i="37"/>
  <c r="Y30" i="37"/>
  <c r="Y31" i="37"/>
  <c r="Y32" i="37"/>
  <c r="Y33" i="37"/>
  <c r="Y34" i="37"/>
  <c r="Y35" i="37"/>
  <c r="Y36" i="37"/>
  <c r="Y37" i="37"/>
  <c r="Y38" i="37"/>
  <c r="Y39" i="37"/>
  <c r="Y40" i="37"/>
  <c r="Y41" i="37"/>
  <c r="Y42" i="37"/>
  <c r="Y44" i="37"/>
  <c r="Y45" i="37"/>
  <c r="Y46" i="37"/>
  <c r="Y47" i="37"/>
  <c r="Y48" i="37"/>
  <c r="Y49" i="37"/>
  <c r="Y50" i="37"/>
  <c r="Y51" i="37"/>
  <c r="U6" i="37"/>
  <c r="U7" i="37"/>
  <c r="U8" i="37"/>
  <c r="U9" i="37"/>
  <c r="U10" i="37"/>
  <c r="U11" i="37"/>
  <c r="U12" i="37"/>
  <c r="U13" i="37"/>
  <c r="U14" i="37"/>
  <c r="U15" i="37"/>
  <c r="U16" i="37"/>
  <c r="U17" i="37"/>
  <c r="U18" i="37"/>
  <c r="U19" i="37"/>
  <c r="U20" i="37"/>
  <c r="U21" i="37"/>
  <c r="U22" i="37"/>
  <c r="U23" i="37"/>
  <c r="U24" i="37"/>
  <c r="U25" i="37"/>
  <c r="U26" i="37"/>
  <c r="U27" i="37"/>
  <c r="U28" i="37"/>
  <c r="U29" i="37"/>
  <c r="U30" i="37"/>
  <c r="U31" i="37"/>
  <c r="U32" i="37"/>
  <c r="U33" i="37"/>
  <c r="U34" i="37"/>
  <c r="U35" i="37"/>
  <c r="U36" i="37"/>
  <c r="U37" i="37"/>
  <c r="U38" i="37"/>
  <c r="U39" i="37"/>
  <c r="U40" i="37"/>
  <c r="U41" i="37"/>
  <c r="U42" i="37"/>
  <c r="U44" i="37"/>
  <c r="U45" i="37"/>
  <c r="U46" i="37"/>
  <c r="U47" i="37"/>
  <c r="U48" i="37"/>
  <c r="U49" i="37"/>
  <c r="U50" i="37"/>
  <c r="U51" i="37"/>
  <c r="AP6" i="37"/>
  <c r="AP8" i="37"/>
  <c r="AP10" i="37"/>
  <c r="AP12" i="37"/>
  <c r="AP14" i="37"/>
  <c r="AP16" i="37"/>
  <c r="AP17" i="37"/>
  <c r="AP18" i="37"/>
  <c r="AP19" i="37"/>
  <c r="AP20" i="37"/>
  <c r="AP21" i="37"/>
  <c r="AP22" i="37"/>
  <c r="AP23" i="37"/>
  <c r="AP24" i="37"/>
  <c r="AP25" i="37"/>
  <c r="AP26" i="37"/>
  <c r="AP27" i="37"/>
  <c r="AP28" i="37"/>
  <c r="AP9" i="37"/>
  <c r="AP13" i="37"/>
  <c r="AP7" i="37"/>
  <c r="AP11" i="37"/>
  <c r="AP15" i="37"/>
  <c r="AP29" i="37"/>
  <c r="AP30" i="37"/>
  <c r="AP31" i="37"/>
  <c r="AP32" i="37"/>
  <c r="AP33" i="37"/>
  <c r="AP34" i="37"/>
  <c r="AP35" i="37"/>
  <c r="AP36" i="37"/>
  <c r="AP37" i="37"/>
  <c r="AP38" i="37"/>
  <c r="AP39" i="37"/>
  <c r="AP40" i="37"/>
  <c r="AP41" i="37"/>
  <c r="AP42" i="37"/>
  <c r="AP44" i="37"/>
  <c r="AP45" i="37"/>
  <c r="AP46" i="37"/>
  <c r="AP47" i="37"/>
  <c r="AP48" i="37"/>
  <c r="AP49" i="37"/>
  <c r="AP50" i="37"/>
  <c r="AP51" i="37"/>
  <c r="AT6" i="37"/>
  <c r="AT8" i="37"/>
  <c r="AT10" i="37"/>
  <c r="AT12" i="37"/>
  <c r="AT14" i="37"/>
  <c r="AT16" i="37"/>
  <c r="AT17" i="37"/>
  <c r="AT18" i="37"/>
  <c r="AT19" i="37"/>
  <c r="AT20" i="37"/>
  <c r="AT21" i="37"/>
  <c r="AT22" i="37"/>
  <c r="AT23" i="37"/>
  <c r="AT24" i="37"/>
  <c r="AT25" i="37"/>
  <c r="AT26" i="37"/>
  <c r="AT27" i="37"/>
  <c r="AT28" i="37"/>
  <c r="AT7" i="37"/>
  <c r="AT11" i="37"/>
  <c r="AT15" i="37"/>
  <c r="AT9" i="37"/>
  <c r="AT13" i="37"/>
  <c r="AT29" i="37"/>
  <c r="AT30" i="37"/>
  <c r="AT31" i="37"/>
  <c r="AT32" i="37"/>
  <c r="AT33" i="37"/>
  <c r="AT34" i="37"/>
  <c r="AT35" i="37"/>
  <c r="AT36" i="37"/>
  <c r="AT37" i="37"/>
  <c r="AT38" i="37"/>
  <c r="AT39" i="37"/>
  <c r="AT40" i="37"/>
  <c r="AT41" i="37"/>
  <c r="AT42" i="37"/>
  <c r="AT44" i="37"/>
  <c r="AT45" i="37"/>
  <c r="AT46" i="37"/>
  <c r="AT47" i="37"/>
  <c r="AT48" i="37"/>
  <c r="AT49" i="37"/>
  <c r="AT50" i="37"/>
  <c r="AT51" i="37"/>
  <c r="AN7" i="37"/>
  <c r="AN9" i="37"/>
  <c r="AN11" i="37"/>
  <c r="AN13" i="37"/>
  <c r="AN15" i="37"/>
  <c r="AN16" i="37"/>
  <c r="AN17" i="37"/>
  <c r="AN18" i="37"/>
  <c r="AN19" i="37"/>
  <c r="AN20" i="37"/>
  <c r="AN21" i="37"/>
  <c r="AN22" i="37"/>
  <c r="AN23" i="37"/>
  <c r="AN24" i="37"/>
  <c r="AN25" i="37"/>
  <c r="AN26" i="37"/>
  <c r="AN27" i="37"/>
  <c r="AN28" i="37"/>
  <c r="AN6" i="37"/>
  <c r="AN10" i="37"/>
  <c r="AN14" i="37"/>
  <c r="AN8" i="37"/>
  <c r="AN12" i="37"/>
  <c r="AN29" i="37"/>
  <c r="AN30" i="37"/>
  <c r="AN31" i="37"/>
  <c r="AN32" i="37"/>
  <c r="AN33" i="37"/>
  <c r="AN34" i="37"/>
  <c r="AN35" i="37"/>
  <c r="AN36" i="37"/>
  <c r="AN37" i="37"/>
  <c r="AN38" i="37"/>
  <c r="AN39" i="37"/>
  <c r="AN40" i="37"/>
  <c r="AN41" i="37"/>
  <c r="AN42" i="37"/>
  <c r="AN44" i="37"/>
  <c r="AN45" i="37"/>
  <c r="AN46" i="37"/>
  <c r="AN47" i="37"/>
  <c r="AN48" i="37"/>
  <c r="AN49" i="37"/>
  <c r="AN50" i="37"/>
  <c r="AN51" i="37"/>
  <c r="AM4" i="37"/>
  <c r="AV7" i="37"/>
  <c r="AV9" i="37"/>
  <c r="AV11" i="37"/>
  <c r="AV13" i="37"/>
  <c r="AV15" i="37"/>
  <c r="AV16" i="37"/>
  <c r="AV17" i="37"/>
  <c r="AV18" i="37"/>
  <c r="AV19" i="37"/>
  <c r="AV20" i="37"/>
  <c r="AV21" i="37"/>
  <c r="AV22" i="37"/>
  <c r="AV23" i="37"/>
  <c r="AV24" i="37"/>
  <c r="AV25" i="37"/>
  <c r="AV26" i="37"/>
  <c r="AV27" i="37"/>
  <c r="AV28" i="37"/>
  <c r="AV6" i="37"/>
  <c r="AV10" i="37"/>
  <c r="AV14" i="37"/>
  <c r="AV8" i="37"/>
  <c r="AV12" i="37"/>
  <c r="AV29" i="37"/>
  <c r="AV30" i="37"/>
  <c r="AV31" i="37"/>
  <c r="AV32" i="37"/>
  <c r="AV33" i="37"/>
  <c r="AV34" i="37"/>
  <c r="AV35" i="37"/>
  <c r="AV36" i="37"/>
  <c r="AV37" i="37"/>
  <c r="AV38" i="37"/>
  <c r="AV39" i="37"/>
  <c r="AV40" i="37"/>
  <c r="AV41" i="37"/>
  <c r="AV42" i="37"/>
  <c r="AV44" i="37"/>
  <c r="AV45" i="37"/>
  <c r="AV46" i="37"/>
  <c r="AV47" i="37"/>
  <c r="AV48" i="37"/>
  <c r="AV49" i="37"/>
  <c r="AV50" i="37"/>
  <c r="AV51" i="37"/>
  <c r="BD7" i="37"/>
  <c r="BD9" i="37"/>
  <c r="BD11" i="37"/>
  <c r="BD13" i="37"/>
  <c r="BD15" i="37"/>
  <c r="BD16" i="37"/>
  <c r="BD17" i="37"/>
  <c r="BD18" i="37"/>
  <c r="BD19" i="37"/>
  <c r="BD20" i="37"/>
  <c r="BD21" i="37"/>
  <c r="BD22" i="37"/>
  <c r="BD23" i="37"/>
  <c r="BD24" i="37"/>
  <c r="BD25" i="37"/>
  <c r="BD26" i="37"/>
  <c r="BD27" i="37"/>
  <c r="BD28" i="37"/>
  <c r="BD6" i="37"/>
  <c r="BD10" i="37"/>
  <c r="BD14" i="37"/>
  <c r="BD8" i="37"/>
  <c r="BD12" i="37"/>
  <c r="BD29" i="37"/>
  <c r="BD30" i="37"/>
  <c r="BD31" i="37"/>
  <c r="BD32" i="37"/>
  <c r="BD33" i="37"/>
  <c r="BD34" i="37"/>
  <c r="BD35" i="37"/>
  <c r="BD36" i="37"/>
  <c r="BD37" i="37"/>
  <c r="BD38" i="37"/>
  <c r="BD39" i="37"/>
  <c r="BD40" i="37"/>
  <c r="BD41" i="37"/>
  <c r="BD42" i="37"/>
  <c r="BD44" i="37"/>
  <c r="BD45" i="37"/>
  <c r="BD46" i="37"/>
  <c r="BD47" i="37"/>
  <c r="BD48" i="37"/>
  <c r="BD49" i="37"/>
  <c r="BD50" i="37"/>
  <c r="BD51" i="37"/>
  <c r="AQ6" i="37"/>
  <c r="AQ7" i="37"/>
  <c r="AQ8" i="37"/>
  <c r="AQ9" i="37"/>
  <c r="AQ10" i="37"/>
  <c r="AQ11" i="37"/>
  <c r="AQ12" i="37"/>
  <c r="AQ13" i="37"/>
  <c r="AQ14" i="37"/>
  <c r="AQ15" i="37"/>
  <c r="AQ17" i="37"/>
  <c r="AQ19" i="37"/>
  <c r="AQ21" i="37"/>
  <c r="AQ23" i="37"/>
  <c r="AQ25" i="37"/>
  <c r="AQ27" i="37"/>
  <c r="AQ16" i="37"/>
  <c r="AQ18" i="37"/>
  <c r="AQ20" i="37"/>
  <c r="AQ22" i="37"/>
  <c r="AQ24" i="37"/>
  <c r="AQ26" i="37"/>
  <c r="AQ28" i="37"/>
  <c r="AQ30" i="37"/>
  <c r="AQ32" i="37"/>
  <c r="AQ34" i="37"/>
  <c r="AQ36" i="37"/>
  <c r="AQ38" i="37"/>
  <c r="AQ40" i="37"/>
  <c r="AQ42" i="37"/>
  <c r="AQ45" i="37"/>
  <c r="AQ47" i="37"/>
  <c r="AQ29" i="37"/>
  <c r="AQ31" i="37"/>
  <c r="AQ33" i="37"/>
  <c r="AQ35" i="37"/>
  <c r="AQ37" i="37"/>
  <c r="AQ39" i="37"/>
  <c r="AQ41" i="37"/>
  <c r="AQ44" i="37"/>
  <c r="AQ46" i="37"/>
  <c r="AQ48" i="37"/>
  <c r="AQ49" i="37"/>
  <c r="AQ50" i="37"/>
  <c r="AQ51" i="37"/>
  <c r="AU6" i="37"/>
  <c r="AU7" i="37"/>
  <c r="AU8" i="37"/>
  <c r="AU9" i="37"/>
  <c r="AU10" i="37"/>
  <c r="AU11" i="37"/>
  <c r="AU12" i="37"/>
  <c r="AU13" i="37"/>
  <c r="AU14" i="37"/>
  <c r="AU15" i="37"/>
  <c r="AU17" i="37"/>
  <c r="AU19" i="37"/>
  <c r="AU21" i="37"/>
  <c r="AU23" i="37"/>
  <c r="AU25" i="37"/>
  <c r="AU27" i="37"/>
  <c r="AU16" i="37"/>
  <c r="AU18" i="37"/>
  <c r="AU20" i="37"/>
  <c r="AU22" i="37"/>
  <c r="AU24" i="37"/>
  <c r="AU26" i="37"/>
  <c r="AU28" i="37"/>
  <c r="AU30" i="37"/>
  <c r="AU32" i="37"/>
  <c r="AU34" i="37"/>
  <c r="AU36" i="37"/>
  <c r="AU38" i="37"/>
  <c r="AU40" i="37"/>
  <c r="AU42" i="37"/>
  <c r="AU45" i="37"/>
  <c r="AU47" i="37"/>
  <c r="AU29" i="37"/>
  <c r="AU31" i="37"/>
  <c r="AU33" i="37"/>
  <c r="AU35" i="37"/>
  <c r="AU37" i="37"/>
  <c r="AU39" i="37"/>
  <c r="AU41" i="37"/>
  <c r="AU44" i="37"/>
  <c r="AU46" i="37"/>
  <c r="AU48" i="37"/>
  <c r="AU49" i="37"/>
  <c r="AU50" i="37"/>
  <c r="AU51" i="37"/>
  <c r="AY6" i="37"/>
  <c r="AY7" i="37"/>
  <c r="AY8" i="37"/>
  <c r="AY9" i="37"/>
  <c r="AY10" i="37"/>
  <c r="AY11" i="37"/>
  <c r="AY12" i="37"/>
  <c r="AY13" i="37"/>
  <c r="AY14" i="37"/>
  <c r="AY15" i="37"/>
  <c r="AY17" i="37"/>
  <c r="AY19" i="37"/>
  <c r="AY21" i="37"/>
  <c r="AY23" i="37"/>
  <c r="AY25" i="37"/>
  <c r="AY27" i="37"/>
  <c r="AY16" i="37"/>
  <c r="AY18" i="37"/>
  <c r="AY20" i="37"/>
  <c r="AY22" i="37"/>
  <c r="AY24" i="37"/>
  <c r="AY26" i="37"/>
  <c r="AY28" i="37"/>
  <c r="AY30" i="37"/>
  <c r="AY32" i="37"/>
  <c r="AY34" i="37"/>
  <c r="AY36" i="37"/>
  <c r="AY38" i="37"/>
  <c r="AY40" i="37"/>
  <c r="AY42" i="37"/>
  <c r="AY45" i="37"/>
  <c r="AY47" i="37"/>
  <c r="AY29" i="37"/>
  <c r="AY31" i="37"/>
  <c r="AY33" i="37"/>
  <c r="AY35" i="37"/>
  <c r="AY37" i="37"/>
  <c r="AY39" i="37"/>
  <c r="AY41" i="37"/>
  <c r="AY44" i="37"/>
  <c r="AY46" i="37"/>
  <c r="AY48" i="37"/>
  <c r="AY49" i="37"/>
  <c r="AY50" i="37"/>
  <c r="AY51" i="37"/>
  <c r="BC6" i="37"/>
  <c r="BC7" i="37"/>
  <c r="BC8" i="37"/>
  <c r="BC9" i="37"/>
  <c r="BC10" i="37"/>
  <c r="BC11" i="37"/>
  <c r="BC12" i="37"/>
  <c r="BC13" i="37"/>
  <c r="BC14" i="37"/>
  <c r="BC15" i="37"/>
  <c r="BC17" i="37"/>
  <c r="BC19" i="37"/>
  <c r="BC21" i="37"/>
  <c r="BC23" i="37"/>
  <c r="BC25" i="37"/>
  <c r="BC27" i="37"/>
  <c r="BC16" i="37"/>
  <c r="BC18" i="37"/>
  <c r="BC20" i="37"/>
  <c r="BC22" i="37"/>
  <c r="BC24" i="37"/>
  <c r="BC26" i="37"/>
  <c r="BC28" i="37"/>
  <c r="BC30" i="37"/>
  <c r="BC32" i="37"/>
  <c r="BC34" i="37"/>
  <c r="BC36" i="37"/>
  <c r="BC38" i="37"/>
  <c r="BC40" i="37"/>
  <c r="BC42" i="37"/>
  <c r="BC45" i="37"/>
  <c r="BC47" i="37"/>
  <c r="BC29" i="37"/>
  <c r="BC31" i="37"/>
  <c r="BC33" i="37"/>
  <c r="BC35" i="37"/>
  <c r="BC37" i="37"/>
  <c r="BC39" i="37"/>
  <c r="BC41" i="37"/>
  <c r="BC44" i="37"/>
  <c r="BC46" i="37"/>
  <c r="BC48" i="37"/>
  <c r="BC49" i="37"/>
  <c r="BC50" i="37"/>
  <c r="BC51" i="37"/>
  <c r="AJ6" i="37"/>
  <c r="AJ7" i="37"/>
  <c r="AJ8" i="37"/>
  <c r="AJ9" i="37"/>
  <c r="AJ10" i="37"/>
  <c r="AJ11" i="37"/>
  <c r="AJ12" i="37"/>
  <c r="AJ13" i="37"/>
  <c r="AJ14" i="37"/>
  <c r="AJ15" i="37"/>
  <c r="AJ16" i="37"/>
  <c r="AJ17" i="37"/>
  <c r="AJ18" i="37"/>
  <c r="AJ19" i="37"/>
  <c r="AJ20" i="37"/>
  <c r="AJ21" i="37"/>
  <c r="AJ22" i="37"/>
  <c r="AJ23" i="37"/>
  <c r="AJ24" i="37"/>
  <c r="AJ25" i="37"/>
  <c r="AJ26" i="37"/>
  <c r="AJ27" i="37"/>
  <c r="AJ28" i="37"/>
  <c r="AJ30" i="37"/>
  <c r="AJ32" i="37"/>
  <c r="AJ34" i="37"/>
  <c r="AJ36" i="37"/>
  <c r="AJ38" i="37"/>
  <c r="AJ40" i="37"/>
  <c r="AJ42" i="37"/>
  <c r="AJ45" i="37"/>
  <c r="AJ47" i="37"/>
  <c r="AJ49" i="37"/>
  <c r="AJ51" i="37"/>
  <c r="AJ29" i="37"/>
  <c r="AJ33" i="37"/>
  <c r="AJ37" i="37"/>
  <c r="AJ41" i="37"/>
  <c r="AJ46" i="37"/>
  <c r="AJ50" i="37"/>
  <c r="AJ31" i="37"/>
  <c r="AJ35" i="37"/>
  <c r="AJ39" i="37"/>
  <c r="AJ44" i="37"/>
  <c r="AJ48" i="37"/>
  <c r="AT7" i="36"/>
  <c r="AT9" i="36"/>
  <c r="AT11" i="36"/>
  <c r="AT13" i="36"/>
  <c r="AT15" i="36"/>
  <c r="AT17" i="36"/>
  <c r="AT18" i="36"/>
  <c r="AT19" i="36"/>
  <c r="AT20" i="36"/>
  <c r="AT21" i="36"/>
  <c r="AT22" i="36"/>
  <c r="AT23" i="36"/>
  <c r="AT24" i="36"/>
  <c r="AT25" i="36"/>
  <c r="AT26" i="36"/>
  <c r="AT27" i="36"/>
  <c r="AT28" i="36"/>
  <c r="AT29" i="36"/>
  <c r="AT30" i="36"/>
  <c r="AT31" i="36"/>
  <c r="AT32" i="36"/>
  <c r="AT33" i="36"/>
  <c r="AT34" i="36"/>
  <c r="AT35" i="36"/>
  <c r="AT36" i="36"/>
  <c r="AT37" i="36"/>
  <c r="AT38" i="36"/>
  <c r="AT39" i="36"/>
  <c r="AT40" i="36"/>
  <c r="AT42" i="36"/>
  <c r="AT43" i="36"/>
  <c r="AT44" i="36"/>
  <c r="AT45" i="36"/>
  <c r="AT46" i="36"/>
  <c r="AT47" i="36"/>
  <c r="AT6" i="36"/>
  <c r="AT10" i="36"/>
  <c r="AT14" i="36"/>
  <c r="AT8" i="36"/>
  <c r="AT12" i="36"/>
  <c r="AT16" i="36"/>
  <c r="BB7" i="36"/>
  <c r="BB9" i="36"/>
  <c r="BB11" i="36"/>
  <c r="BB13" i="36"/>
  <c r="BB15" i="36"/>
  <c r="BB17" i="36"/>
  <c r="BB18" i="36"/>
  <c r="BB19" i="36"/>
  <c r="BB20" i="36"/>
  <c r="BB21" i="36"/>
  <c r="BB22" i="36"/>
  <c r="BB23" i="36"/>
  <c r="BB24" i="36"/>
  <c r="BB25" i="36"/>
  <c r="BB26" i="36"/>
  <c r="BB27" i="36"/>
  <c r="BB28" i="36"/>
  <c r="BB29" i="36"/>
  <c r="BB30" i="36"/>
  <c r="BB31" i="36"/>
  <c r="BB32" i="36"/>
  <c r="BB33" i="36"/>
  <c r="BB34" i="36"/>
  <c r="BB35" i="36"/>
  <c r="BB36" i="36"/>
  <c r="BB37" i="36"/>
  <c r="BB38" i="36"/>
  <c r="BB39" i="36"/>
  <c r="BB40" i="36"/>
  <c r="BB42" i="36"/>
  <c r="BB43" i="36"/>
  <c r="BB44" i="36"/>
  <c r="BB45" i="36"/>
  <c r="BB46" i="36"/>
  <c r="BB47" i="36"/>
  <c r="BB6" i="36"/>
  <c r="BB10" i="36"/>
  <c r="BB14" i="36"/>
  <c r="BB8" i="36"/>
  <c r="BB12" i="36"/>
  <c r="BB16" i="36"/>
  <c r="AR6" i="36"/>
  <c r="AR8" i="36"/>
  <c r="AR10" i="36"/>
  <c r="AR12" i="36"/>
  <c r="AR14" i="36"/>
  <c r="AR16" i="36"/>
  <c r="AR17" i="36"/>
  <c r="AR18" i="36"/>
  <c r="AR19" i="36"/>
  <c r="AR20" i="36"/>
  <c r="AR21" i="36"/>
  <c r="AR22" i="36"/>
  <c r="AR23" i="36"/>
  <c r="AR24" i="36"/>
  <c r="AR25" i="36"/>
  <c r="AR26" i="36"/>
  <c r="AR27" i="36"/>
  <c r="AR28" i="36"/>
  <c r="AR29" i="36"/>
  <c r="AR30" i="36"/>
  <c r="AR31" i="36"/>
  <c r="AR32" i="36"/>
  <c r="AR33" i="36"/>
  <c r="AR34" i="36"/>
  <c r="AR35" i="36"/>
  <c r="AR36" i="36"/>
  <c r="AR37" i="36"/>
  <c r="AR38" i="36"/>
  <c r="AR39" i="36"/>
  <c r="AR40" i="36"/>
  <c r="AR42" i="36"/>
  <c r="AR43" i="36"/>
  <c r="AR44" i="36"/>
  <c r="AR45" i="36"/>
  <c r="AR46" i="36"/>
  <c r="AR47" i="36"/>
  <c r="AR7" i="36"/>
  <c r="AR11" i="36"/>
  <c r="AR15" i="36"/>
  <c r="AR9" i="36"/>
  <c r="AR13" i="36"/>
  <c r="AZ6" i="36"/>
  <c r="AZ8" i="36"/>
  <c r="AZ10" i="36"/>
  <c r="AZ12" i="36"/>
  <c r="AZ14" i="36"/>
  <c r="AZ16" i="36"/>
  <c r="AZ17" i="36"/>
  <c r="AZ18" i="36"/>
  <c r="AZ19" i="36"/>
  <c r="AZ20" i="36"/>
  <c r="AZ21" i="36"/>
  <c r="AZ22" i="36"/>
  <c r="AZ23" i="36"/>
  <c r="AZ24" i="36"/>
  <c r="AZ25" i="36"/>
  <c r="AZ26" i="36"/>
  <c r="AZ27" i="36"/>
  <c r="AZ28" i="36"/>
  <c r="AZ29" i="36"/>
  <c r="AZ30" i="36"/>
  <c r="AZ31" i="36"/>
  <c r="AZ32" i="36"/>
  <c r="AZ33" i="36"/>
  <c r="AZ34" i="36"/>
  <c r="AZ35" i="36"/>
  <c r="AZ36" i="36"/>
  <c r="AZ37" i="36"/>
  <c r="AZ38" i="36"/>
  <c r="AZ39" i="36"/>
  <c r="AZ40" i="36"/>
  <c r="AZ42" i="36"/>
  <c r="AZ43" i="36"/>
  <c r="AZ44" i="36"/>
  <c r="AZ45" i="36"/>
  <c r="AZ46" i="36"/>
  <c r="AZ47" i="36"/>
  <c r="AZ7" i="36"/>
  <c r="AZ11" i="36"/>
  <c r="AZ15" i="36"/>
  <c r="AZ9" i="36"/>
  <c r="AZ13" i="36"/>
  <c r="AO6" i="36"/>
  <c r="AO7" i="36"/>
  <c r="AO8" i="36"/>
  <c r="AO9" i="36"/>
  <c r="AO10" i="36"/>
  <c r="AO11" i="36"/>
  <c r="AO12" i="36"/>
  <c r="AO13" i="36"/>
  <c r="AO14" i="36"/>
  <c r="AO15" i="36"/>
  <c r="AO16" i="36"/>
  <c r="AO18" i="36"/>
  <c r="AO20" i="36"/>
  <c r="AO22" i="36"/>
  <c r="AO24" i="36"/>
  <c r="AO26" i="36"/>
  <c r="AO28" i="36"/>
  <c r="AO30" i="36"/>
  <c r="AO32" i="36"/>
  <c r="AO34" i="36"/>
  <c r="AO36" i="36"/>
  <c r="AO38" i="36"/>
  <c r="AO40" i="36"/>
  <c r="AO43" i="36"/>
  <c r="AO44" i="36"/>
  <c r="AO47" i="36"/>
  <c r="AO17" i="36"/>
  <c r="AO19" i="36"/>
  <c r="AO21" i="36"/>
  <c r="AO23" i="36"/>
  <c r="AO25" i="36"/>
  <c r="AO27" i="36"/>
  <c r="AO29" i="36"/>
  <c r="AO31" i="36"/>
  <c r="AO33" i="36"/>
  <c r="AO35" i="36"/>
  <c r="AO37" i="36"/>
  <c r="AO39" i="36"/>
  <c r="AO42" i="36"/>
  <c r="AO45" i="36"/>
  <c r="AO46" i="36"/>
  <c r="AS6" i="36"/>
  <c r="AS7" i="36"/>
  <c r="AS8" i="36"/>
  <c r="AS9" i="36"/>
  <c r="AS10" i="36"/>
  <c r="AS11" i="36"/>
  <c r="AS12" i="36"/>
  <c r="AS13" i="36"/>
  <c r="AS14" i="36"/>
  <c r="AS15" i="36"/>
  <c r="AS16" i="36"/>
  <c r="AS18" i="36"/>
  <c r="AS20" i="36"/>
  <c r="AS22" i="36"/>
  <c r="AS24" i="36"/>
  <c r="AS26" i="36"/>
  <c r="AS28" i="36"/>
  <c r="AS30" i="36"/>
  <c r="AS32" i="36"/>
  <c r="AS34" i="36"/>
  <c r="AS36" i="36"/>
  <c r="AS38" i="36"/>
  <c r="AS40" i="36"/>
  <c r="AS43" i="36"/>
  <c r="AS44" i="36"/>
  <c r="AS47" i="36"/>
  <c r="AS17" i="36"/>
  <c r="AS19" i="36"/>
  <c r="AS21" i="36"/>
  <c r="AS23" i="36"/>
  <c r="AS25" i="36"/>
  <c r="AS27" i="36"/>
  <c r="AS29" i="36"/>
  <c r="AS31" i="36"/>
  <c r="AS33" i="36"/>
  <c r="AS35" i="36"/>
  <c r="AS37" i="36"/>
  <c r="AS39" i="36"/>
  <c r="AS42" i="36"/>
  <c r="AS45" i="36"/>
  <c r="AS46" i="36"/>
  <c r="AW6" i="36"/>
  <c r="AW7" i="36"/>
  <c r="AW8" i="36"/>
  <c r="AW9" i="36"/>
  <c r="AW10" i="36"/>
  <c r="AW11" i="36"/>
  <c r="AW12" i="36"/>
  <c r="AW13" i="36"/>
  <c r="AW14" i="36"/>
  <c r="AW15" i="36"/>
  <c r="AW16" i="36"/>
  <c r="AW18" i="36"/>
  <c r="AW20" i="36"/>
  <c r="AW22" i="36"/>
  <c r="AW24" i="36"/>
  <c r="AW26" i="36"/>
  <c r="AW28" i="36"/>
  <c r="AW30" i="36"/>
  <c r="AW32" i="36"/>
  <c r="AW34" i="36"/>
  <c r="AW36" i="36"/>
  <c r="AW38" i="36"/>
  <c r="AW40" i="36"/>
  <c r="AW43" i="36"/>
  <c r="AW44" i="36"/>
  <c r="AW47" i="36"/>
  <c r="AW17" i="36"/>
  <c r="AW19" i="36"/>
  <c r="AW21" i="36"/>
  <c r="AW23" i="36"/>
  <c r="AW25" i="36"/>
  <c r="AW27" i="36"/>
  <c r="AW29" i="36"/>
  <c r="AW31" i="36"/>
  <c r="AW33" i="36"/>
  <c r="AW35" i="36"/>
  <c r="AW37" i="36"/>
  <c r="AW39" i="36"/>
  <c r="AW42" i="36"/>
  <c r="AW45" i="36"/>
  <c r="AW46" i="36"/>
  <c r="BA6" i="36"/>
  <c r="BA7" i="36"/>
  <c r="BA8" i="36"/>
  <c r="BA9" i="36"/>
  <c r="BA10" i="36"/>
  <c r="BA11" i="36"/>
  <c r="BA12" i="36"/>
  <c r="BA13" i="36"/>
  <c r="BA14" i="36"/>
  <c r="BA15" i="36"/>
  <c r="BA16" i="36"/>
  <c r="BA18" i="36"/>
  <c r="BA20" i="36"/>
  <c r="BA22" i="36"/>
  <c r="BA24" i="36"/>
  <c r="BA26" i="36"/>
  <c r="BA28" i="36"/>
  <c r="BA30" i="36"/>
  <c r="BA32" i="36"/>
  <c r="BA34" i="36"/>
  <c r="BA36" i="36"/>
  <c r="BA38" i="36"/>
  <c r="BA40" i="36"/>
  <c r="BA43" i="36"/>
  <c r="BA44" i="36"/>
  <c r="BA47" i="36"/>
  <c r="BA17" i="36"/>
  <c r="BA19" i="36"/>
  <c r="BA21" i="36"/>
  <c r="BA23" i="36"/>
  <c r="BA25" i="36"/>
  <c r="BA27" i="36"/>
  <c r="BA29" i="36"/>
  <c r="BA31" i="36"/>
  <c r="BA33" i="36"/>
  <c r="BA35" i="36"/>
  <c r="BA37" i="36"/>
  <c r="BA39" i="36"/>
  <c r="BA42" i="36"/>
  <c r="BA45" i="36"/>
  <c r="BA46" i="36"/>
  <c r="BE6" i="36"/>
  <c r="BE7" i="36"/>
  <c r="BE8" i="36"/>
  <c r="BE9" i="36"/>
  <c r="BE10" i="36"/>
  <c r="BE11" i="36"/>
  <c r="BE12" i="36"/>
  <c r="BE13" i="36"/>
  <c r="BE14" i="36"/>
  <c r="BE15" i="36"/>
  <c r="BE16" i="36"/>
  <c r="BE18" i="36"/>
  <c r="BE20" i="36"/>
  <c r="BE22" i="36"/>
  <c r="BE24" i="36"/>
  <c r="BE26" i="36"/>
  <c r="BE28" i="36"/>
  <c r="BE30" i="36"/>
  <c r="BE32" i="36"/>
  <c r="BE34" i="36"/>
  <c r="BE36" i="36"/>
  <c r="BE38" i="36"/>
  <c r="BE40" i="36"/>
  <c r="BE43" i="36"/>
  <c r="BE44" i="36"/>
  <c r="BE47" i="36"/>
  <c r="BE17" i="36"/>
  <c r="BE19" i="36"/>
  <c r="BE21" i="36"/>
  <c r="BE23" i="36"/>
  <c r="BE25" i="36"/>
  <c r="BE27" i="36"/>
  <c r="BE29" i="36"/>
  <c r="BE31" i="36"/>
  <c r="BE33" i="36"/>
  <c r="BE35" i="36"/>
  <c r="BE37" i="36"/>
  <c r="BE39" i="36"/>
  <c r="BE42" i="36"/>
  <c r="BE45" i="36"/>
  <c r="BE46" i="36"/>
  <c r="S4" i="37"/>
  <c r="S4" i="36"/>
  <c r="E25" i="37" l="1"/>
  <c r="E27" i="48" s="1"/>
  <c r="AM51" i="37"/>
  <c r="G51" i="37" s="1"/>
  <c r="AM49" i="37"/>
  <c r="G49" i="37" s="1"/>
  <c r="G53" i="48" s="1"/>
  <c r="AM47" i="37"/>
  <c r="G47" i="37" s="1"/>
  <c r="AM45" i="37"/>
  <c r="G45" i="37" s="1"/>
  <c r="AM42" i="37"/>
  <c r="G42" i="37" s="1"/>
  <c r="AM40" i="37"/>
  <c r="G40" i="37" s="1"/>
  <c r="AM38" i="37"/>
  <c r="G38" i="37" s="1"/>
  <c r="AM36" i="37"/>
  <c r="G36" i="37" s="1"/>
  <c r="AM34" i="37"/>
  <c r="G34" i="37" s="1"/>
  <c r="AM32" i="37"/>
  <c r="G32" i="37" s="1"/>
  <c r="AM30" i="37"/>
  <c r="G30" i="37" s="1"/>
  <c r="AM8" i="37"/>
  <c r="G8" i="37" s="1"/>
  <c r="AM10" i="37"/>
  <c r="G10" i="37" s="1"/>
  <c r="AM27" i="37"/>
  <c r="G27" i="37" s="1"/>
  <c r="G29" i="48" s="1"/>
  <c r="AM25" i="37"/>
  <c r="G25" i="37" s="1"/>
  <c r="G27" i="48" s="1"/>
  <c r="AM23" i="37"/>
  <c r="G23" i="37" s="1"/>
  <c r="AM21" i="37"/>
  <c r="G21" i="37" s="1"/>
  <c r="AM19" i="37"/>
  <c r="G19" i="37" s="1"/>
  <c r="AM17" i="37"/>
  <c r="G17" i="37" s="1"/>
  <c r="AM15" i="37"/>
  <c r="G15" i="37" s="1"/>
  <c r="AM11" i="37"/>
  <c r="G11" i="37" s="1"/>
  <c r="AM7" i="37"/>
  <c r="G7" i="37" s="1"/>
  <c r="AM11" i="36"/>
  <c r="G11" i="36" s="1"/>
  <c r="AM13" i="36"/>
  <c r="G13" i="36" s="1"/>
  <c r="AM46" i="36"/>
  <c r="G46" i="36" s="1"/>
  <c r="AM45" i="36"/>
  <c r="G45" i="36" s="1"/>
  <c r="AM42" i="36"/>
  <c r="G42" i="36" s="1"/>
  <c r="AM39" i="36"/>
  <c r="G39" i="36" s="1"/>
  <c r="AM37" i="36"/>
  <c r="G37" i="36" s="1"/>
  <c r="AM35" i="36"/>
  <c r="G35" i="36" s="1"/>
  <c r="AM33" i="36"/>
  <c r="G33" i="36" s="1"/>
  <c r="AM31" i="36"/>
  <c r="G31" i="36" s="1"/>
  <c r="AM29" i="36"/>
  <c r="G29" i="36" s="1"/>
  <c r="AM27" i="36"/>
  <c r="G27" i="36" s="1"/>
  <c r="AM25" i="36"/>
  <c r="G25" i="36" s="1"/>
  <c r="G31" i="48" s="1"/>
  <c r="AM23" i="36"/>
  <c r="G23" i="36" s="1"/>
  <c r="AM21" i="36"/>
  <c r="G21" i="36" s="1"/>
  <c r="AM19" i="36"/>
  <c r="G19" i="36" s="1"/>
  <c r="AM17" i="36"/>
  <c r="G17" i="36" s="1"/>
  <c r="AM14" i="36"/>
  <c r="G14" i="36" s="1"/>
  <c r="AM10" i="36"/>
  <c r="G10" i="36" s="1"/>
  <c r="AM6" i="36"/>
  <c r="G6" i="36" s="1"/>
  <c r="AM50" i="37"/>
  <c r="G50" i="37" s="1"/>
  <c r="AM48" i="37"/>
  <c r="G48" i="37" s="1"/>
  <c r="AM46" i="37"/>
  <c r="G46" i="37" s="1"/>
  <c r="G50" i="48" s="1"/>
  <c r="AM44" i="37"/>
  <c r="G44" i="37" s="1"/>
  <c r="AM41" i="37"/>
  <c r="G41" i="37" s="1"/>
  <c r="AM39" i="37"/>
  <c r="G39" i="37" s="1"/>
  <c r="AM37" i="37"/>
  <c r="G37" i="37" s="1"/>
  <c r="AM35" i="37"/>
  <c r="G35" i="37" s="1"/>
  <c r="AM33" i="37"/>
  <c r="G33" i="37" s="1"/>
  <c r="AM31" i="37"/>
  <c r="G31" i="37" s="1"/>
  <c r="AM29" i="37"/>
  <c r="G29" i="37" s="1"/>
  <c r="AM12" i="37"/>
  <c r="G12" i="37" s="1"/>
  <c r="AM14" i="37"/>
  <c r="G14" i="37" s="1"/>
  <c r="AM6" i="37"/>
  <c r="G6" i="37" s="1"/>
  <c r="AM28" i="37"/>
  <c r="G28" i="37" s="1"/>
  <c r="G30" i="48" s="1"/>
  <c r="AM26" i="37"/>
  <c r="G26" i="37" s="1"/>
  <c r="G28" i="48" s="1"/>
  <c r="AM24" i="37"/>
  <c r="G24" i="37" s="1"/>
  <c r="AM22" i="37"/>
  <c r="G22" i="37" s="1"/>
  <c r="AM20" i="37"/>
  <c r="G20" i="37" s="1"/>
  <c r="AM18" i="37"/>
  <c r="G18" i="37" s="1"/>
  <c r="AM16" i="37"/>
  <c r="G16" i="37" s="1"/>
  <c r="AM13" i="37"/>
  <c r="G13" i="37" s="1"/>
  <c r="AM9" i="37"/>
  <c r="G9" i="37" s="1"/>
  <c r="AM15" i="36"/>
  <c r="G15" i="36" s="1"/>
  <c r="AM7" i="36"/>
  <c r="G7" i="36" s="1"/>
  <c r="AM9" i="36"/>
  <c r="G9" i="36" s="1"/>
  <c r="AM47" i="36"/>
  <c r="G47" i="36" s="1"/>
  <c r="AM44" i="36"/>
  <c r="G44" i="36" s="1"/>
  <c r="AM43" i="36"/>
  <c r="G43" i="36" s="1"/>
  <c r="AM40" i="36"/>
  <c r="G40" i="36" s="1"/>
  <c r="AM38" i="36"/>
  <c r="G38" i="36" s="1"/>
  <c r="AM36" i="36"/>
  <c r="G36" i="36" s="1"/>
  <c r="AM34" i="36"/>
  <c r="G34" i="36" s="1"/>
  <c r="AM32" i="36"/>
  <c r="G32" i="36" s="1"/>
  <c r="AM30" i="36"/>
  <c r="G30" i="36" s="1"/>
  <c r="AM28" i="36"/>
  <c r="G28" i="36" s="1"/>
  <c r="AM26" i="36"/>
  <c r="G26" i="36" s="1"/>
  <c r="G32" i="48" s="1"/>
  <c r="AM24" i="36"/>
  <c r="G24" i="36" s="1"/>
  <c r="AM22" i="36"/>
  <c r="G22" i="36" s="1"/>
  <c r="AM20" i="36"/>
  <c r="G20" i="36" s="1"/>
  <c r="AM18" i="36"/>
  <c r="G18" i="36" s="1"/>
  <c r="AM16" i="36"/>
  <c r="G16" i="36" s="1"/>
  <c r="AM12" i="36"/>
  <c r="G12" i="36" s="1"/>
  <c r="AM8" i="36"/>
  <c r="G8" i="36" s="1"/>
  <c r="S8" i="37"/>
  <c r="F8" i="37" s="1"/>
  <c r="S12" i="37"/>
  <c r="F12" i="37" s="1"/>
  <c r="S16" i="37"/>
  <c r="F16" i="37" s="1"/>
  <c r="S20" i="37"/>
  <c r="F20" i="37" s="1"/>
  <c r="S7" i="37"/>
  <c r="F7" i="37" s="1"/>
  <c r="S11" i="37"/>
  <c r="F11" i="37" s="1"/>
  <c r="S15" i="37"/>
  <c r="F15" i="37" s="1"/>
  <c r="S19" i="37"/>
  <c r="F19" i="37" s="1"/>
  <c r="S24" i="37"/>
  <c r="F24" i="37" s="1"/>
  <c r="S28" i="37"/>
  <c r="F28" i="37" s="1"/>
  <c r="F30" i="48" s="1"/>
  <c r="S30" i="37"/>
  <c r="F30" i="37" s="1"/>
  <c r="S34" i="37"/>
  <c r="F34" i="37" s="1"/>
  <c r="S25" i="37"/>
  <c r="F25" i="37" s="1"/>
  <c r="F27" i="48" s="1"/>
  <c r="S31" i="37"/>
  <c r="F31" i="37" s="1"/>
  <c r="S35" i="37"/>
  <c r="F35" i="37" s="1"/>
  <c r="S39" i="37"/>
  <c r="F39" i="37" s="1"/>
  <c r="S36" i="37"/>
  <c r="F36" i="37" s="1"/>
  <c r="S40" i="37"/>
  <c r="F40" i="37" s="1"/>
  <c r="S45" i="37"/>
  <c r="F45" i="37" s="1"/>
  <c r="S49" i="37"/>
  <c r="F49" i="37" s="1"/>
  <c r="F53" i="48" s="1"/>
  <c r="S44" i="37"/>
  <c r="F44" i="37" s="1"/>
  <c r="S48" i="37"/>
  <c r="F48" i="37" s="1"/>
  <c r="S6" i="37"/>
  <c r="F6" i="37" s="1"/>
  <c r="S10" i="37"/>
  <c r="F10" i="37" s="1"/>
  <c r="S14" i="37"/>
  <c r="F14" i="37" s="1"/>
  <c r="S18" i="37"/>
  <c r="F18" i="37" s="1"/>
  <c r="S21" i="37"/>
  <c r="F21" i="37" s="1"/>
  <c r="S9" i="37"/>
  <c r="F9" i="37" s="1"/>
  <c r="S13" i="37"/>
  <c r="F13" i="37" s="1"/>
  <c r="S17" i="37"/>
  <c r="F17" i="37" s="1"/>
  <c r="S22" i="37"/>
  <c r="F22" i="37" s="1"/>
  <c r="S26" i="37"/>
  <c r="F26" i="37" s="1"/>
  <c r="F28" i="48" s="1"/>
  <c r="S32" i="37"/>
  <c r="F32" i="37" s="1"/>
  <c r="S23" i="37"/>
  <c r="F23" i="37" s="1"/>
  <c r="S27" i="37"/>
  <c r="F27" i="37" s="1"/>
  <c r="F29" i="48" s="1"/>
  <c r="S29" i="37"/>
  <c r="F29" i="37" s="1"/>
  <c r="S33" i="37"/>
  <c r="F33" i="37" s="1"/>
  <c r="S37" i="37"/>
  <c r="F37" i="37" s="1"/>
  <c r="S41" i="37"/>
  <c r="F41" i="37" s="1"/>
  <c r="S38" i="37"/>
  <c r="F38" i="37" s="1"/>
  <c r="S42" i="37"/>
  <c r="F42" i="37" s="1"/>
  <c r="S47" i="37"/>
  <c r="F47" i="37" s="1"/>
  <c r="S51" i="37"/>
  <c r="F51" i="37" s="1"/>
  <c r="S46" i="37"/>
  <c r="F46" i="37" s="1"/>
  <c r="F50" i="48" s="1"/>
  <c r="S50" i="37"/>
  <c r="F50" i="37" s="1"/>
  <c r="S7" i="36"/>
  <c r="F7" i="36" s="1"/>
  <c r="S11" i="36"/>
  <c r="F11" i="36" s="1"/>
  <c r="S15" i="36"/>
  <c r="F15" i="36" s="1"/>
  <c r="S19" i="36"/>
  <c r="F19" i="36" s="1"/>
  <c r="S22" i="36"/>
  <c r="F22" i="36" s="1"/>
  <c r="S10" i="36"/>
  <c r="F10" i="36" s="1"/>
  <c r="S14" i="36"/>
  <c r="F14" i="36" s="1"/>
  <c r="S18" i="36"/>
  <c r="F18" i="36" s="1"/>
  <c r="S23" i="36"/>
  <c r="F23" i="36" s="1"/>
  <c r="S27" i="36"/>
  <c r="F27" i="36" s="1"/>
  <c r="S31" i="36"/>
  <c r="F31" i="36" s="1"/>
  <c r="S24" i="36"/>
  <c r="F24" i="36" s="1"/>
  <c r="S28" i="36"/>
  <c r="F28" i="36" s="1"/>
  <c r="S32" i="36"/>
  <c r="F32" i="36" s="1"/>
  <c r="S37" i="36"/>
  <c r="F37" i="36" s="1"/>
  <c r="S34" i="36"/>
  <c r="F34" i="36" s="1"/>
  <c r="S38" i="36"/>
  <c r="F38" i="36" s="1"/>
  <c r="S42" i="36"/>
  <c r="F42" i="36" s="1"/>
  <c r="S44" i="36"/>
  <c r="F44" i="36" s="1"/>
  <c r="S47" i="36"/>
  <c r="F47" i="36" s="1"/>
  <c r="S45" i="36"/>
  <c r="F45" i="36" s="1"/>
  <c r="S6" i="36"/>
  <c r="F6" i="36" s="1"/>
  <c r="S9" i="36"/>
  <c r="F9" i="36" s="1"/>
  <c r="S13" i="36"/>
  <c r="F13" i="36" s="1"/>
  <c r="S17" i="36"/>
  <c r="F17" i="36" s="1"/>
  <c r="S21" i="36"/>
  <c r="F21" i="36" s="1"/>
  <c r="S8" i="36"/>
  <c r="F8" i="36" s="1"/>
  <c r="S12" i="36"/>
  <c r="F12" i="36" s="1"/>
  <c r="S16" i="36"/>
  <c r="F16" i="36" s="1"/>
  <c r="S20" i="36"/>
  <c r="F20" i="36" s="1"/>
  <c r="S25" i="36"/>
  <c r="F25" i="36" s="1"/>
  <c r="F31" i="48" s="1"/>
  <c r="S29" i="36"/>
  <c r="F29" i="36" s="1"/>
  <c r="S33" i="36"/>
  <c r="F33" i="36" s="1"/>
  <c r="S26" i="36"/>
  <c r="F26" i="36" s="1"/>
  <c r="F32" i="48" s="1"/>
  <c r="S30" i="36"/>
  <c r="F30" i="36" s="1"/>
  <c r="S35" i="36"/>
  <c r="F35" i="36" s="1"/>
  <c r="S39" i="36"/>
  <c r="F39" i="36" s="1"/>
  <c r="S36" i="36"/>
  <c r="F36" i="36" s="1"/>
  <c r="S40" i="36"/>
  <c r="F40" i="36" s="1"/>
  <c r="S43" i="36"/>
  <c r="F43" i="36" s="1"/>
  <c r="S46" i="36"/>
  <c r="F46" i="36" s="1"/>
  <c r="D6" i="35"/>
  <c r="E6" i="35"/>
  <c r="F6" i="35"/>
  <c r="G6" i="35"/>
  <c r="E5" i="35"/>
  <c r="F5" i="35"/>
  <c r="G5" i="35"/>
  <c r="D5" i="35"/>
  <c r="C6" i="35"/>
  <c r="B6" i="35"/>
  <c r="C5" i="35"/>
  <c r="B5" i="35"/>
  <c r="D6" i="34"/>
  <c r="E6" i="34"/>
  <c r="F6" i="34"/>
  <c r="G6" i="34"/>
  <c r="E5" i="34"/>
  <c r="F5" i="34"/>
  <c r="G5" i="34"/>
  <c r="D5" i="34"/>
  <c r="C6" i="34"/>
  <c r="B6" i="34"/>
  <c r="C5" i="34"/>
  <c r="B5" i="34"/>
  <c r="B6" i="12"/>
  <c r="B7" i="12"/>
  <c r="B6" i="11"/>
  <c r="B7" i="11"/>
  <c r="B6" i="23"/>
  <c r="B6" i="8"/>
  <c r="B6" i="9"/>
  <c r="L6" i="23"/>
  <c r="J6" i="23"/>
  <c r="H6" i="23"/>
  <c r="D6" i="23"/>
  <c r="C6" i="23"/>
  <c r="X2" i="20" l="1"/>
  <c r="B6" i="20"/>
  <c r="X2" i="19"/>
  <c r="AE22" i="51" l="1"/>
  <c r="AC22" i="51" s="1"/>
  <c r="AE21" i="51"/>
  <c r="AC21" i="51" s="1"/>
  <c r="AE20" i="51"/>
  <c r="AC20" i="51" s="1"/>
  <c r="AE19" i="51"/>
  <c r="AC19" i="51" s="1"/>
  <c r="AE18" i="51"/>
  <c r="AC18" i="51" s="1"/>
  <c r="AE17" i="51"/>
  <c r="AC17" i="51" s="1"/>
  <c r="AE16" i="51"/>
  <c r="AC16" i="51" s="1"/>
  <c r="AE15" i="51"/>
  <c r="AC15" i="51" s="1"/>
  <c r="AE14" i="51"/>
  <c r="AC14" i="51" s="1"/>
  <c r="AE13" i="51"/>
  <c r="AC13" i="51" s="1"/>
  <c r="AE12" i="51"/>
  <c r="AC12" i="51" s="1"/>
  <c r="AE11" i="51"/>
  <c r="AC11" i="51" s="1"/>
  <c r="AE10" i="51"/>
  <c r="AC10" i="51" s="1"/>
  <c r="AE9" i="51"/>
  <c r="AC9" i="51" s="1"/>
  <c r="AE8" i="51"/>
  <c r="AC8" i="51" s="1"/>
  <c r="AE7" i="51"/>
  <c r="AC7" i="51" s="1"/>
  <c r="AE6" i="51"/>
  <c r="AC6" i="51" s="1"/>
  <c r="AE5" i="51"/>
  <c r="AC5" i="51" s="1"/>
  <c r="AR2" i="19"/>
  <c r="BC5" i="19"/>
  <c r="BA5" i="19"/>
  <c r="AY5" i="19"/>
  <c r="AW5" i="19"/>
  <c r="AU5" i="19"/>
  <c r="AS5" i="19"/>
  <c r="AQ5" i="19"/>
  <c r="AO5" i="19"/>
  <c r="AM5" i="19"/>
  <c r="AJ5" i="19"/>
  <c r="AH5" i="19"/>
  <c r="AF5" i="19"/>
  <c r="AD5" i="19"/>
  <c r="AB5" i="19"/>
  <c r="Z5" i="19"/>
  <c r="X5" i="19"/>
  <c r="V5" i="19"/>
  <c r="T5" i="19"/>
  <c r="BD4" i="19"/>
  <c r="BB4" i="19"/>
  <c r="AZ4" i="19"/>
  <c r="AX4" i="19"/>
  <c r="AV4" i="19"/>
  <c r="AT4" i="19"/>
  <c r="AR4" i="19"/>
  <c r="AP4" i="19"/>
  <c r="AN4" i="19"/>
  <c r="AI4" i="19"/>
  <c r="AG4" i="19"/>
  <c r="AE4" i="19"/>
  <c r="AC4" i="19"/>
  <c r="AA4" i="19"/>
  <c r="Y4" i="19"/>
  <c r="W4" i="19"/>
  <c r="U4" i="19"/>
  <c r="S4" i="19"/>
  <c r="BD5" i="19"/>
  <c r="BB5" i="19"/>
  <c r="AZ5" i="19"/>
  <c r="AX5" i="19"/>
  <c r="AV5" i="19"/>
  <c r="AT5" i="19"/>
  <c r="AR5" i="19"/>
  <c r="AP5" i="19"/>
  <c r="AN5" i="19"/>
  <c r="AI5" i="19"/>
  <c r="AG5" i="19"/>
  <c r="AE5" i="19"/>
  <c r="AC5" i="19"/>
  <c r="AA5" i="19"/>
  <c r="Y5" i="19"/>
  <c r="W5" i="19"/>
  <c r="U5" i="19"/>
  <c r="S5" i="19"/>
  <c r="BC4" i="19"/>
  <c r="BA4" i="19"/>
  <c r="BA6" i="19" s="1"/>
  <c r="AY4" i="19"/>
  <c r="AW4" i="19"/>
  <c r="AU4" i="19"/>
  <c r="AS4" i="19"/>
  <c r="AQ4" i="19"/>
  <c r="AO4" i="19"/>
  <c r="AM4" i="19"/>
  <c r="AJ4" i="19"/>
  <c r="AH4" i="19"/>
  <c r="AF4" i="19"/>
  <c r="AD4" i="19"/>
  <c r="AB4" i="19"/>
  <c r="Z4" i="19"/>
  <c r="X4" i="19"/>
  <c r="V4" i="19"/>
  <c r="T4" i="19"/>
  <c r="BD4" i="20"/>
  <c r="BB4" i="20"/>
  <c r="AZ4" i="20"/>
  <c r="AX4" i="20"/>
  <c r="AV4" i="20"/>
  <c r="AT4" i="20"/>
  <c r="AR4" i="20"/>
  <c r="AP4" i="20"/>
  <c r="AN4" i="20"/>
  <c r="BC4" i="20"/>
  <c r="BA4" i="20"/>
  <c r="AY4" i="20"/>
  <c r="AW4" i="20"/>
  <c r="AU4" i="20"/>
  <c r="AS4" i="20"/>
  <c r="AQ4" i="20"/>
  <c r="AO4" i="20"/>
  <c r="AM4" i="20"/>
  <c r="AI4" i="20"/>
  <c r="T4" i="20"/>
  <c r="V4" i="20"/>
  <c r="X4" i="20"/>
  <c r="Z4" i="20"/>
  <c r="AB4" i="20"/>
  <c r="AD4" i="20"/>
  <c r="AF4" i="20"/>
  <c r="AH4" i="20"/>
  <c r="AJ4" i="20"/>
  <c r="S4" i="20"/>
  <c r="U4" i="20"/>
  <c r="W4" i="20"/>
  <c r="Y4" i="20"/>
  <c r="AA4" i="20"/>
  <c r="AC4" i="20"/>
  <c r="AE4" i="20"/>
  <c r="AG4" i="20"/>
  <c r="T6" i="19" l="1"/>
  <c r="AB6" i="19"/>
  <c r="AS6" i="19"/>
  <c r="Z6" i="19"/>
  <c r="Z54" i="19" s="1"/>
  <c r="AH6" i="19"/>
  <c r="AH49" i="19" s="1"/>
  <c r="AQ6" i="19"/>
  <c r="AQ51" i="19" s="1"/>
  <c r="AY6" i="19"/>
  <c r="AY48" i="19" s="1"/>
  <c r="V6" i="19"/>
  <c r="V55" i="19" s="1"/>
  <c r="AD6" i="19"/>
  <c r="AD51" i="19" s="1"/>
  <c r="AU6" i="19"/>
  <c r="AU52" i="19" s="1"/>
  <c r="BC6" i="19"/>
  <c r="BC49" i="19" s="1"/>
  <c r="X6" i="19"/>
  <c r="X51" i="19" s="1"/>
  <c r="AF6" i="19"/>
  <c r="AF55" i="19" s="1"/>
  <c r="AO6" i="19"/>
  <c r="AO52" i="19" s="1"/>
  <c r="AW6" i="19"/>
  <c r="AW49" i="19" s="1"/>
  <c r="AJ6" i="19"/>
  <c r="AJ54" i="19" s="1"/>
  <c r="U2" i="43"/>
  <c r="V48" i="19"/>
  <c r="V18" i="19"/>
  <c r="V22" i="19"/>
  <c r="V26" i="19"/>
  <c r="V36" i="19"/>
  <c r="V40" i="19"/>
  <c r="V44" i="19"/>
  <c r="Z49" i="19"/>
  <c r="Z52" i="19"/>
  <c r="Z11" i="19"/>
  <c r="Z15" i="19"/>
  <c r="Z19" i="19"/>
  <c r="Z23" i="19"/>
  <c r="Z33" i="19"/>
  <c r="Z37" i="19"/>
  <c r="Z41" i="19"/>
  <c r="Z45" i="19"/>
  <c r="T51" i="19"/>
  <c r="T49" i="19"/>
  <c r="T54" i="19"/>
  <c r="T55" i="19"/>
  <c r="T8" i="19"/>
  <c r="T52" i="19"/>
  <c r="T48" i="19"/>
  <c r="T9" i="19"/>
  <c r="T10" i="19"/>
  <c r="T11" i="19"/>
  <c r="T12" i="19"/>
  <c r="T13" i="19"/>
  <c r="T14" i="19"/>
  <c r="T15" i="19"/>
  <c r="T16" i="19"/>
  <c r="T17" i="19"/>
  <c r="T18" i="19"/>
  <c r="T19" i="19"/>
  <c r="T20" i="19"/>
  <c r="T21" i="19"/>
  <c r="T22" i="19"/>
  <c r="T23" i="19"/>
  <c r="T24" i="19"/>
  <c r="T25" i="19"/>
  <c r="T26" i="19"/>
  <c r="T33" i="19"/>
  <c r="T34" i="19"/>
  <c r="T35" i="19"/>
  <c r="T36" i="19"/>
  <c r="T37" i="19"/>
  <c r="T38" i="19"/>
  <c r="T39" i="19"/>
  <c r="T40" i="19"/>
  <c r="T41" i="19"/>
  <c r="T42" i="19"/>
  <c r="T43" i="19"/>
  <c r="T44" i="19"/>
  <c r="T45" i="19"/>
  <c r="T46" i="19"/>
  <c r="X55" i="19"/>
  <c r="X9" i="19"/>
  <c r="X13" i="19"/>
  <c r="X17" i="19"/>
  <c r="X21" i="19"/>
  <c r="X25" i="19"/>
  <c r="X35" i="19"/>
  <c r="X39" i="19"/>
  <c r="X43" i="19"/>
  <c r="AB51" i="19"/>
  <c r="AB49" i="19"/>
  <c r="AB54" i="19"/>
  <c r="AB55" i="19"/>
  <c r="AB8" i="19"/>
  <c r="AB52" i="19"/>
  <c r="AB48" i="19"/>
  <c r="AB9" i="19"/>
  <c r="AB10" i="19"/>
  <c r="AB11" i="19"/>
  <c r="AB12" i="19"/>
  <c r="AB13" i="19"/>
  <c r="AB14" i="19"/>
  <c r="AB15" i="19"/>
  <c r="AB16" i="19"/>
  <c r="AB17" i="19"/>
  <c r="AB18" i="19"/>
  <c r="AB19" i="19"/>
  <c r="AB20" i="19"/>
  <c r="AB21" i="19"/>
  <c r="AB22" i="19"/>
  <c r="AB23" i="19"/>
  <c r="AB24" i="19"/>
  <c r="AB25" i="19"/>
  <c r="AB26" i="19"/>
  <c r="AB33" i="19"/>
  <c r="AB34" i="19"/>
  <c r="AB35" i="19"/>
  <c r="AB36" i="19"/>
  <c r="AB37" i="19"/>
  <c r="AB38" i="19"/>
  <c r="AB39" i="19"/>
  <c r="AB40" i="19"/>
  <c r="AB41" i="19"/>
  <c r="AB42" i="19"/>
  <c r="AB43" i="19"/>
  <c r="AB44" i="19"/>
  <c r="AB45" i="19"/>
  <c r="AB46" i="19"/>
  <c r="AJ49" i="19"/>
  <c r="AJ52" i="19"/>
  <c r="AJ11" i="19"/>
  <c r="AJ15" i="19"/>
  <c r="AJ19" i="19"/>
  <c r="AJ23" i="19"/>
  <c r="AJ33" i="19"/>
  <c r="AJ37" i="19"/>
  <c r="AJ41" i="19"/>
  <c r="AJ45" i="19"/>
  <c r="AS48" i="19"/>
  <c r="AS49" i="19"/>
  <c r="AS51" i="19"/>
  <c r="AS52" i="19"/>
  <c r="AS54" i="19"/>
  <c r="AS55" i="19"/>
  <c r="AS9" i="19"/>
  <c r="AS10" i="19"/>
  <c r="AS11" i="19"/>
  <c r="AS12" i="19"/>
  <c r="AS13" i="19"/>
  <c r="AS14" i="19"/>
  <c r="AS15" i="19"/>
  <c r="AS16" i="19"/>
  <c r="AS17" i="19"/>
  <c r="AS18" i="19"/>
  <c r="AS19" i="19"/>
  <c r="AS20" i="19"/>
  <c r="AS21" i="19"/>
  <c r="AS22" i="19"/>
  <c r="AS23" i="19"/>
  <c r="AS24" i="19"/>
  <c r="AS25" i="19"/>
  <c r="AS26" i="19"/>
  <c r="AS33" i="19"/>
  <c r="AS34" i="19"/>
  <c r="AS35" i="19"/>
  <c r="AS36" i="19"/>
  <c r="AS37" i="19"/>
  <c r="AS38" i="19"/>
  <c r="AS39" i="19"/>
  <c r="AS40" i="19"/>
  <c r="AS41" i="19"/>
  <c r="AS42" i="19"/>
  <c r="AS43" i="19"/>
  <c r="AS44" i="19"/>
  <c r="AS45" i="19"/>
  <c r="AS46" i="19"/>
  <c r="AS8" i="19"/>
  <c r="BA48" i="19"/>
  <c r="BA49" i="19"/>
  <c r="BA51" i="19"/>
  <c r="BA52" i="19"/>
  <c r="BA54" i="19"/>
  <c r="BA55" i="19"/>
  <c r="BA9" i="19"/>
  <c r="BA10" i="19"/>
  <c r="BA11" i="19"/>
  <c r="BA12" i="19"/>
  <c r="BA13" i="19"/>
  <c r="BA14" i="19"/>
  <c r="BA15" i="19"/>
  <c r="BA16" i="19"/>
  <c r="BA17" i="19"/>
  <c r="BA18" i="19"/>
  <c r="BA19" i="19"/>
  <c r="BA20" i="19"/>
  <c r="BA21" i="19"/>
  <c r="BA22" i="19"/>
  <c r="BA23" i="19"/>
  <c r="BA24" i="19"/>
  <c r="BA25" i="19"/>
  <c r="BA26" i="19"/>
  <c r="BA33" i="19"/>
  <c r="BA34" i="19"/>
  <c r="BA35" i="19"/>
  <c r="BA36" i="19"/>
  <c r="BA37" i="19"/>
  <c r="BA38" i="19"/>
  <c r="BA39" i="19"/>
  <c r="BA40" i="19"/>
  <c r="BA41" i="19"/>
  <c r="BA42" i="19"/>
  <c r="BA43" i="19"/>
  <c r="BA44" i="19"/>
  <c r="BA45" i="19"/>
  <c r="BA46" i="19"/>
  <c r="BA8" i="19"/>
  <c r="R5" i="19"/>
  <c r="AM6" i="19"/>
  <c r="AL4" i="19"/>
  <c r="U6" i="19"/>
  <c r="Y6" i="19"/>
  <c r="AC6" i="19"/>
  <c r="AG6" i="19"/>
  <c r="AN6" i="19"/>
  <c r="AR6" i="19"/>
  <c r="AV6" i="19"/>
  <c r="AZ6" i="19"/>
  <c r="BD6" i="19"/>
  <c r="AL5" i="19"/>
  <c r="S6" i="19"/>
  <c r="R4" i="19"/>
  <c r="W6" i="19"/>
  <c r="AA6" i="19"/>
  <c r="AE6" i="19"/>
  <c r="AI6" i="19"/>
  <c r="AP6" i="19"/>
  <c r="AT6" i="19"/>
  <c r="AX6" i="19"/>
  <c r="BB6" i="19"/>
  <c r="P2" i="44"/>
  <c r="P2" i="46"/>
  <c r="L2" i="44"/>
  <c r="L2" i="46"/>
  <c r="H2" i="44"/>
  <c r="H2" i="46"/>
  <c r="D2" i="44"/>
  <c r="D2" i="46"/>
  <c r="S2" i="44"/>
  <c r="S2" i="46"/>
  <c r="O2" i="44"/>
  <c r="O2" i="46"/>
  <c r="K2" i="44"/>
  <c r="K2" i="46"/>
  <c r="G2" i="44"/>
  <c r="G2" i="46"/>
  <c r="T2" i="44"/>
  <c r="T2" i="46"/>
  <c r="R2" i="44"/>
  <c r="R2" i="46"/>
  <c r="N2" i="44"/>
  <c r="N2" i="46"/>
  <c r="J2" i="44"/>
  <c r="J2" i="46"/>
  <c r="F2" i="44"/>
  <c r="F2" i="46"/>
  <c r="U2" i="44"/>
  <c r="U2" i="46"/>
  <c r="Q2" i="44"/>
  <c r="Q2" i="46"/>
  <c r="M2" i="44"/>
  <c r="M2" i="46"/>
  <c r="I2" i="44"/>
  <c r="I2" i="46"/>
  <c r="E2" i="44"/>
  <c r="E2" i="46"/>
  <c r="AM6" i="20"/>
  <c r="AM7" i="20"/>
  <c r="AM8" i="20"/>
  <c r="AM9" i="20"/>
  <c r="AM10" i="20"/>
  <c r="AM11" i="20"/>
  <c r="AM12" i="20"/>
  <c r="AM13" i="20"/>
  <c r="AM14" i="20"/>
  <c r="AM15" i="20"/>
  <c r="AM16" i="20"/>
  <c r="AM17" i="20"/>
  <c r="AM18" i="20"/>
  <c r="AM19" i="20"/>
  <c r="AM20" i="20"/>
  <c r="AM21" i="20"/>
  <c r="AM22" i="20"/>
  <c r="AM23" i="20"/>
  <c r="AM24" i="20"/>
  <c r="AM25" i="20"/>
  <c r="AM26" i="20"/>
  <c r="AM27" i="20"/>
  <c r="AM28" i="20"/>
  <c r="AM29" i="20"/>
  <c r="AM30" i="20"/>
  <c r="AM31" i="20"/>
  <c r="AM32" i="20"/>
  <c r="AM33" i="20"/>
  <c r="AM34" i="20"/>
  <c r="AM35" i="20"/>
  <c r="AM36" i="20"/>
  <c r="AM37" i="20"/>
  <c r="AM38" i="20"/>
  <c r="AM39" i="20"/>
  <c r="AM40" i="20"/>
  <c r="AM41" i="20"/>
  <c r="AM42" i="20"/>
  <c r="AM44" i="20"/>
  <c r="AM45" i="20"/>
  <c r="AM46" i="20"/>
  <c r="AM47" i="20"/>
  <c r="AM48" i="20"/>
  <c r="AM49" i="20"/>
  <c r="AM50" i="20"/>
  <c r="AM51" i="20"/>
  <c r="AL4" i="20"/>
  <c r="AQ6" i="20"/>
  <c r="AQ7" i="20"/>
  <c r="AQ8" i="20"/>
  <c r="AQ9" i="20"/>
  <c r="AQ10" i="20"/>
  <c r="AQ11" i="20"/>
  <c r="AQ12" i="20"/>
  <c r="AQ13" i="20"/>
  <c r="AQ14" i="20"/>
  <c r="AQ15" i="20"/>
  <c r="AQ16" i="20"/>
  <c r="AQ17" i="20"/>
  <c r="AQ18" i="20"/>
  <c r="AQ19" i="20"/>
  <c r="AQ20" i="20"/>
  <c r="AQ21" i="20"/>
  <c r="AQ22" i="20"/>
  <c r="AQ23" i="20"/>
  <c r="AQ24" i="20"/>
  <c r="AQ25" i="20"/>
  <c r="AQ26" i="20"/>
  <c r="AQ27" i="20"/>
  <c r="AQ28" i="20"/>
  <c r="AQ29" i="20"/>
  <c r="AQ30" i="20"/>
  <c r="AQ31" i="20"/>
  <c r="AQ32" i="20"/>
  <c r="AQ33" i="20"/>
  <c r="AQ34" i="20"/>
  <c r="AQ35" i="20"/>
  <c r="AQ36" i="20"/>
  <c r="AQ37" i="20"/>
  <c r="AQ38" i="20"/>
  <c r="AQ39" i="20"/>
  <c r="AQ40" i="20"/>
  <c r="AQ41" i="20"/>
  <c r="AQ42" i="20"/>
  <c r="AQ44" i="20"/>
  <c r="AQ45" i="20"/>
  <c r="AQ46" i="20"/>
  <c r="AQ47" i="20"/>
  <c r="AQ48" i="20"/>
  <c r="AQ49" i="20"/>
  <c r="AQ50" i="20"/>
  <c r="AQ51" i="20"/>
  <c r="AU6" i="20"/>
  <c r="AU7" i="20"/>
  <c r="AU8" i="20"/>
  <c r="AU9" i="20"/>
  <c r="AU10" i="20"/>
  <c r="AU11" i="20"/>
  <c r="AU12" i="20"/>
  <c r="AU13" i="20"/>
  <c r="AU14" i="20"/>
  <c r="AU15" i="20"/>
  <c r="AU16" i="20"/>
  <c r="AU17" i="20"/>
  <c r="AU18" i="20"/>
  <c r="AU19" i="20"/>
  <c r="AU20" i="20"/>
  <c r="AU21" i="20"/>
  <c r="AU22" i="20"/>
  <c r="AU23" i="20"/>
  <c r="AU24" i="20"/>
  <c r="AU25" i="20"/>
  <c r="AU26" i="20"/>
  <c r="AU27" i="20"/>
  <c r="AU28" i="20"/>
  <c r="AU29" i="20"/>
  <c r="AU30" i="20"/>
  <c r="AU31" i="20"/>
  <c r="AU32" i="20"/>
  <c r="AU33" i="20"/>
  <c r="AU34" i="20"/>
  <c r="AU35" i="20"/>
  <c r="AU36" i="20"/>
  <c r="AU37" i="20"/>
  <c r="AU38" i="20"/>
  <c r="AU39" i="20"/>
  <c r="AU40" i="20"/>
  <c r="AU41" i="20"/>
  <c r="AU42" i="20"/>
  <c r="AU44" i="20"/>
  <c r="AU45" i="20"/>
  <c r="AU46" i="20"/>
  <c r="AU47" i="20"/>
  <c r="AU48" i="20"/>
  <c r="AU49" i="20"/>
  <c r="AU50" i="20"/>
  <c r="AU51" i="20"/>
  <c r="AY6" i="20"/>
  <c r="AY7" i="20"/>
  <c r="AY8" i="20"/>
  <c r="AY9" i="20"/>
  <c r="AY10" i="20"/>
  <c r="AY11" i="20"/>
  <c r="AY12" i="20"/>
  <c r="AY13" i="20"/>
  <c r="AY14" i="20"/>
  <c r="AY15" i="20"/>
  <c r="AY16" i="20"/>
  <c r="AY17" i="20"/>
  <c r="AY18" i="20"/>
  <c r="AY19" i="20"/>
  <c r="AY20" i="20"/>
  <c r="AY21" i="20"/>
  <c r="AY22" i="20"/>
  <c r="AY23" i="20"/>
  <c r="AY24" i="20"/>
  <c r="AY25" i="20"/>
  <c r="AY26" i="20"/>
  <c r="AY27" i="20"/>
  <c r="AY28" i="20"/>
  <c r="AY29" i="20"/>
  <c r="AY30" i="20"/>
  <c r="AY31" i="20"/>
  <c r="AY32" i="20"/>
  <c r="AY33" i="20"/>
  <c r="AY34" i="20"/>
  <c r="AY35" i="20"/>
  <c r="AY36" i="20"/>
  <c r="AY37" i="20"/>
  <c r="AY38" i="20"/>
  <c r="AY39" i="20"/>
  <c r="AY40" i="20"/>
  <c r="AY41" i="20"/>
  <c r="AY42" i="20"/>
  <c r="AY44" i="20"/>
  <c r="AY45" i="20"/>
  <c r="AY46" i="20"/>
  <c r="AY47" i="20"/>
  <c r="AY48" i="20"/>
  <c r="AY49" i="20"/>
  <c r="AY50" i="20"/>
  <c r="AY51" i="20"/>
  <c r="BC6" i="20"/>
  <c r="BC7" i="20"/>
  <c r="BC8" i="20"/>
  <c r="BC9" i="20"/>
  <c r="BC10" i="20"/>
  <c r="BC11" i="20"/>
  <c r="BC12" i="20"/>
  <c r="BC13" i="20"/>
  <c r="BC14" i="20"/>
  <c r="BC15" i="20"/>
  <c r="BC16" i="20"/>
  <c r="BC17" i="20"/>
  <c r="BC18" i="20"/>
  <c r="BC19" i="20"/>
  <c r="BC20" i="20"/>
  <c r="BC21" i="20"/>
  <c r="BC22" i="20"/>
  <c r="BC23" i="20"/>
  <c r="BC24" i="20"/>
  <c r="BC25" i="20"/>
  <c r="BC26" i="20"/>
  <c r="BC27" i="20"/>
  <c r="BC28" i="20"/>
  <c r="BC29" i="20"/>
  <c r="BC30" i="20"/>
  <c r="BC31" i="20"/>
  <c r="BC32" i="20"/>
  <c r="BC33" i="20"/>
  <c r="BC34" i="20"/>
  <c r="BC35" i="20"/>
  <c r="BC36" i="20"/>
  <c r="BC37" i="20"/>
  <c r="BC38" i="20"/>
  <c r="BC39" i="20"/>
  <c r="BC40" i="20"/>
  <c r="BC41" i="20"/>
  <c r="BC42" i="20"/>
  <c r="BC44" i="20"/>
  <c r="BC45" i="20"/>
  <c r="BC46" i="20"/>
  <c r="BC47" i="20"/>
  <c r="BC48" i="20"/>
  <c r="BC49" i="20"/>
  <c r="BC50" i="20"/>
  <c r="BC51" i="20"/>
  <c r="AP6" i="20"/>
  <c r="AP7" i="20"/>
  <c r="AP8" i="20"/>
  <c r="AP9" i="20"/>
  <c r="AP10" i="20"/>
  <c r="AP11" i="20"/>
  <c r="AP12" i="20"/>
  <c r="AP13" i="20"/>
  <c r="AP14" i="20"/>
  <c r="AP15" i="20"/>
  <c r="AP16" i="20"/>
  <c r="AP17" i="20"/>
  <c r="AP18" i="20"/>
  <c r="AP19" i="20"/>
  <c r="AP20" i="20"/>
  <c r="AP21" i="20"/>
  <c r="AP22" i="20"/>
  <c r="AP23" i="20"/>
  <c r="AP24" i="20"/>
  <c r="AP25" i="20"/>
  <c r="AP26" i="20"/>
  <c r="AP27" i="20"/>
  <c r="AP28" i="20"/>
  <c r="AP29" i="20"/>
  <c r="AP30" i="20"/>
  <c r="AP31" i="20"/>
  <c r="AP32" i="20"/>
  <c r="AP33" i="20"/>
  <c r="AP34" i="20"/>
  <c r="AP35" i="20"/>
  <c r="AP36" i="20"/>
  <c r="AP37" i="20"/>
  <c r="AP38" i="20"/>
  <c r="AP39" i="20"/>
  <c r="AP40" i="20"/>
  <c r="AP41" i="20"/>
  <c r="AP42" i="20"/>
  <c r="AP44" i="20"/>
  <c r="AP45" i="20"/>
  <c r="AP46" i="20"/>
  <c r="AP47" i="20"/>
  <c r="AP48" i="20"/>
  <c r="AP49" i="20"/>
  <c r="AP50" i="20"/>
  <c r="AP51" i="20"/>
  <c r="AT6" i="20"/>
  <c r="AT7" i="20"/>
  <c r="AT8" i="20"/>
  <c r="AT9" i="20"/>
  <c r="AT10" i="20"/>
  <c r="AT11" i="20"/>
  <c r="AT12" i="20"/>
  <c r="AT13" i="20"/>
  <c r="AT14" i="20"/>
  <c r="AT15" i="20"/>
  <c r="AT16" i="20"/>
  <c r="AT17" i="20"/>
  <c r="AT18" i="20"/>
  <c r="AT19" i="20"/>
  <c r="AT20" i="20"/>
  <c r="AT21" i="20"/>
  <c r="AT22" i="20"/>
  <c r="AT23" i="20"/>
  <c r="AT24" i="20"/>
  <c r="AT25" i="20"/>
  <c r="AT26" i="20"/>
  <c r="AT27" i="20"/>
  <c r="AT28" i="20"/>
  <c r="AT29" i="20"/>
  <c r="AT30" i="20"/>
  <c r="AT31" i="20"/>
  <c r="AT32" i="20"/>
  <c r="AT33" i="20"/>
  <c r="AT34" i="20"/>
  <c r="AT35" i="20"/>
  <c r="AT36" i="20"/>
  <c r="AT37" i="20"/>
  <c r="AT38" i="20"/>
  <c r="AT39" i="20"/>
  <c r="AT40" i="20"/>
  <c r="AT41" i="20"/>
  <c r="AT42" i="20"/>
  <c r="AT44" i="20"/>
  <c r="AT45" i="20"/>
  <c r="AT46" i="20"/>
  <c r="AT47" i="20"/>
  <c r="AT48" i="20"/>
  <c r="AT49" i="20"/>
  <c r="AT50" i="20"/>
  <c r="AT51" i="20"/>
  <c r="AX6" i="20"/>
  <c r="AX7" i="20"/>
  <c r="AX8" i="20"/>
  <c r="AX9" i="20"/>
  <c r="AX10" i="20"/>
  <c r="AX11" i="20"/>
  <c r="AX12" i="20"/>
  <c r="AX13" i="20"/>
  <c r="AX14" i="20"/>
  <c r="AX15" i="20"/>
  <c r="AX16" i="20"/>
  <c r="AX17" i="20"/>
  <c r="AX18" i="20"/>
  <c r="AX19" i="20"/>
  <c r="AX20" i="20"/>
  <c r="AX21" i="20"/>
  <c r="AX22" i="20"/>
  <c r="AX23" i="20"/>
  <c r="AX24" i="20"/>
  <c r="AX25" i="20"/>
  <c r="AX26" i="20"/>
  <c r="AX27" i="20"/>
  <c r="AX28" i="20"/>
  <c r="AX29" i="20"/>
  <c r="AX30" i="20"/>
  <c r="AX31" i="20"/>
  <c r="AX32" i="20"/>
  <c r="AX33" i="20"/>
  <c r="AX34" i="20"/>
  <c r="AX35" i="20"/>
  <c r="AX36" i="20"/>
  <c r="AX37" i="20"/>
  <c r="AX38" i="20"/>
  <c r="AX39" i="20"/>
  <c r="AX40" i="20"/>
  <c r="AX41" i="20"/>
  <c r="AX42" i="20"/>
  <c r="AX44" i="20"/>
  <c r="AX45" i="20"/>
  <c r="AX46" i="20"/>
  <c r="AX47" i="20"/>
  <c r="AX48" i="20"/>
  <c r="AX49" i="20"/>
  <c r="AX50" i="20"/>
  <c r="AX51" i="20"/>
  <c r="BB6" i="20"/>
  <c r="BB7" i="20"/>
  <c r="BB8" i="20"/>
  <c r="BB9" i="20"/>
  <c r="BB10" i="20"/>
  <c r="BB11" i="20"/>
  <c r="BB12" i="20"/>
  <c r="BB13" i="20"/>
  <c r="BB14" i="20"/>
  <c r="BB15" i="20"/>
  <c r="BB16" i="20"/>
  <c r="BB17" i="20"/>
  <c r="BB18" i="20"/>
  <c r="BB19" i="20"/>
  <c r="BB20" i="20"/>
  <c r="BB21" i="20"/>
  <c r="BB22" i="20"/>
  <c r="BB23" i="20"/>
  <c r="BB24" i="20"/>
  <c r="BB25" i="20"/>
  <c r="BB26" i="20"/>
  <c r="BB27" i="20"/>
  <c r="BB28" i="20"/>
  <c r="BB29" i="20"/>
  <c r="BB30" i="20"/>
  <c r="BB31" i="20"/>
  <c r="BB32" i="20"/>
  <c r="BB33" i="20"/>
  <c r="BB34" i="20"/>
  <c r="BB35" i="20"/>
  <c r="BB36" i="20"/>
  <c r="BB37" i="20"/>
  <c r="BB38" i="20"/>
  <c r="BB39" i="20"/>
  <c r="BB40" i="20"/>
  <c r="BB41" i="20"/>
  <c r="BB42" i="20"/>
  <c r="BB44" i="20"/>
  <c r="BB45" i="20"/>
  <c r="BB46" i="20"/>
  <c r="BB47" i="20"/>
  <c r="BB48" i="20"/>
  <c r="BB49" i="20"/>
  <c r="BB50" i="20"/>
  <c r="BB51" i="20"/>
  <c r="AO6" i="20"/>
  <c r="AO7" i="20"/>
  <c r="AO8" i="20"/>
  <c r="AO9" i="20"/>
  <c r="AO10" i="20"/>
  <c r="AO11" i="20"/>
  <c r="AO12" i="20"/>
  <c r="AO13" i="20"/>
  <c r="AO14" i="20"/>
  <c r="AO15" i="20"/>
  <c r="AO16" i="20"/>
  <c r="AO17" i="20"/>
  <c r="AO18" i="20"/>
  <c r="AO19" i="20"/>
  <c r="AO20" i="20"/>
  <c r="AO21" i="20"/>
  <c r="AO22" i="20"/>
  <c r="AO23" i="20"/>
  <c r="AO24" i="20"/>
  <c r="AO25" i="20"/>
  <c r="AO26" i="20"/>
  <c r="AO27" i="20"/>
  <c r="AO28" i="20"/>
  <c r="AO29" i="20"/>
  <c r="AO30" i="20"/>
  <c r="AO31" i="20"/>
  <c r="AO32" i="20"/>
  <c r="AO33" i="20"/>
  <c r="AO34" i="20"/>
  <c r="AO35" i="20"/>
  <c r="AO36" i="20"/>
  <c r="AO37" i="20"/>
  <c r="AO38" i="20"/>
  <c r="AO39" i="20"/>
  <c r="AO40" i="20"/>
  <c r="AO41" i="20"/>
  <c r="AO42" i="20"/>
  <c r="AO44" i="20"/>
  <c r="AO45" i="20"/>
  <c r="AO46" i="20"/>
  <c r="AO47" i="20"/>
  <c r="AO48" i="20"/>
  <c r="AO49" i="20"/>
  <c r="AO50" i="20"/>
  <c r="AO51" i="20"/>
  <c r="AS6" i="20"/>
  <c r="AS7" i="20"/>
  <c r="AS8" i="20"/>
  <c r="AS9" i="20"/>
  <c r="AS10" i="20"/>
  <c r="AS11" i="20"/>
  <c r="AS12" i="20"/>
  <c r="AS13" i="20"/>
  <c r="AS14" i="20"/>
  <c r="AS15" i="20"/>
  <c r="AS16" i="20"/>
  <c r="AS17" i="20"/>
  <c r="AS18" i="20"/>
  <c r="AS19" i="20"/>
  <c r="AS20" i="20"/>
  <c r="AS21" i="20"/>
  <c r="AS22" i="20"/>
  <c r="AS23" i="20"/>
  <c r="AS24" i="20"/>
  <c r="AS25" i="20"/>
  <c r="AS26" i="20"/>
  <c r="AS27" i="20"/>
  <c r="AS28" i="20"/>
  <c r="AS29" i="20"/>
  <c r="AS30" i="20"/>
  <c r="AS31" i="20"/>
  <c r="AS32" i="20"/>
  <c r="AS33" i="20"/>
  <c r="AS34" i="20"/>
  <c r="AS35" i="20"/>
  <c r="AS36" i="20"/>
  <c r="AS37" i="20"/>
  <c r="AS38" i="20"/>
  <c r="AS39" i="20"/>
  <c r="AS40" i="20"/>
  <c r="AS41" i="20"/>
  <c r="AS42" i="20"/>
  <c r="AS44" i="20"/>
  <c r="AS45" i="20"/>
  <c r="AS46" i="20"/>
  <c r="AS47" i="20"/>
  <c r="AS48" i="20"/>
  <c r="AS49" i="20"/>
  <c r="AS50" i="20"/>
  <c r="AS51" i="20"/>
  <c r="AW6" i="20"/>
  <c r="AW7" i="20"/>
  <c r="AW8" i="20"/>
  <c r="AW9" i="20"/>
  <c r="AW10" i="20"/>
  <c r="AW11" i="20"/>
  <c r="AW12" i="20"/>
  <c r="AW13" i="20"/>
  <c r="AW14" i="20"/>
  <c r="AW15" i="20"/>
  <c r="AW16" i="20"/>
  <c r="AW17" i="20"/>
  <c r="AW18" i="20"/>
  <c r="AW19" i="20"/>
  <c r="AW20" i="20"/>
  <c r="AW21" i="20"/>
  <c r="AW22" i="20"/>
  <c r="AW23" i="20"/>
  <c r="AW24" i="20"/>
  <c r="AW25" i="20"/>
  <c r="AW26" i="20"/>
  <c r="AW27" i="20"/>
  <c r="AW28" i="20"/>
  <c r="AW29" i="20"/>
  <c r="AW30" i="20"/>
  <c r="AW31" i="20"/>
  <c r="AW32" i="20"/>
  <c r="AW33" i="20"/>
  <c r="AW34" i="20"/>
  <c r="AW35" i="20"/>
  <c r="AW36" i="20"/>
  <c r="AW37" i="20"/>
  <c r="AW38" i="20"/>
  <c r="AW39" i="20"/>
  <c r="AW40" i="20"/>
  <c r="AW41" i="20"/>
  <c r="AW42" i="20"/>
  <c r="AW44" i="20"/>
  <c r="AW45" i="20"/>
  <c r="AW46" i="20"/>
  <c r="AW47" i="20"/>
  <c r="AW48" i="20"/>
  <c r="AW49" i="20"/>
  <c r="AW50" i="20"/>
  <c r="AW51" i="20"/>
  <c r="BA6" i="20"/>
  <c r="BA7" i="20"/>
  <c r="BA8" i="20"/>
  <c r="BA9" i="20"/>
  <c r="BA10" i="20"/>
  <c r="BA11" i="20"/>
  <c r="BA12" i="20"/>
  <c r="BA13" i="20"/>
  <c r="BA14" i="20"/>
  <c r="BA15" i="20"/>
  <c r="BA16" i="20"/>
  <c r="BA17" i="20"/>
  <c r="BA18" i="20"/>
  <c r="BA19" i="20"/>
  <c r="BA20" i="20"/>
  <c r="BA21" i="20"/>
  <c r="BA22" i="20"/>
  <c r="BA23" i="20"/>
  <c r="BA24" i="20"/>
  <c r="BA25" i="20"/>
  <c r="BA26" i="20"/>
  <c r="BA27" i="20"/>
  <c r="BA28" i="20"/>
  <c r="BA29" i="20"/>
  <c r="BA30" i="20"/>
  <c r="BA31" i="20"/>
  <c r="BA32" i="20"/>
  <c r="BA33" i="20"/>
  <c r="BA34" i="20"/>
  <c r="BA35" i="20"/>
  <c r="BA36" i="20"/>
  <c r="BA37" i="20"/>
  <c r="BA38" i="20"/>
  <c r="BA39" i="20"/>
  <c r="BA40" i="20"/>
  <c r="BA41" i="20"/>
  <c r="BA42" i="20"/>
  <c r="BA44" i="20"/>
  <c r="BA45" i="20"/>
  <c r="BA46" i="20"/>
  <c r="BA47" i="20"/>
  <c r="BA48" i="20"/>
  <c r="BA49" i="20"/>
  <c r="BA50" i="20"/>
  <c r="BA51" i="20"/>
  <c r="AN6" i="20"/>
  <c r="AN7" i="20"/>
  <c r="AN8" i="20"/>
  <c r="AN9" i="20"/>
  <c r="AN10" i="20"/>
  <c r="AN11" i="20"/>
  <c r="AN12" i="20"/>
  <c r="AN13" i="20"/>
  <c r="AN14" i="20"/>
  <c r="AN15" i="20"/>
  <c r="AN16" i="20"/>
  <c r="AN17" i="20"/>
  <c r="AN18" i="20"/>
  <c r="AN19" i="20"/>
  <c r="AN20" i="20"/>
  <c r="AN21" i="20"/>
  <c r="AN22" i="20"/>
  <c r="AN23" i="20"/>
  <c r="AN24" i="20"/>
  <c r="AN25" i="20"/>
  <c r="AN26" i="20"/>
  <c r="AN27" i="20"/>
  <c r="AN28" i="20"/>
  <c r="AN29" i="20"/>
  <c r="AN30" i="20"/>
  <c r="AN31" i="20"/>
  <c r="AN32" i="20"/>
  <c r="AN33" i="20"/>
  <c r="AN34" i="20"/>
  <c r="AN35" i="20"/>
  <c r="AN36" i="20"/>
  <c r="AN37" i="20"/>
  <c r="AN38" i="20"/>
  <c r="AN39" i="20"/>
  <c r="AN40" i="20"/>
  <c r="AN41" i="20"/>
  <c r="AN42" i="20"/>
  <c r="AN44" i="20"/>
  <c r="AN45" i="20"/>
  <c r="AN46" i="20"/>
  <c r="AN47" i="20"/>
  <c r="AN48" i="20"/>
  <c r="AN49" i="20"/>
  <c r="AN50" i="20"/>
  <c r="AN51" i="20"/>
  <c r="AR6" i="20"/>
  <c r="AR7" i="20"/>
  <c r="AR8" i="20"/>
  <c r="AR9" i="20"/>
  <c r="AR10" i="20"/>
  <c r="AR11" i="20"/>
  <c r="AR12" i="20"/>
  <c r="AR13" i="20"/>
  <c r="AR14" i="20"/>
  <c r="AR15" i="20"/>
  <c r="AR16" i="20"/>
  <c r="AR17" i="20"/>
  <c r="AR18" i="20"/>
  <c r="AR19" i="20"/>
  <c r="AR20" i="20"/>
  <c r="AR21" i="20"/>
  <c r="AR22" i="20"/>
  <c r="AR23" i="20"/>
  <c r="AR24" i="20"/>
  <c r="AR25" i="20"/>
  <c r="AR26" i="20"/>
  <c r="AR27" i="20"/>
  <c r="AR28" i="20"/>
  <c r="AR29" i="20"/>
  <c r="AR30" i="20"/>
  <c r="AR31" i="20"/>
  <c r="AR32" i="20"/>
  <c r="AR33" i="20"/>
  <c r="AR34" i="20"/>
  <c r="AR35" i="20"/>
  <c r="AR36" i="20"/>
  <c r="AR37" i="20"/>
  <c r="AR38" i="20"/>
  <c r="AR39" i="20"/>
  <c r="AR40" i="20"/>
  <c r="AR41" i="20"/>
  <c r="AR42" i="20"/>
  <c r="AR44" i="20"/>
  <c r="AR45" i="20"/>
  <c r="AR46" i="20"/>
  <c r="AR47" i="20"/>
  <c r="AR48" i="20"/>
  <c r="AR49" i="20"/>
  <c r="AR50" i="20"/>
  <c r="AR51" i="20"/>
  <c r="AV6" i="20"/>
  <c r="AV7" i="20"/>
  <c r="AV8" i="20"/>
  <c r="AV9" i="20"/>
  <c r="AV10" i="20"/>
  <c r="AV11" i="20"/>
  <c r="AV12" i="20"/>
  <c r="AV13" i="20"/>
  <c r="AV14" i="20"/>
  <c r="AV15" i="20"/>
  <c r="AV16" i="20"/>
  <c r="AV17" i="20"/>
  <c r="AV18" i="20"/>
  <c r="AV19" i="20"/>
  <c r="AV20" i="20"/>
  <c r="AV21" i="20"/>
  <c r="AV22" i="20"/>
  <c r="AV23" i="20"/>
  <c r="AV24" i="20"/>
  <c r="AV25" i="20"/>
  <c r="AV26" i="20"/>
  <c r="AV27" i="20"/>
  <c r="AV28" i="20"/>
  <c r="AV29" i="20"/>
  <c r="AV30" i="20"/>
  <c r="AV31" i="20"/>
  <c r="AV32" i="20"/>
  <c r="AV33" i="20"/>
  <c r="AV34" i="20"/>
  <c r="AV35" i="20"/>
  <c r="AV36" i="20"/>
  <c r="AV37" i="20"/>
  <c r="AV38" i="20"/>
  <c r="AV39" i="20"/>
  <c r="AV40" i="20"/>
  <c r="AV41" i="20"/>
  <c r="AV42" i="20"/>
  <c r="AV44" i="20"/>
  <c r="AV45" i="20"/>
  <c r="AV46" i="20"/>
  <c r="AV47" i="20"/>
  <c r="AV48" i="20"/>
  <c r="AV49" i="20"/>
  <c r="AV50" i="20"/>
  <c r="AV51" i="20"/>
  <c r="AZ6" i="20"/>
  <c r="AZ7" i="20"/>
  <c r="AZ8" i="20"/>
  <c r="AZ9" i="20"/>
  <c r="AZ10" i="20"/>
  <c r="AZ11" i="20"/>
  <c r="AZ12" i="20"/>
  <c r="AZ13" i="20"/>
  <c r="AZ14" i="20"/>
  <c r="AZ15" i="20"/>
  <c r="AZ16" i="20"/>
  <c r="AZ17" i="20"/>
  <c r="AZ18" i="20"/>
  <c r="AZ19" i="20"/>
  <c r="AZ20" i="20"/>
  <c r="AZ21" i="20"/>
  <c r="AZ22" i="20"/>
  <c r="AZ23" i="20"/>
  <c r="AZ24" i="20"/>
  <c r="AZ25" i="20"/>
  <c r="AZ26" i="20"/>
  <c r="AZ27" i="20"/>
  <c r="AZ28" i="20"/>
  <c r="AZ29" i="20"/>
  <c r="AZ30" i="20"/>
  <c r="AZ31" i="20"/>
  <c r="AZ32" i="20"/>
  <c r="AZ33" i="20"/>
  <c r="AZ34" i="20"/>
  <c r="AZ35" i="20"/>
  <c r="AZ36" i="20"/>
  <c r="AZ37" i="20"/>
  <c r="AZ38" i="20"/>
  <c r="AZ39" i="20"/>
  <c r="AZ40" i="20"/>
  <c r="AZ41" i="20"/>
  <c r="AZ42" i="20"/>
  <c r="AZ44" i="20"/>
  <c r="AZ45" i="20"/>
  <c r="AZ46" i="20"/>
  <c r="AZ47" i="20"/>
  <c r="AZ48" i="20"/>
  <c r="AZ49" i="20"/>
  <c r="AZ50" i="20"/>
  <c r="AZ51" i="20"/>
  <c r="BD6" i="20"/>
  <c r="BD7" i="20"/>
  <c r="BD8" i="20"/>
  <c r="BD9" i="20"/>
  <c r="BD10" i="20"/>
  <c r="BD11" i="20"/>
  <c r="BD12" i="20"/>
  <c r="BD13" i="20"/>
  <c r="BD14" i="20"/>
  <c r="BD15" i="20"/>
  <c r="BD16" i="20"/>
  <c r="BD17" i="20"/>
  <c r="BD18" i="20"/>
  <c r="BD19" i="20"/>
  <c r="BD20" i="20"/>
  <c r="BD21" i="20"/>
  <c r="BD22" i="20"/>
  <c r="BD23" i="20"/>
  <c r="BD24" i="20"/>
  <c r="BD25" i="20"/>
  <c r="BD26" i="20"/>
  <c r="BD27" i="20"/>
  <c r="BD28" i="20"/>
  <c r="BD29" i="20"/>
  <c r="BD30" i="20"/>
  <c r="BD31" i="20"/>
  <c r="BD32" i="20"/>
  <c r="BD33" i="20"/>
  <c r="BD34" i="20"/>
  <c r="BD35" i="20"/>
  <c r="BD36" i="20"/>
  <c r="BD37" i="20"/>
  <c r="BD38" i="20"/>
  <c r="BD39" i="20"/>
  <c r="BD40" i="20"/>
  <c r="BD41" i="20"/>
  <c r="BD42" i="20"/>
  <c r="BD44" i="20"/>
  <c r="BD45" i="20"/>
  <c r="BD46" i="20"/>
  <c r="BD47" i="20"/>
  <c r="BD48" i="20"/>
  <c r="BD49" i="20"/>
  <c r="BD50" i="20"/>
  <c r="BD51" i="20"/>
  <c r="AG6" i="20"/>
  <c r="AG7" i="20"/>
  <c r="AG8" i="20"/>
  <c r="AG9" i="20"/>
  <c r="AG10" i="20"/>
  <c r="AG11" i="20"/>
  <c r="AG12" i="20"/>
  <c r="AG13" i="20"/>
  <c r="AG14" i="20"/>
  <c r="AG15" i="20"/>
  <c r="AG16" i="20"/>
  <c r="AG17" i="20"/>
  <c r="AG18" i="20"/>
  <c r="AG19" i="20"/>
  <c r="AG20" i="20"/>
  <c r="AG21" i="20"/>
  <c r="AG22" i="20"/>
  <c r="AG23" i="20"/>
  <c r="AG24" i="20"/>
  <c r="AG25" i="20"/>
  <c r="AG26" i="20"/>
  <c r="AG27" i="20"/>
  <c r="AG28" i="20"/>
  <c r="AG29" i="20"/>
  <c r="AG30" i="20"/>
  <c r="AG31" i="20"/>
  <c r="AG32" i="20"/>
  <c r="AG33" i="20"/>
  <c r="AG34" i="20"/>
  <c r="AG35" i="20"/>
  <c r="AG36" i="20"/>
  <c r="AG37" i="20"/>
  <c r="AG38" i="20"/>
  <c r="AG39" i="20"/>
  <c r="AG40" i="20"/>
  <c r="AG41" i="20"/>
  <c r="AG42" i="20"/>
  <c r="AG44" i="20"/>
  <c r="AG45" i="20"/>
  <c r="AG46" i="20"/>
  <c r="AG47" i="20"/>
  <c r="AG48" i="20"/>
  <c r="AG49" i="20"/>
  <c r="AG50" i="20"/>
  <c r="AG51" i="20"/>
  <c r="AE6" i="20"/>
  <c r="AE7" i="20"/>
  <c r="AE8" i="20"/>
  <c r="AE9" i="20"/>
  <c r="AE10" i="20"/>
  <c r="AE11" i="20"/>
  <c r="AE12" i="20"/>
  <c r="AE13" i="20"/>
  <c r="AE14" i="20"/>
  <c r="AE15" i="20"/>
  <c r="AE16" i="20"/>
  <c r="AE17" i="20"/>
  <c r="AE18" i="20"/>
  <c r="AE19" i="20"/>
  <c r="AE20" i="20"/>
  <c r="AE21" i="20"/>
  <c r="AE22" i="20"/>
  <c r="AE23" i="20"/>
  <c r="AE24" i="20"/>
  <c r="AE25" i="20"/>
  <c r="AE26" i="20"/>
  <c r="AE27" i="20"/>
  <c r="AE28" i="20"/>
  <c r="AE29" i="20"/>
  <c r="AE30" i="20"/>
  <c r="AE31" i="20"/>
  <c r="AE32" i="20"/>
  <c r="AE33" i="20"/>
  <c r="AE34" i="20"/>
  <c r="AE35" i="20"/>
  <c r="AE36" i="20"/>
  <c r="AE37" i="20"/>
  <c r="AE38" i="20"/>
  <c r="AE39" i="20"/>
  <c r="AE40" i="20"/>
  <c r="AE41" i="20"/>
  <c r="AE42" i="20"/>
  <c r="AE44" i="20"/>
  <c r="AE45" i="20"/>
  <c r="AE46" i="20"/>
  <c r="AE47" i="20"/>
  <c r="AE48" i="20"/>
  <c r="AE49" i="20"/>
  <c r="AE50" i="20"/>
  <c r="AE51" i="20"/>
  <c r="AA6" i="20"/>
  <c r="AA7" i="20"/>
  <c r="AA8" i="20"/>
  <c r="AA9" i="20"/>
  <c r="AA10" i="20"/>
  <c r="AA11" i="20"/>
  <c r="AA12" i="20"/>
  <c r="AA13" i="20"/>
  <c r="AA14" i="20"/>
  <c r="AA15" i="20"/>
  <c r="AA16" i="20"/>
  <c r="AA17" i="20"/>
  <c r="AA18" i="20"/>
  <c r="AA19" i="20"/>
  <c r="AA20" i="20"/>
  <c r="AA21" i="20"/>
  <c r="AA22" i="20"/>
  <c r="AA23" i="20"/>
  <c r="AA24" i="20"/>
  <c r="AA25" i="20"/>
  <c r="AA26" i="20"/>
  <c r="AA27" i="20"/>
  <c r="AA28" i="20"/>
  <c r="AA29" i="20"/>
  <c r="AA30" i="20"/>
  <c r="AA31" i="20"/>
  <c r="AA32" i="20"/>
  <c r="AA33" i="20"/>
  <c r="AA34" i="20"/>
  <c r="AA35" i="20"/>
  <c r="AA36" i="20"/>
  <c r="AA37" i="20"/>
  <c r="AA38" i="20"/>
  <c r="AA39" i="20"/>
  <c r="AA40" i="20"/>
  <c r="AA41" i="20"/>
  <c r="AA42" i="20"/>
  <c r="AA44" i="20"/>
  <c r="AA45" i="20"/>
  <c r="AA46" i="20"/>
  <c r="AA47" i="20"/>
  <c r="AA48" i="20"/>
  <c r="AA49" i="20"/>
  <c r="AA50" i="20"/>
  <c r="AA51" i="20"/>
  <c r="W6" i="20"/>
  <c r="W7" i="20"/>
  <c r="W8" i="20"/>
  <c r="W9" i="20"/>
  <c r="W10" i="20"/>
  <c r="W11" i="20"/>
  <c r="W12" i="20"/>
  <c r="W13" i="20"/>
  <c r="W14" i="20"/>
  <c r="W15" i="20"/>
  <c r="W16" i="20"/>
  <c r="W17" i="20"/>
  <c r="W18" i="20"/>
  <c r="W19" i="20"/>
  <c r="W20" i="20"/>
  <c r="W21" i="20"/>
  <c r="W22" i="20"/>
  <c r="W23" i="20"/>
  <c r="W24" i="20"/>
  <c r="W25" i="20"/>
  <c r="W26" i="20"/>
  <c r="W27" i="20"/>
  <c r="W28" i="20"/>
  <c r="W29" i="20"/>
  <c r="W30" i="20"/>
  <c r="W31" i="20"/>
  <c r="W32" i="20"/>
  <c r="W33" i="20"/>
  <c r="W34" i="20"/>
  <c r="W35" i="20"/>
  <c r="W36" i="20"/>
  <c r="W37" i="20"/>
  <c r="W38" i="20"/>
  <c r="W39" i="20"/>
  <c r="W40" i="20"/>
  <c r="W41" i="20"/>
  <c r="W42" i="20"/>
  <c r="W44" i="20"/>
  <c r="W45" i="20"/>
  <c r="W46" i="20"/>
  <c r="W47" i="20"/>
  <c r="W48" i="20"/>
  <c r="W49" i="20"/>
  <c r="W50" i="20"/>
  <c r="W51" i="20"/>
  <c r="S6" i="20"/>
  <c r="S7" i="20"/>
  <c r="S8" i="20"/>
  <c r="S9" i="20"/>
  <c r="S10" i="20"/>
  <c r="S11" i="20"/>
  <c r="S12" i="20"/>
  <c r="S13" i="20"/>
  <c r="S14" i="20"/>
  <c r="S15" i="20"/>
  <c r="S16" i="20"/>
  <c r="S17" i="20"/>
  <c r="S18" i="20"/>
  <c r="S19" i="20"/>
  <c r="S20" i="20"/>
  <c r="S21" i="20"/>
  <c r="S22" i="20"/>
  <c r="S23" i="20"/>
  <c r="S24" i="20"/>
  <c r="S25" i="20"/>
  <c r="S26" i="20"/>
  <c r="S27" i="20"/>
  <c r="S28" i="20"/>
  <c r="S29" i="20"/>
  <c r="S30" i="20"/>
  <c r="S31" i="20"/>
  <c r="S32" i="20"/>
  <c r="S33" i="20"/>
  <c r="S34" i="20"/>
  <c r="S35" i="20"/>
  <c r="S36" i="20"/>
  <c r="S37" i="20"/>
  <c r="S38" i="20"/>
  <c r="S39" i="20"/>
  <c r="S40" i="20"/>
  <c r="S41" i="20"/>
  <c r="S42" i="20"/>
  <c r="S44" i="20"/>
  <c r="S45" i="20"/>
  <c r="S46" i="20"/>
  <c r="S47" i="20"/>
  <c r="S48" i="20"/>
  <c r="S49" i="20"/>
  <c r="S50" i="20"/>
  <c r="S51" i="20"/>
  <c r="AH6" i="20"/>
  <c r="AH7" i="20"/>
  <c r="AH8" i="20"/>
  <c r="AH9" i="20"/>
  <c r="AH10" i="20"/>
  <c r="AH11" i="20"/>
  <c r="AH12" i="20"/>
  <c r="AH13" i="20"/>
  <c r="AH14" i="20"/>
  <c r="AH15" i="20"/>
  <c r="AH16" i="20"/>
  <c r="AH17" i="20"/>
  <c r="AH18" i="20"/>
  <c r="AH19" i="20"/>
  <c r="AH20" i="20"/>
  <c r="AH21" i="20"/>
  <c r="AH22" i="20"/>
  <c r="AH23" i="20"/>
  <c r="AH24" i="20"/>
  <c r="AH25" i="20"/>
  <c r="AH26" i="20"/>
  <c r="AH27" i="20"/>
  <c r="AH28" i="20"/>
  <c r="AH29" i="20"/>
  <c r="AH30" i="20"/>
  <c r="AH31" i="20"/>
  <c r="AH32" i="20"/>
  <c r="AH33" i="20"/>
  <c r="AH34" i="20"/>
  <c r="AH35" i="20"/>
  <c r="AH36" i="20"/>
  <c r="AH37" i="20"/>
  <c r="AH38" i="20"/>
  <c r="AH39" i="20"/>
  <c r="AH40" i="20"/>
  <c r="AH41" i="20"/>
  <c r="AH42" i="20"/>
  <c r="AH44" i="20"/>
  <c r="AH45" i="20"/>
  <c r="AH46" i="20"/>
  <c r="AH47" i="20"/>
  <c r="AH48" i="20"/>
  <c r="AH49" i="20"/>
  <c r="AH50" i="20"/>
  <c r="AH51" i="20"/>
  <c r="AD6" i="20"/>
  <c r="AD7" i="20"/>
  <c r="AD8" i="20"/>
  <c r="AD9" i="20"/>
  <c r="AD10" i="20"/>
  <c r="AD11" i="20"/>
  <c r="AD12" i="20"/>
  <c r="AD13" i="20"/>
  <c r="AD14" i="20"/>
  <c r="AD15" i="20"/>
  <c r="AD16" i="20"/>
  <c r="AD17" i="20"/>
  <c r="AD18" i="20"/>
  <c r="AD19" i="20"/>
  <c r="AD20" i="20"/>
  <c r="AD21" i="20"/>
  <c r="AD22" i="20"/>
  <c r="AD23" i="20"/>
  <c r="AD24" i="20"/>
  <c r="AD25" i="20"/>
  <c r="AD26" i="20"/>
  <c r="AD27" i="20"/>
  <c r="AD28" i="20"/>
  <c r="AD29" i="20"/>
  <c r="AD30" i="20"/>
  <c r="AD31" i="20"/>
  <c r="AD32" i="20"/>
  <c r="AD33" i="20"/>
  <c r="AD34" i="20"/>
  <c r="AD35" i="20"/>
  <c r="AD36" i="20"/>
  <c r="AD37" i="20"/>
  <c r="AD38" i="20"/>
  <c r="AD39" i="20"/>
  <c r="AD40" i="20"/>
  <c r="AD41" i="20"/>
  <c r="AD42" i="20"/>
  <c r="AD44" i="20"/>
  <c r="AD45" i="20"/>
  <c r="AD46" i="20"/>
  <c r="AD47" i="20"/>
  <c r="AD48" i="20"/>
  <c r="AD49" i="20"/>
  <c r="AD50" i="20"/>
  <c r="AD51" i="20"/>
  <c r="Z6" i="20"/>
  <c r="Z7" i="20"/>
  <c r="Z8" i="20"/>
  <c r="Z9" i="20"/>
  <c r="Z10" i="20"/>
  <c r="Z11" i="20"/>
  <c r="Z12" i="20"/>
  <c r="Z13" i="20"/>
  <c r="Z14" i="20"/>
  <c r="Z15" i="20"/>
  <c r="Z16" i="20"/>
  <c r="Z17" i="20"/>
  <c r="Z18" i="20"/>
  <c r="Z19" i="20"/>
  <c r="Z20" i="20"/>
  <c r="Z21" i="20"/>
  <c r="Z22" i="20"/>
  <c r="Z23" i="20"/>
  <c r="Z24" i="20"/>
  <c r="Z25" i="20"/>
  <c r="Z26" i="20"/>
  <c r="Z27" i="20"/>
  <c r="Z28" i="20"/>
  <c r="Z29" i="20"/>
  <c r="Z30" i="20"/>
  <c r="Z31" i="20"/>
  <c r="Z32" i="20"/>
  <c r="Z33" i="20"/>
  <c r="Z34" i="20"/>
  <c r="Z35" i="20"/>
  <c r="Z36" i="20"/>
  <c r="Z37" i="20"/>
  <c r="Z38" i="20"/>
  <c r="Z39" i="20"/>
  <c r="Z40" i="20"/>
  <c r="Z41" i="20"/>
  <c r="Z42" i="20"/>
  <c r="Z44" i="20"/>
  <c r="Z45" i="20"/>
  <c r="Z46" i="20"/>
  <c r="Z47" i="20"/>
  <c r="Z48" i="20"/>
  <c r="Z49" i="20"/>
  <c r="Z50" i="20"/>
  <c r="Z51" i="20"/>
  <c r="V6" i="20"/>
  <c r="V7" i="20"/>
  <c r="V8" i="20"/>
  <c r="V9" i="20"/>
  <c r="V10" i="20"/>
  <c r="V11" i="20"/>
  <c r="V12" i="20"/>
  <c r="V13" i="20"/>
  <c r="V14" i="20"/>
  <c r="V15" i="20"/>
  <c r="V16" i="20"/>
  <c r="V17" i="20"/>
  <c r="V18" i="20"/>
  <c r="V19" i="20"/>
  <c r="V20" i="20"/>
  <c r="V21" i="20"/>
  <c r="V22" i="20"/>
  <c r="V23" i="20"/>
  <c r="V24" i="20"/>
  <c r="V25" i="20"/>
  <c r="V26" i="20"/>
  <c r="V27" i="20"/>
  <c r="V28" i="20"/>
  <c r="V29" i="20"/>
  <c r="V30" i="20"/>
  <c r="V31" i="20"/>
  <c r="V32" i="20"/>
  <c r="V33" i="20"/>
  <c r="V34" i="20"/>
  <c r="V35" i="20"/>
  <c r="V36" i="20"/>
  <c r="V37" i="20"/>
  <c r="V38" i="20"/>
  <c r="V39" i="20"/>
  <c r="V40" i="20"/>
  <c r="V41" i="20"/>
  <c r="V42" i="20"/>
  <c r="V44" i="20"/>
  <c r="V45" i="20"/>
  <c r="V46" i="20"/>
  <c r="V47" i="20"/>
  <c r="V48" i="20"/>
  <c r="V49" i="20"/>
  <c r="V50" i="20"/>
  <c r="V51" i="20"/>
  <c r="AC6" i="20"/>
  <c r="AC7" i="20"/>
  <c r="AC8" i="20"/>
  <c r="AC9" i="20"/>
  <c r="AC10" i="20"/>
  <c r="AC11" i="20"/>
  <c r="AC12" i="20"/>
  <c r="AC13" i="20"/>
  <c r="AC14" i="20"/>
  <c r="AC15" i="20"/>
  <c r="AC16" i="20"/>
  <c r="AC17" i="20"/>
  <c r="AC18" i="20"/>
  <c r="AC19" i="20"/>
  <c r="AC20" i="20"/>
  <c r="AC21" i="20"/>
  <c r="AC22" i="20"/>
  <c r="AC23" i="20"/>
  <c r="AC24" i="20"/>
  <c r="AC25" i="20"/>
  <c r="AC26" i="20"/>
  <c r="AC27" i="20"/>
  <c r="AC28" i="20"/>
  <c r="AC29" i="20"/>
  <c r="AC30" i="20"/>
  <c r="AC31" i="20"/>
  <c r="AC32" i="20"/>
  <c r="AC33" i="20"/>
  <c r="AC34" i="20"/>
  <c r="AC35" i="20"/>
  <c r="AC36" i="20"/>
  <c r="AC37" i="20"/>
  <c r="AC38" i="20"/>
  <c r="AC39" i="20"/>
  <c r="AC40" i="20"/>
  <c r="AC41" i="20"/>
  <c r="AC42" i="20"/>
  <c r="AC44" i="20"/>
  <c r="AC45" i="20"/>
  <c r="AC46" i="20"/>
  <c r="AC47" i="20"/>
  <c r="AC48" i="20"/>
  <c r="AC49" i="20"/>
  <c r="AC50" i="20"/>
  <c r="AC51" i="20"/>
  <c r="Y6" i="20"/>
  <c r="Y7" i="20"/>
  <c r="Y8" i="20"/>
  <c r="Y9" i="20"/>
  <c r="Y10" i="20"/>
  <c r="Y11" i="20"/>
  <c r="Y12" i="20"/>
  <c r="Y13" i="20"/>
  <c r="Y14" i="20"/>
  <c r="Y15" i="20"/>
  <c r="Y16" i="20"/>
  <c r="Y17" i="20"/>
  <c r="Y18" i="20"/>
  <c r="Y19" i="20"/>
  <c r="Y20" i="20"/>
  <c r="Y21" i="20"/>
  <c r="Y22" i="20"/>
  <c r="Y23" i="20"/>
  <c r="Y24" i="20"/>
  <c r="Y25" i="20"/>
  <c r="Y26" i="20"/>
  <c r="Y27" i="20"/>
  <c r="Y28" i="20"/>
  <c r="Y29" i="20"/>
  <c r="Y30" i="20"/>
  <c r="Y31" i="20"/>
  <c r="Y32" i="20"/>
  <c r="Y33" i="20"/>
  <c r="Y34" i="20"/>
  <c r="Y35" i="20"/>
  <c r="Y36" i="20"/>
  <c r="Y37" i="20"/>
  <c r="Y38" i="20"/>
  <c r="Y39" i="20"/>
  <c r="Y40" i="20"/>
  <c r="Y41" i="20"/>
  <c r="Y42" i="20"/>
  <c r="Y44" i="20"/>
  <c r="Y45" i="20"/>
  <c r="Y46" i="20"/>
  <c r="Y47" i="20"/>
  <c r="Y48" i="20"/>
  <c r="Y49" i="20"/>
  <c r="Y50" i="20"/>
  <c r="Y51" i="20"/>
  <c r="U6" i="20"/>
  <c r="U7" i="20"/>
  <c r="U8" i="20"/>
  <c r="U9" i="20"/>
  <c r="U10" i="20"/>
  <c r="U11" i="20"/>
  <c r="U12" i="20"/>
  <c r="U13" i="20"/>
  <c r="U14" i="20"/>
  <c r="U15" i="20"/>
  <c r="U16" i="20"/>
  <c r="U17" i="20"/>
  <c r="U18" i="20"/>
  <c r="U19" i="20"/>
  <c r="U20" i="20"/>
  <c r="U21" i="20"/>
  <c r="U22" i="20"/>
  <c r="U23" i="20"/>
  <c r="U24" i="20"/>
  <c r="U25" i="20"/>
  <c r="U26" i="20"/>
  <c r="U27" i="20"/>
  <c r="U28" i="20"/>
  <c r="U29" i="20"/>
  <c r="U30" i="20"/>
  <c r="U31" i="20"/>
  <c r="U32" i="20"/>
  <c r="U33" i="20"/>
  <c r="U34" i="20"/>
  <c r="U35" i="20"/>
  <c r="U36" i="20"/>
  <c r="U37" i="20"/>
  <c r="U38" i="20"/>
  <c r="U39" i="20"/>
  <c r="U40" i="20"/>
  <c r="U41" i="20"/>
  <c r="U42" i="20"/>
  <c r="U44" i="20"/>
  <c r="U45" i="20"/>
  <c r="U46" i="20"/>
  <c r="U47" i="20"/>
  <c r="U48" i="20"/>
  <c r="U49" i="20"/>
  <c r="U50" i="20"/>
  <c r="U51" i="20"/>
  <c r="AJ6" i="20"/>
  <c r="AJ7" i="20"/>
  <c r="AJ8" i="20"/>
  <c r="AJ9" i="20"/>
  <c r="AJ10" i="20"/>
  <c r="AJ11" i="20"/>
  <c r="AJ12" i="20"/>
  <c r="AJ13" i="20"/>
  <c r="AJ14" i="20"/>
  <c r="AJ15" i="20"/>
  <c r="AJ16" i="20"/>
  <c r="AJ17" i="20"/>
  <c r="AJ18" i="20"/>
  <c r="AJ19" i="20"/>
  <c r="AJ20" i="20"/>
  <c r="AJ21" i="20"/>
  <c r="AJ22" i="20"/>
  <c r="AJ23" i="20"/>
  <c r="AJ24" i="20"/>
  <c r="AJ25" i="20"/>
  <c r="AJ26" i="20"/>
  <c r="AJ27" i="20"/>
  <c r="AJ28" i="20"/>
  <c r="AJ29" i="20"/>
  <c r="AJ30" i="20"/>
  <c r="AJ31" i="20"/>
  <c r="AJ32" i="20"/>
  <c r="AJ33" i="20"/>
  <c r="AJ34" i="20"/>
  <c r="AJ35" i="20"/>
  <c r="AJ36" i="20"/>
  <c r="AJ37" i="20"/>
  <c r="AJ38" i="20"/>
  <c r="AJ39" i="20"/>
  <c r="AJ40" i="20"/>
  <c r="AJ41" i="20"/>
  <c r="AJ42" i="20"/>
  <c r="AJ44" i="20"/>
  <c r="AJ45" i="20"/>
  <c r="AJ46" i="20"/>
  <c r="AJ47" i="20"/>
  <c r="AJ48" i="20"/>
  <c r="AJ49" i="20"/>
  <c r="AJ50" i="20"/>
  <c r="AJ51" i="20"/>
  <c r="AF6" i="20"/>
  <c r="AF7" i="20"/>
  <c r="AF8" i="20"/>
  <c r="AF9" i="20"/>
  <c r="AF10" i="20"/>
  <c r="AF11" i="20"/>
  <c r="AF12" i="20"/>
  <c r="AF13" i="20"/>
  <c r="AF14" i="20"/>
  <c r="AF15" i="20"/>
  <c r="AF16" i="20"/>
  <c r="AF17" i="20"/>
  <c r="AF18" i="20"/>
  <c r="AF19" i="20"/>
  <c r="AF20" i="20"/>
  <c r="AF21" i="20"/>
  <c r="AF22" i="20"/>
  <c r="AF23" i="20"/>
  <c r="AF24" i="20"/>
  <c r="AF25" i="20"/>
  <c r="AF26" i="20"/>
  <c r="AF27" i="20"/>
  <c r="AF28" i="20"/>
  <c r="AF29" i="20"/>
  <c r="AF30" i="20"/>
  <c r="AF31" i="20"/>
  <c r="AF32" i="20"/>
  <c r="AF33" i="20"/>
  <c r="AF34" i="20"/>
  <c r="AF35" i="20"/>
  <c r="AF36" i="20"/>
  <c r="AF37" i="20"/>
  <c r="AF38" i="20"/>
  <c r="AF39" i="20"/>
  <c r="AF40" i="20"/>
  <c r="AF41" i="20"/>
  <c r="AF42" i="20"/>
  <c r="AF44" i="20"/>
  <c r="AF45" i="20"/>
  <c r="AF46" i="20"/>
  <c r="AF47" i="20"/>
  <c r="AF48" i="20"/>
  <c r="AF49" i="20"/>
  <c r="AF50" i="20"/>
  <c r="AF51" i="20"/>
  <c r="AB6" i="20"/>
  <c r="AB7" i="20"/>
  <c r="AB8" i="20"/>
  <c r="AB9" i="20"/>
  <c r="AB10" i="20"/>
  <c r="AB11" i="20"/>
  <c r="AB12" i="20"/>
  <c r="AB13" i="20"/>
  <c r="AB14" i="20"/>
  <c r="AB15" i="20"/>
  <c r="AB16" i="20"/>
  <c r="AB17" i="20"/>
  <c r="AB18" i="20"/>
  <c r="AB19" i="20"/>
  <c r="AB20" i="20"/>
  <c r="AB21" i="20"/>
  <c r="AB22" i="20"/>
  <c r="AB23" i="20"/>
  <c r="AB24" i="20"/>
  <c r="AB25" i="20"/>
  <c r="AB26" i="20"/>
  <c r="AB27" i="20"/>
  <c r="AB28" i="20"/>
  <c r="AB29" i="20"/>
  <c r="AB30" i="20"/>
  <c r="AB31" i="20"/>
  <c r="AB32" i="20"/>
  <c r="AB33" i="20"/>
  <c r="AB34" i="20"/>
  <c r="AB35" i="20"/>
  <c r="AB36" i="20"/>
  <c r="AB37" i="20"/>
  <c r="AB38" i="20"/>
  <c r="AB39" i="20"/>
  <c r="AB40" i="20"/>
  <c r="AB41" i="20"/>
  <c r="AB42" i="20"/>
  <c r="AB44" i="20"/>
  <c r="AB45" i="20"/>
  <c r="AB46" i="20"/>
  <c r="AB47" i="20"/>
  <c r="AB48" i="20"/>
  <c r="AB49" i="20"/>
  <c r="AB50" i="20"/>
  <c r="AB51" i="20"/>
  <c r="X6" i="20"/>
  <c r="X7" i="20"/>
  <c r="X8" i="20"/>
  <c r="X9" i="20"/>
  <c r="X10" i="20"/>
  <c r="X11" i="20"/>
  <c r="X12" i="20"/>
  <c r="X13" i="20"/>
  <c r="X14" i="20"/>
  <c r="X15" i="20"/>
  <c r="X16" i="20"/>
  <c r="X17" i="20"/>
  <c r="X18" i="20"/>
  <c r="X19" i="20"/>
  <c r="X20" i="20"/>
  <c r="X21" i="20"/>
  <c r="X22" i="20"/>
  <c r="X23" i="20"/>
  <c r="X24" i="20"/>
  <c r="X25" i="20"/>
  <c r="X26" i="20"/>
  <c r="X27" i="20"/>
  <c r="X28" i="20"/>
  <c r="X29" i="20"/>
  <c r="X30" i="20"/>
  <c r="X31" i="20"/>
  <c r="X32" i="20"/>
  <c r="X33" i="20"/>
  <c r="X34" i="20"/>
  <c r="X35" i="20"/>
  <c r="X36" i="20"/>
  <c r="X37" i="20"/>
  <c r="X38" i="20"/>
  <c r="X39" i="20"/>
  <c r="X40" i="20"/>
  <c r="X41" i="20"/>
  <c r="X42" i="20"/>
  <c r="X44" i="20"/>
  <c r="X45" i="20"/>
  <c r="X46" i="20"/>
  <c r="X47" i="20"/>
  <c r="X48" i="20"/>
  <c r="X49" i="20"/>
  <c r="X50" i="20"/>
  <c r="X51" i="20"/>
  <c r="T6" i="20"/>
  <c r="T7" i="20"/>
  <c r="T8" i="20"/>
  <c r="T9" i="20"/>
  <c r="T10" i="20"/>
  <c r="T11" i="20"/>
  <c r="T12" i="20"/>
  <c r="T13" i="20"/>
  <c r="T14" i="20"/>
  <c r="T15" i="20"/>
  <c r="T16" i="20"/>
  <c r="T17" i="20"/>
  <c r="T18" i="20"/>
  <c r="T19" i="20"/>
  <c r="T20" i="20"/>
  <c r="T21" i="20"/>
  <c r="T22" i="20"/>
  <c r="T23" i="20"/>
  <c r="T24" i="20"/>
  <c r="T25" i="20"/>
  <c r="T26" i="20"/>
  <c r="T27" i="20"/>
  <c r="T28" i="20"/>
  <c r="T29" i="20"/>
  <c r="T30" i="20"/>
  <c r="T31" i="20"/>
  <c r="T32" i="20"/>
  <c r="T33" i="20"/>
  <c r="T34" i="20"/>
  <c r="T35" i="20"/>
  <c r="T36" i="20"/>
  <c r="T37" i="20"/>
  <c r="T38" i="20"/>
  <c r="T39" i="20"/>
  <c r="T40" i="20"/>
  <c r="T41" i="20"/>
  <c r="T42" i="20"/>
  <c r="T44" i="20"/>
  <c r="T45" i="20"/>
  <c r="T46" i="20"/>
  <c r="T47" i="20"/>
  <c r="T48" i="20"/>
  <c r="T49" i="20"/>
  <c r="T50" i="20"/>
  <c r="T51" i="20"/>
  <c r="AI6" i="20"/>
  <c r="AI7" i="20"/>
  <c r="AI8" i="20"/>
  <c r="AI9" i="20"/>
  <c r="AI10" i="20"/>
  <c r="AI11" i="20"/>
  <c r="AI12" i="20"/>
  <c r="AI13" i="20"/>
  <c r="AI14" i="20"/>
  <c r="AI15" i="20"/>
  <c r="AI16" i="20"/>
  <c r="AI17" i="20"/>
  <c r="AI18" i="20"/>
  <c r="AI19" i="20"/>
  <c r="AI20" i="20"/>
  <c r="AI21" i="20"/>
  <c r="AI22" i="20"/>
  <c r="AI23" i="20"/>
  <c r="AI24" i="20"/>
  <c r="AI25" i="20"/>
  <c r="AI26" i="20"/>
  <c r="AI27" i="20"/>
  <c r="AI28" i="20"/>
  <c r="AI29" i="20"/>
  <c r="AI30" i="20"/>
  <c r="AI31" i="20"/>
  <c r="AI32" i="20"/>
  <c r="AI33" i="20"/>
  <c r="AI34" i="20"/>
  <c r="AI35" i="20"/>
  <c r="AI36" i="20"/>
  <c r="AI37" i="20"/>
  <c r="AI38" i="20"/>
  <c r="AI39" i="20"/>
  <c r="AI40" i="20"/>
  <c r="AI41" i="20"/>
  <c r="AI42" i="20"/>
  <c r="AI44" i="20"/>
  <c r="AI45" i="20"/>
  <c r="AI46" i="20"/>
  <c r="AI47" i="20"/>
  <c r="AI48" i="20"/>
  <c r="AI49" i="20"/>
  <c r="AI50" i="20"/>
  <c r="AI51" i="20"/>
  <c r="R4" i="20"/>
  <c r="D6" i="12"/>
  <c r="E6" i="12"/>
  <c r="F6" i="12"/>
  <c r="G6" i="12"/>
  <c r="H6" i="12"/>
  <c r="I6" i="12"/>
  <c r="J6" i="12"/>
  <c r="K6" i="12"/>
  <c r="L6" i="12"/>
  <c r="M6" i="12"/>
  <c r="N6" i="12"/>
  <c r="O6" i="12"/>
  <c r="P6" i="12"/>
  <c r="Q6" i="12"/>
  <c r="R6" i="12"/>
  <c r="S6" i="12"/>
  <c r="T6" i="12"/>
  <c r="U6" i="12"/>
  <c r="D7" i="12"/>
  <c r="E7" i="12"/>
  <c r="F7" i="12"/>
  <c r="G7" i="12"/>
  <c r="H7" i="12"/>
  <c r="I7" i="12"/>
  <c r="J7" i="12"/>
  <c r="K7" i="12"/>
  <c r="L7" i="12"/>
  <c r="M7" i="12"/>
  <c r="N7" i="12"/>
  <c r="O7" i="12"/>
  <c r="P7" i="12"/>
  <c r="Q7" i="12"/>
  <c r="R7" i="12"/>
  <c r="S7" i="12"/>
  <c r="T7" i="12"/>
  <c r="U7" i="12"/>
  <c r="C7" i="12"/>
  <c r="C6" i="12"/>
  <c r="D6" i="11"/>
  <c r="E6" i="11"/>
  <c r="F6" i="11"/>
  <c r="G6" i="11"/>
  <c r="H6" i="11"/>
  <c r="I6" i="11"/>
  <c r="J6" i="11"/>
  <c r="K6" i="11"/>
  <c r="L6" i="11"/>
  <c r="M6" i="11"/>
  <c r="N6" i="11"/>
  <c r="O6" i="11"/>
  <c r="P6" i="11"/>
  <c r="Q6" i="11"/>
  <c r="R6" i="11"/>
  <c r="S6" i="11"/>
  <c r="T6" i="11"/>
  <c r="U6" i="11"/>
  <c r="D7" i="11"/>
  <c r="E7" i="11"/>
  <c r="F7" i="11"/>
  <c r="G7" i="11"/>
  <c r="H7" i="11"/>
  <c r="I7" i="11"/>
  <c r="J7" i="11"/>
  <c r="K7" i="11"/>
  <c r="L7" i="11"/>
  <c r="M7" i="11"/>
  <c r="N7" i="11"/>
  <c r="O7" i="11"/>
  <c r="P7" i="11"/>
  <c r="Q7" i="11"/>
  <c r="R7" i="11"/>
  <c r="S7" i="11"/>
  <c r="T7" i="11"/>
  <c r="U7" i="11"/>
  <c r="E5" i="11"/>
  <c r="F5" i="11"/>
  <c r="G5" i="11"/>
  <c r="H5" i="11"/>
  <c r="I5" i="11"/>
  <c r="J5" i="11"/>
  <c r="K5" i="11"/>
  <c r="L5" i="11"/>
  <c r="M5" i="11"/>
  <c r="N5" i="11"/>
  <c r="O5" i="11"/>
  <c r="P5" i="11"/>
  <c r="Q5" i="11"/>
  <c r="R5" i="11"/>
  <c r="S5" i="11"/>
  <c r="T5" i="11"/>
  <c r="U5" i="11"/>
  <c r="D5" i="11"/>
  <c r="C7" i="11"/>
  <c r="C6" i="11"/>
  <c r="D6" i="9"/>
  <c r="I6" i="9"/>
  <c r="J6" i="9"/>
  <c r="K6" i="9"/>
  <c r="L6" i="9"/>
  <c r="M6" i="9"/>
  <c r="N6" i="9"/>
  <c r="O6" i="9"/>
  <c r="P6" i="9"/>
  <c r="Q6" i="9"/>
  <c r="R6" i="9"/>
  <c r="S6" i="9"/>
  <c r="T6" i="9"/>
  <c r="U6" i="9"/>
  <c r="R5" i="9"/>
  <c r="S5" i="9"/>
  <c r="T5" i="9"/>
  <c r="U5" i="9"/>
  <c r="O5" i="9"/>
  <c r="P5" i="9"/>
  <c r="Q5" i="9"/>
  <c r="E5" i="9"/>
  <c r="F5" i="9"/>
  <c r="G5" i="9"/>
  <c r="H5" i="9"/>
  <c r="I5" i="9"/>
  <c r="J5" i="9"/>
  <c r="K5" i="9"/>
  <c r="L5" i="9"/>
  <c r="M5" i="9"/>
  <c r="N5" i="9"/>
  <c r="D5" i="9"/>
  <c r="C6" i="9"/>
  <c r="D6" i="8"/>
  <c r="J6" i="8"/>
  <c r="C6" i="8"/>
  <c r="D6" i="36"/>
  <c r="E6" i="36" s="1"/>
  <c r="D6" i="37"/>
  <c r="E6" i="37" s="1"/>
  <c r="D7" i="36"/>
  <c r="E7" i="36" s="1"/>
  <c r="D7" i="37"/>
  <c r="E7" i="37" s="1"/>
  <c r="D8" i="36"/>
  <c r="E8" i="36" s="1"/>
  <c r="D8" i="37"/>
  <c r="E8" i="37" s="1"/>
  <c r="D9" i="36"/>
  <c r="E9" i="36" s="1"/>
  <c r="D9" i="37"/>
  <c r="E9" i="37" s="1"/>
  <c r="D10" i="36"/>
  <c r="E10" i="36" s="1"/>
  <c r="D10" i="37"/>
  <c r="E10" i="37" s="1"/>
  <c r="D11" i="36"/>
  <c r="E11" i="36" s="1"/>
  <c r="D11" i="37"/>
  <c r="E11" i="37" s="1"/>
  <c r="D12" i="36"/>
  <c r="E12" i="36" s="1"/>
  <c r="D12" i="37"/>
  <c r="E12" i="37" s="1"/>
  <c r="D13" i="36"/>
  <c r="E13" i="36" s="1"/>
  <c r="D13" i="37"/>
  <c r="E13" i="37" s="1"/>
  <c r="D14" i="36"/>
  <c r="E14" i="36" s="1"/>
  <c r="D14" i="37"/>
  <c r="E14" i="37" s="1"/>
  <c r="D15" i="36"/>
  <c r="E15" i="36" s="1"/>
  <c r="D15" i="37"/>
  <c r="E15" i="37" s="1"/>
  <c r="D16" i="36"/>
  <c r="E16" i="36" s="1"/>
  <c r="D16" i="37"/>
  <c r="E16" i="37" s="1"/>
  <c r="D17" i="36"/>
  <c r="E17" i="36" s="1"/>
  <c r="D17" i="37"/>
  <c r="E17" i="37" s="1"/>
  <c r="D18" i="36"/>
  <c r="E18" i="36" s="1"/>
  <c r="D18" i="37"/>
  <c r="E18" i="37" s="1"/>
  <c r="D19" i="36"/>
  <c r="E19" i="36" s="1"/>
  <c r="D19" i="37"/>
  <c r="E19" i="37" s="1"/>
  <c r="D20" i="36"/>
  <c r="E20" i="36" s="1"/>
  <c r="D20" i="37"/>
  <c r="E20" i="37" s="1"/>
  <c r="D21" i="36"/>
  <c r="E21" i="36" s="1"/>
  <c r="D21" i="37"/>
  <c r="E21" i="37" s="1"/>
  <c r="D22" i="36"/>
  <c r="E22" i="36" s="1"/>
  <c r="D22" i="37"/>
  <c r="E22" i="37" s="1"/>
  <c r="D23" i="36"/>
  <c r="E23" i="36" s="1"/>
  <c r="D23" i="37"/>
  <c r="E23" i="37" s="1"/>
  <c r="D24" i="36"/>
  <c r="E24" i="36" s="1"/>
  <c r="D24" i="37"/>
  <c r="E24" i="37" s="1"/>
  <c r="D26" i="37"/>
  <c r="D27" i="37"/>
  <c r="D28" i="37"/>
  <c r="D25" i="36"/>
  <c r="D26" i="36"/>
  <c r="D27" i="36"/>
  <c r="E27" i="36" s="1"/>
  <c r="D29" i="37"/>
  <c r="E29" i="37" s="1"/>
  <c r="D28" i="36"/>
  <c r="E28" i="36" s="1"/>
  <c r="D30" i="37"/>
  <c r="E30" i="37" s="1"/>
  <c r="D29" i="36"/>
  <c r="E29" i="36" s="1"/>
  <c r="D31" i="37"/>
  <c r="E31" i="37" s="1"/>
  <c r="D30" i="36"/>
  <c r="E30" i="36" s="1"/>
  <c r="D32" i="37"/>
  <c r="E32" i="37" s="1"/>
  <c r="D31" i="36"/>
  <c r="E31" i="36" s="1"/>
  <c r="D33" i="37"/>
  <c r="E33" i="37" s="1"/>
  <c r="D32" i="36"/>
  <c r="E32" i="36" s="1"/>
  <c r="D34" i="37"/>
  <c r="E34" i="37" s="1"/>
  <c r="D33" i="36"/>
  <c r="E33" i="36" s="1"/>
  <c r="D35" i="37"/>
  <c r="E35" i="37" s="1"/>
  <c r="D34" i="36"/>
  <c r="E34" i="36" s="1"/>
  <c r="D36" i="37"/>
  <c r="E36" i="37" s="1"/>
  <c r="D35" i="36"/>
  <c r="E35" i="36" s="1"/>
  <c r="D37" i="37"/>
  <c r="E37" i="37" s="1"/>
  <c r="D36" i="36"/>
  <c r="E36" i="36" s="1"/>
  <c r="D38" i="37"/>
  <c r="E38" i="37" s="1"/>
  <c r="D37" i="36"/>
  <c r="E37" i="36" s="1"/>
  <c r="D39" i="37"/>
  <c r="E39" i="37" s="1"/>
  <c r="D38" i="36"/>
  <c r="E38" i="36" s="1"/>
  <c r="D40" i="37"/>
  <c r="E40" i="37" s="1"/>
  <c r="D39" i="36"/>
  <c r="E39" i="36" s="1"/>
  <c r="D41" i="37"/>
  <c r="E41" i="37" s="1"/>
  <c r="D40" i="36"/>
  <c r="E40" i="36" s="1"/>
  <c r="D42" i="37"/>
  <c r="E42" i="37" s="1"/>
  <c r="D42" i="36"/>
  <c r="E42" i="36" s="1"/>
  <c r="D44" i="37"/>
  <c r="E44" i="37" s="1"/>
  <c r="D43" i="36"/>
  <c r="E43" i="36" s="1"/>
  <c r="D45" i="37"/>
  <c r="E45" i="37" s="1"/>
  <c r="D46" i="37"/>
  <c r="D44" i="36"/>
  <c r="E44" i="36" s="1"/>
  <c r="D47" i="37"/>
  <c r="E47" i="37" s="1"/>
  <c r="D45" i="36"/>
  <c r="E45" i="36" s="1"/>
  <c r="D48" i="37"/>
  <c r="E48" i="37" s="1"/>
  <c r="D49" i="37"/>
  <c r="D46" i="36"/>
  <c r="E46" i="36" s="1"/>
  <c r="D50" i="37"/>
  <c r="E50" i="37" s="1"/>
  <c r="D47" i="36"/>
  <c r="E47" i="36" s="1"/>
  <c r="D51" i="37"/>
  <c r="E51" i="37" s="1"/>
  <c r="AJ44" i="19" l="1"/>
  <c r="AJ40" i="19"/>
  <c r="AJ36" i="19"/>
  <c r="AJ26" i="19"/>
  <c r="AJ22" i="19"/>
  <c r="AJ18" i="19"/>
  <c r="AJ14" i="19"/>
  <c r="AJ10" i="19"/>
  <c r="AJ8" i="19"/>
  <c r="AJ51" i="19"/>
  <c r="X46" i="19"/>
  <c r="X42" i="19"/>
  <c r="X38" i="19"/>
  <c r="X34" i="19"/>
  <c r="X24" i="19"/>
  <c r="X20" i="19"/>
  <c r="X16" i="19"/>
  <c r="X12" i="19"/>
  <c r="X48" i="19"/>
  <c r="X54" i="19"/>
  <c r="Z44" i="19"/>
  <c r="Z40" i="19"/>
  <c r="Z36" i="19"/>
  <c r="Z26" i="19"/>
  <c r="Z22" i="19"/>
  <c r="Z18" i="19"/>
  <c r="Z14" i="19"/>
  <c r="Z10" i="19"/>
  <c r="Z8" i="19"/>
  <c r="Z51" i="19"/>
  <c r="V43" i="19"/>
  <c r="V39" i="19"/>
  <c r="V35" i="19"/>
  <c r="V25" i="19"/>
  <c r="V21" i="19"/>
  <c r="V17" i="19"/>
  <c r="V54" i="19"/>
  <c r="AJ43" i="19"/>
  <c r="AJ39" i="19"/>
  <c r="AJ35" i="19"/>
  <c r="AJ25" i="19"/>
  <c r="AJ21" i="19"/>
  <c r="AJ17" i="19"/>
  <c r="AJ13" i="19"/>
  <c r="AJ9" i="19"/>
  <c r="AJ55" i="19"/>
  <c r="X45" i="19"/>
  <c r="X41" i="19"/>
  <c r="X37" i="19"/>
  <c r="X33" i="19"/>
  <c r="X23" i="19"/>
  <c r="X19" i="19"/>
  <c r="X15" i="19"/>
  <c r="X11" i="19"/>
  <c r="X52" i="19"/>
  <c r="X49" i="19"/>
  <c r="Z43" i="19"/>
  <c r="Z39" i="19"/>
  <c r="Z35" i="19"/>
  <c r="Z25" i="19"/>
  <c r="Z21" i="19"/>
  <c r="Z17" i="19"/>
  <c r="Z13" i="19"/>
  <c r="Z9" i="19"/>
  <c r="Z55" i="19"/>
  <c r="V46" i="19"/>
  <c r="V42" i="19"/>
  <c r="V38" i="19"/>
  <c r="V34" i="19"/>
  <c r="V24" i="19"/>
  <c r="V20" i="19"/>
  <c r="V15" i="19"/>
  <c r="V49" i="19"/>
  <c r="AJ46" i="19"/>
  <c r="AJ42" i="19"/>
  <c r="AJ38" i="19"/>
  <c r="AJ34" i="19"/>
  <c r="AJ24" i="19"/>
  <c r="AJ20" i="19"/>
  <c r="AJ16" i="19"/>
  <c r="AJ12" i="19"/>
  <c r="AJ48" i="19"/>
  <c r="X44" i="19"/>
  <c r="X40" i="19"/>
  <c r="X36" i="19"/>
  <c r="X26" i="19"/>
  <c r="X22" i="19"/>
  <c r="X18" i="19"/>
  <c r="X14" i="19"/>
  <c r="X10" i="19"/>
  <c r="X8" i="19"/>
  <c r="Z46" i="19"/>
  <c r="Z42" i="19"/>
  <c r="Z38" i="19"/>
  <c r="Z34" i="19"/>
  <c r="Z24" i="19"/>
  <c r="Z20" i="19"/>
  <c r="Z16" i="19"/>
  <c r="Z12" i="19"/>
  <c r="Z48" i="19"/>
  <c r="V45" i="19"/>
  <c r="V41" i="19"/>
  <c r="V37" i="19"/>
  <c r="V33" i="19"/>
  <c r="V23" i="19"/>
  <c r="V19" i="19"/>
  <c r="V12" i="19"/>
  <c r="V10" i="19"/>
  <c r="V51" i="19"/>
  <c r="AH20" i="19"/>
  <c r="AF10" i="19"/>
  <c r="AF18" i="19"/>
  <c r="AD34" i="19"/>
  <c r="AH38" i="19"/>
  <c r="AD15" i="19"/>
  <c r="AF36" i="19"/>
  <c r="AH46" i="19"/>
  <c r="AD42" i="19"/>
  <c r="AF44" i="19"/>
  <c r="AH12" i="19"/>
  <c r="AD52" i="19"/>
  <c r="AF19" i="19"/>
  <c r="AH21" i="19"/>
  <c r="AD45" i="19"/>
  <c r="AD19" i="19"/>
  <c r="AF33" i="19"/>
  <c r="AF8" i="19"/>
  <c r="AH35" i="19"/>
  <c r="AH48" i="19"/>
  <c r="AD33" i="19"/>
  <c r="AD54" i="19"/>
  <c r="E45" i="20"/>
  <c r="E51" i="20"/>
  <c r="E49" i="20"/>
  <c r="E47" i="20"/>
  <c r="E44" i="20"/>
  <c r="E46" i="20"/>
  <c r="E50" i="20"/>
  <c r="E48" i="20"/>
  <c r="AF40" i="19"/>
  <c r="AF22" i="19"/>
  <c r="AF11" i="19"/>
  <c r="AF51" i="19"/>
  <c r="AH42" i="19"/>
  <c r="AH24" i="19"/>
  <c r="AH13" i="19"/>
  <c r="AH54" i="19"/>
  <c r="AD37" i="19"/>
  <c r="AD20" i="19"/>
  <c r="AD11" i="19"/>
  <c r="AF41" i="19"/>
  <c r="AF26" i="19"/>
  <c r="AF14" i="19"/>
  <c r="AF49" i="19"/>
  <c r="AH43" i="19"/>
  <c r="AH34" i="19"/>
  <c r="AH16" i="19"/>
  <c r="AH55" i="19"/>
  <c r="AD41" i="19"/>
  <c r="AD23" i="19"/>
  <c r="AD12" i="19"/>
  <c r="AD49" i="19"/>
  <c r="V14" i="19"/>
  <c r="V52" i="19"/>
  <c r="V16" i="19"/>
  <c r="V11" i="19"/>
  <c r="V8" i="19"/>
  <c r="AF45" i="19"/>
  <c r="AF37" i="19"/>
  <c r="AF23" i="19"/>
  <c r="AF15" i="19"/>
  <c r="AF52" i="19"/>
  <c r="AH39" i="19"/>
  <c r="AH25" i="19"/>
  <c r="AH17" i="19"/>
  <c r="AH9" i="19"/>
  <c r="AD46" i="19"/>
  <c r="AD38" i="19"/>
  <c r="AD24" i="19"/>
  <c r="AD16" i="19"/>
  <c r="AD48" i="19"/>
  <c r="AY10" i="19"/>
  <c r="AQ41" i="19"/>
  <c r="BC15" i="19"/>
  <c r="AQ37" i="19"/>
  <c r="AY26" i="19"/>
  <c r="AQ48" i="19"/>
  <c r="AY44" i="19"/>
  <c r="AY52" i="19"/>
  <c r="AY40" i="19"/>
  <c r="AY18" i="19"/>
  <c r="AU46" i="19"/>
  <c r="AQ19" i="19"/>
  <c r="V13" i="19"/>
  <c r="V9" i="19"/>
  <c r="AY22" i="19"/>
  <c r="AW37" i="19"/>
  <c r="AO38" i="19"/>
  <c r="AY36" i="19"/>
  <c r="AY14" i="19"/>
  <c r="AU24" i="19"/>
  <c r="AQ15" i="19"/>
  <c r="AY8" i="19"/>
  <c r="AY39" i="19"/>
  <c r="AY25" i="19"/>
  <c r="AY21" i="19"/>
  <c r="AY13" i="19"/>
  <c r="AY51" i="19"/>
  <c r="AO16" i="19"/>
  <c r="AY46" i="19"/>
  <c r="AY42" i="19"/>
  <c r="AY38" i="19"/>
  <c r="AY34" i="19"/>
  <c r="AY24" i="19"/>
  <c r="AY20" i="19"/>
  <c r="AY16" i="19"/>
  <c r="AY12" i="19"/>
  <c r="AY55" i="19"/>
  <c r="AY49" i="19"/>
  <c r="AU55" i="19"/>
  <c r="AQ33" i="19"/>
  <c r="AQ11" i="19"/>
  <c r="AW15" i="19"/>
  <c r="AY43" i="19"/>
  <c r="AY35" i="19"/>
  <c r="AY17" i="19"/>
  <c r="AY9" i="19"/>
  <c r="BC37" i="19"/>
  <c r="AY45" i="19"/>
  <c r="AY41" i="19"/>
  <c r="AY37" i="19"/>
  <c r="AY33" i="19"/>
  <c r="AY23" i="19"/>
  <c r="AY19" i="19"/>
  <c r="AY15" i="19"/>
  <c r="AY11" i="19"/>
  <c r="AY54" i="19"/>
  <c r="AQ45" i="19"/>
  <c r="AQ23" i="19"/>
  <c r="AQ54" i="19"/>
  <c r="AO13" i="19"/>
  <c r="AU21" i="19"/>
  <c r="AQ44" i="19"/>
  <c r="AQ36" i="19"/>
  <c r="AQ22" i="19"/>
  <c r="AQ14" i="19"/>
  <c r="AQ52" i="19"/>
  <c r="R6" i="19"/>
  <c r="E34" i="19" s="1"/>
  <c r="AO43" i="19"/>
  <c r="AO21" i="19"/>
  <c r="AO51" i="19"/>
  <c r="AF46" i="19"/>
  <c r="AF42" i="19"/>
  <c r="AF38" i="19"/>
  <c r="AF34" i="19"/>
  <c r="AF24" i="19"/>
  <c r="AF20" i="19"/>
  <c r="AF16" i="19"/>
  <c r="AF12" i="19"/>
  <c r="AF48" i="19"/>
  <c r="AF54" i="19"/>
  <c r="AU35" i="19"/>
  <c r="AU13" i="19"/>
  <c r="AQ46" i="19"/>
  <c r="AQ42" i="19"/>
  <c r="AQ38" i="19"/>
  <c r="AQ34" i="19"/>
  <c r="AQ24" i="19"/>
  <c r="AQ20" i="19"/>
  <c r="AQ16" i="19"/>
  <c r="AQ12" i="19"/>
  <c r="AQ55" i="19"/>
  <c r="AQ49" i="19"/>
  <c r="AH44" i="19"/>
  <c r="AH40" i="19"/>
  <c r="AH36" i="19"/>
  <c r="AH26" i="19"/>
  <c r="AH22" i="19"/>
  <c r="AH18" i="19"/>
  <c r="AH14" i="19"/>
  <c r="AH10" i="19"/>
  <c r="AH8" i="19"/>
  <c r="AH51" i="19"/>
  <c r="AD43" i="19"/>
  <c r="AD39" i="19"/>
  <c r="AD35" i="19"/>
  <c r="AD25" i="19"/>
  <c r="AD21" i="19"/>
  <c r="AD17" i="19"/>
  <c r="AD13" i="19"/>
  <c r="AD9" i="19"/>
  <c r="AD55" i="19"/>
  <c r="AO35" i="19"/>
  <c r="AU43" i="19"/>
  <c r="AU51" i="19"/>
  <c r="AQ40" i="19"/>
  <c r="AQ26" i="19"/>
  <c r="AQ18" i="19"/>
  <c r="AQ10" i="19"/>
  <c r="AO46" i="19"/>
  <c r="AO24" i="19"/>
  <c r="AO55" i="19"/>
  <c r="AF43" i="19"/>
  <c r="AF39" i="19"/>
  <c r="AF35" i="19"/>
  <c r="AF25" i="19"/>
  <c r="AF21" i="19"/>
  <c r="AF17" i="19"/>
  <c r="AF13" i="19"/>
  <c r="AF9" i="19"/>
  <c r="AU38" i="19"/>
  <c r="AU16" i="19"/>
  <c r="AQ8" i="19"/>
  <c r="AQ43" i="19"/>
  <c r="AQ39" i="19"/>
  <c r="AQ35" i="19"/>
  <c r="AQ25" i="19"/>
  <c r="AQ21" i="19"/>
  <c r="AQ17" i="19"/>
  <c r="AQ13" i="19"/>
  <c r="AQ9" i="19"/>
  <c r="AH45" i="19"/>
  <c r="AH41" i="19"/>
  <c r="AH37" i="19"/>
  <c r="AH33" i="19"/>
  <c r="AH23" i="19"/>
  <c r="AH19" i="19"/>
  <c r="AH15" i="19"/>
  <c r="AH11" i="19"/>
  <c r="AH52" i="19"/>
  <c r="AD44" i="19"/>
  <c r="AD40" i="19"/>
  <c r="AD36" i="19"/>
  <c r="AD26" i="19"/>
  <c r="AD22" i="19"/>
  <c r="AD18" i="19"/>
  <c r="AD14" i="19"/>
  <c r="AD10" i="19"/>
  <c r="AD8" i="19"/>
  <c r="AW11" i="19"/>
  <c r="BC11" i="19"/>
  <c r="AW45" i="19"/>
  <c r="AW23" i="19"/>
  <c r="AW54" i="19"/>
  <c r="AO42" i="19"/>
  <c r="AO34" i="19"/>
  <c r="AO20" i="19"/>
  <c r="AO12" i="19"/>
  <c r="AO49" i="19"/>
  <c r="BC45" i="19"/>
  <c r="BC23" i="19"/>
  <c r="BC54" i="19"/>
  <c r="AU42" i="19"/>
  <c r="AU34" i="19"/>
  <c r="AU20" i="19"/>
  <c r="AU12" i="19"/>
  <c r="AU49" i="19"/>
  <c r="AW33" i="19"/>
  <c r="BC33" i="19"/>
  <c r="AW41" i="19"/>
  <c r="AW19" i="19"/>
  <c r="AW48" i="19"/>
  <c r="AO8" i="19"/>
  <c r="AO39" i="19"/>
  <c r="AO25" i="19"/>
  <c r="AO17" i="19"/>
  <c r="AO9" i="19"/>
  <c r="BC41" i="19"/>
  <c r="BC19" i="19"/>
  <c r="BC48" i="19"/>
  <c r="AU8" i="19"/>
  <c r="AU39" i="19"/>
  <c r="AU25" i="19"/>
  <c r="AU17" i="19"/>
  <c r="AU9" i="19"/>
  <c r="AW40" i="19"/>
  <c r="AW26" i="19"/>
  <c r="AW18" i="19"/>
  <c r="AW10" i="19"/>
  <c r="BC40" i="19"/>
  <c r="BC26" i="19"/>
  <c r="BC18" i="19"/>
  <c r="BC10" i="19"/>
  <c r="AW8" i="19"/>
  <c r="AW43" i="19"/>
  <c r="AW39" i="19"/>
  <c r="AW35" i="19"/>
  <c r="AW25" i="19"/>
  <c r="AW21" i="19"/>
  <c r="AW17" i="19"/>
  <c r="AW13" i="19"/>
  <c r="AW9" i="19"/>
  <c r="AW51" i="19"/>
  <c r="AO45" i="19"/>
  <c r="AO41" i="19"/>
  <c r="AO37" i="19"/>
  <c r="AO33" i="19"/>
  <c r="AO23" i="19"/>
  <c r="AO19" i="19"/>
  <c r="AO15" i="19"/>
  <c r="AO11" i="19"/>
  <c r="AO54" i="19"/>
  <c r="AO48" i="19"/>
  <c r="BC8" i="19"/>
  <c r="BC43" i="19"/>
  <c r="BC39" i="19"/>
  <c r="BC35" i="19"/>
  <c r="BC25" i="19"/>
  <c r="BC21" i="19"/>
  <c r="BC17" i="19"/>
  <c r="BC13" i="19"/>
  <c r="BC9" i="19"/>
  <c r="BC51" i="19"/>
  <c r="AU45" i="19"/>
  <c r="AU41" i="19"/>
  <c r="AU37" i="19"/>
  <c r="AU33" i="19"/>
  <c r="AU23" i="19"/>
  <c r="AU19" i="19"/>
  <c r="AU15" i="19"/>
  <c r="AU11" i="19"/>
  <c r="AU54" i="19"/>
  <c r="AU48" i="19"/>
  <c r="AW44" i="19"/>
  <c r="AW36" i="19"/>
  <c r="AW22" i="19"/>
  <c r="AW14" i="19"/>
  <c r="AW52" i="19"/>
  <c r="BC44" i="19"/>
  <c r="BC36" i="19"/>
  <c r="BC22" i="19"/>
  <c r="BC14" i="19"/>
  <c r="BC52" i="19"/>
  <c r="AW46" i="19"/>
  <c r="AW42" i="19"/>
  <c r="AW38" i="19"/>
  <c r="AW34" i="19"/>
  <c r="AW24" i="19"/>
  <c r="AW20" i="19"/>
  <c r="AW16" i="19"/>
  <c r="AW12" i="19"/>
  <c r="AW55" i="19"/>
  <c r="AO44" i="19"/>
  <c r="AO40" i="19"/>
  <c r="AO36" i="19"/>
  <c r="AO26" i="19"/>
  <c r="AO22" i="19"/>
  <c r="AO18" i="19"/>
  <c r="AO14" i="19"/>
  <c r="AO10" i="19"/>
  <c r="BC46" i="19"/>
  <c r="BC42" i="19"/>
  <c r="BC38" i="19"/>
  <c r="BC34" i="19"/>
  <c r="BC24" i="19"/>
  <c r="BC20" i="19"/>
  <c r="BC16" i="19"/>
  <c r="BC12" i="19"/>
  <c r="BC55" i="19"/>
  <c r="AU44" i="19"/>
  <c r="AU40" i="19"/>
  <c r="AU36" i="19"/>
  <c r="AU26" i="19"/>
  <c r="AU22" i="19"/>
  <c r="AU18" i="19"/>
  <c r="AU14" i="19"/>
  <c r="AU10" i="19"/>
  <c r="E49" i="37"/>
  <c r="E53" i="48" s="1"/>
  <c r="D53" i="48"/>
  <c r="E28" i="37"/>
  <c r="E30" i="48" s="1"/>
  <c r="D30" i="48"/>
  <c r="E26" i="37"/>
  <c r="E28" i="48" s="1"/>
  <c r="D28" i="48"/>
  <c r="E46" i="37"/>
  <c r="E50" i="48" s="1"/>
  <c r="D50" i="48"/>
  <c r="E27" i="37"/>
  <c r="E29" i="48" s="1"/>
  <c r="D29" i="48"/>
  <c r="E26" i="36"/>
  <c r="E32" i="48" s="1"/>
  <c r="D32" i="48"/>
  <c r="E25" i="36"/>
  <c r="E31" i="48" s="1"/>
  <c r="D31" i="48"/>
  <c r="BB49" i="19"/>
  <c r="BB51" i="19"/>
  <c r="BB52" i="19"/>
  <c r="BB54" i="19"/>
  <c r="BB55" i="19"/>
  <c r="BB9" i="19"/>
  <c r="BB10" i="19"/>
  <c r="BB11" i="19"/>
  <c r="BB12" i="19"/>
  <c r="BB13" i="19"/>
  <c r="BB14" i="19"/>
  <c r="BB15" i="19"/>
  <c r="BB16" i="19"/>
  <c r="BB17" i="19"/>
  <c r="BB18" i="19"/>
  <c r="BB19" i="19"/>
  <c r="BB20" i="19"/>
  <c r="BB21" i="19"/>
  <c r="BB22" i="19"/>
  <c r="BB23" i="19"/>
  <c r="BB24" i="19"/>
  <c r="BB25" i="19"/>
  <c r="BB26" i="19"/>
  <c r="BB33" i="19"/>
  <c r="BB34" i="19"/>
  <c r="BB35" i="19"/>
  <c r="BB36" i="19"/>
  <c r="BB37" i="19"/>
  <c r="BB38" i="19"/>
  <c r="BB39" i="19"/>
  <c r="BB40" i="19"/>
  <c r="BB48" i="19"/>
  <c r="BB8" i="19"/>
  <c r="BB41" i="19"/>
  <c r="BB42" i="19"/>
  <c r="BB43" i="19"/>
  <c r="BB44" i="19"/>
  <c r="BB45" i="19"/>
  <c r="BB46" i="19"/>
  <c r="AT49" i="19"/>
  <c r="AT51" i="19"/>
  <c r="AT52" i="19"/>
  <c r="AT54" i="19"/>
  <c r="AT55" i="19"/>
  <c r="AT9" i="19"/>
  <c r="AT10" i="19"/>
  <c r="AT11" i="19"/>
  <c r="AT12" i="19"/>
  <c r="AT13" i="19"/>
  <c r="AT14" i="19"/>
  <c r="AT15" i="19"/>
  <c r="AT16" i="19"/>
  <c r="AT17" i="19"/>
  <c r="AT18" i="19"/>
  <c r="AT19" i="19"/>
  <c r="AT20" i="19"/>
  <c r="AT21" i="19"/>
  <c r="AT22" i="19"/>
  <c r="AT23" i="19"/>
  <c r="AT24" i="19"/>
  <c r="AT25" i="19"/>
  <c r="AT26" i="19"/>
  <c r="AT33" i="19"/>
  <c r="AT34" i="19"/>
  <c r="AT35" i="19"/>
  <c r="AT36" i="19"/>
  <c r="AT37" i="19"/>
  <c r="AT38" i="19"/>
  <c r="AT39" i="19"/>
  <c r="AT40" i="19"/>
  <c r="AT48" i="19"/>
  <c r="AT8" i="19"/>
  <c r="AT41" i="19"/>
  <c r="AT42" i="19"/>
  <c r="AT43" i="19"/>
  <c r="AT44" i="19"/>
  <c r="AT45" i="19"/>
  <c r="AT46" i="19"/>
  <c r="AI52" i="19"/>
  <c r="AI48" i="19"/>
  <c r="AI9" i="19"/>
  <c r="AI10" i="19"/>
  <c r="AI11" i="19"/>
  <c r="AI12" i="19"/>
  <c r="AI13" i="19"/>
  <c r="AI14" i="19"/>
  <c r="AI15" i="19"/>
  <c r="AI16" i="19"/>
  <c r="AI17" i="19"/>
  <c r="AI18" i="19"/>
  <c r="AI19" i="19"/>
  <c r="AI20" i="19"/>
  <c r="AI21" i="19"/>
  <c r="AI22" i="19"/>
  <c r="AI23" i="19"/>
  <c r="AI24" i="19"/>
  <c r="AI25" i="19"/>
  <c r="AI26" i="19"/>
  <c r="AI33" i="19"/>
  <c r="AI34" i="19"/>
  <c r="AI35" i="19"/>
  <c r="AI36" i="19"/>
  <c r="AI37" i="19"/>
  <c r="AI38" i="19"/>
  <c r="AI39" i="19"/>
  <c r="AI40" i="19"/>
  <c r="AI41" i="19"/>
  <c r="AI42" i="19"/>
  <c r="AI43" i="19"/>
  <c r="AI44" i="19"/>
  <c r="AI45" i="19"/>
  <c r="AI46" i="19"/>
  <c r="AI51" i="19"/>
  <c r="AI49" i="19"/>
  <c r="AI54" i="19"/>
  <c r="AI55" i="19"/>
  <c r="AI8" i="19"/>
  <c r="AA52" i="19"/>
  <c r="AA48" i="19"/>
  <c r="AA9" i="19"/>
  <c r="AA10" i="19"/>
  <c r="AA11" i="19"/>
  <c r="AA12" i="19"/>
  <c r="AA13" i="19"/>
  <c r="AA14" i="19"/>
  <c r="AA15" i="19"/>
  <c r="AA16" i="19"/>
  <c r="AA17" i="19"/>
  <c r="AA18" i="19"/>
  <c r="AA19" i="19"/>
  <c r="AA20" i="19"/>
  <c r="AA21" i="19"/>
  <c r="AA22" i="19"/>
  <c r="AA23" i="19"/>
  <c r="AA24" i="19"/>
  <c r="AA25" i="19"/>
  <c r="AA26" i="19"/>
  <c r="AA33" i="19"/>
  <c r="AA34" i="19"/>
  <c r="AA35" i="19"/>
  <c r="AA36" i="19"/>
  <c r="AA37" i="19"/>
  <c r="AA38" i="19"/>
  <c r="AA39" i="19"/>
  <c r="AA40" i="19"/>
  <c r="AA41" i="19"/>
  <c r="AA42" i="19"/>
  <c r="AA43" i="19"/>
  <c r="AA44" i="19"/>
  <c r="AA45" i="19"/>
  <c r="AA46" i="19"/>
  <c r="AA51" i="19"/>
  <c r="AA49" i="19"/>
  <c r="AA54" i="19"/>
  <c r="AA55" i="19"/>
  <c r="AA8" i="19"/>
  <c r="E43" i="19"/>
  <c r="E45" i="19"/>
  <c r="AZ49" i="19"/>
  <c r="AZ51" i="19"/>
  <c r="AZ52" i="19"/>
  <c r="AZ54" i="19"/>
  <c r="AZ55" i="19"/>
  <c r="AZ9" i="19"/>
  <c r="AZ10" i="19"/>
  <c r="AZ11" i="19"/>
  <c r="AZ12" i="19"/>
  <c r="AZ13" i="19"/>
  <c r="AZ14" i="19"/>
  <c r="AZ15" i="19"/>
  <c r="AZ16" i="19"/>
  <c r="AZ17" i="19"/>
  <c r="AZ18" i="19"/>
  <c r="AZ19" i="19"/>
  <c r="AZ20" i="19"/>
  <c r="AZ21" i="19"/>
  <c r="AZ22" i="19"/>
  <c r="AZ23" i="19"/>
  <c r="AZ24" i="19"/>
  <c r="AZ25" i="19"/>
  <c r="AZ26" i="19"/>
  <c r="AZ33" i="19"/>
  <c r="AZ34" i="19"/>
  <c r="AZ35" i="19"/>
  <c r="AZ36" i="19"/>
  <c r="AZ37" i="19"/>
  <c r="AZ38" i="19"/>
  <c r="AZ39" i="19"/>
  <c r="AZ40" i="19"/>
  <c r="AZ48" i="19"/>
  <c r="AZ8" i="19"/>
  <c r="AZ41" i="19"/>
  <c r="AZ42" i="19"/>
  <c r="AZ43" i="19"/>
  <c r="AZ44" i="19"/>
  <c r="AZ45" i="19"/>
  <c r="AZ46" i="19"/>
  <c r="AR49" i="19"/>
  <c r="AR51" i="19"/>
  <c r="AR52" i="19"/>
  <c r="AR54" i="19"/>
  <c r="AR55" i="19"/>
  <c r="AR9" i="19"/>
  <c r="AR10" i="19"/>
  <c r="AR11" i="19"/>
  <c r="AR12" i="19"/>
  <c r="AR13" i="19"/>
  <c r="AR14" i="19"/>
  <c r="AR15" i="19"/>
  <c r="AR16" i="19"/>
  <c r="AR17" i="19"/>
  <c r="AR18" i="19"/>
  <c r="AR19" i="19"/>
  <c r="AR20" i="19"/>
  <c r="AR21" i="19"/>
  <c r="AR22" i="19"/>
  <c r="AR23" i="19"/>
  <c r="AR24" i="19"/>
  <c r="AR25" i="19"/>
  <c r="AR26" i="19"/>
  <c r="AR33" i="19"/>
  <c r="AR34" i="19"/>
  <c r="AR35" i="19"/>
  <c r="AR36" i="19"/>
  <c r="AR37" i="19"/>
  <c r="AR38" i="19"/>
  <c r="AR39" i="19"/>
  <c r="AR40" i="19"/>
  <c r="AR41" i="19"/>
  <c r="AR48" i="19"/>
  <c r="AR8" i="19"/>
  <c r="AR42" i="19"/>
  <c r="AR43" i="19"/>
  <c r="AR44" i="19"/>
  <c r="AR45" i="19"/>
  <c r="AR46" i="19"/>
  <c r="AG52" i="19"/>
  <c r="AG48" i="19"/>
  <c r="AG9" i="19"/>
  <c r="AG10" i="19"/>
  <c r="AG11" i="19"/>
  <c r="AG12" i="19"/>
  <c r="AG13" i="19"/>
  <c r="AG14" i="19"/>
  <c r="AG15" i="19"/>
  <c r="AG16" i="19"/>
  <c r="AG17" i="19"/>
  <c r="AG18" i="19"/>
  <c r="AG19" i="19"/>
  <c r="AG20" i="19"/>
  <c r="AG21" i="19"/>
  <c r="AG22" i="19"/>
  <c r="AG23" i="19"/>
  <c r="AG24" i="19"/>
  <c r="AG25" i="19"/>
  <c r="AG26" i="19"/>
  <c r="AG33" i="19"/>
  <c r="AG34" i="19"/>
  <c r="AG35" i="19"/>
  <c r="AG36" i="19"/>
  <c r="AG37" i="19"/>
  <c r="AG38" i="19"/>
  <c r="AG39" i="19"/>
  <c r="AG40" i="19"/>
  <c r="AG41" i="19"/>
  <c r="AG42" i="19"/>
  <c r="AG43" i="19"/>
  <c r="AG44" i="19"/>
  <c r="AG45" i="19"/>
  <c r="AG46" i="19"/>
  <c r="AG51" i="19"/>
  <c r="AG49" i="19"/>
  <c r="AG54" i="19"/>
  <c r="AG55" i="19"/>
  <c r="AG8" i="19"/>
  <c r="Y52" i="19"/>
  <c r="Y48" i="19"/>
  <c r="Y9" i="19"/>
  <c r="Y10" i="19"/>
  <c r="Y11" i="19"/>
  <c r="Y12" i="19"/>
  <c r="Y13" i="19"/>
  <c r="Y14" i="19"/>
  <c r="Y15" i="19"/>
  <c r="Y16" i="19"/>
  <c r="Y17" i="19"/>
  <c r="Y18" i="19"/>
  <c r="Y19" i="19"/>
  <c r="Y20" i="19"/>
  <c r="Y21" i="19"/>
  <c r="Y22" i="19"/>
  <c r="Y23" i="19"/>
  <c r="Y24" i="19"/>
  <c r="Y25" i="19"/>
  <c r="Y26" i="19"/>
  <c r="Y33" i="19"/>
  <c r="Y34" i="19"/>
  <c r="Y35" i="19"/>
  <c r="Y36" i="19"/>
  <c r="Y37" i="19"/>
  <c r="Y38" i="19"/>
  <c r="Y39" i="19"/>
  <c r="Y40" i="19"/>
  <c r="Y41" i="19"/>
  <c r="Y42" i="19"/>
  <c r="Y43" i="19"/>
  <c r="Y44" i="19"/>
  <c r="Y45" i="19"/>
  <c r="Y46" i="19"/>
  <c r="Y51" i="19"/>
  <c r="Y49" i="19"/>
  <c r="Y54" i="19"/>
  <c r="Y55" i="19"/>
  <c r="Y8" i="19"/>
  <c r="AX49" i="19"/>
  <c r="AX51" i="19"/>
  <c r="AX52" i="19"/>
  <c r="AX54" i="19"/>
  <c r="AX55" i="19"/>
  <c r="AX9" i="19"/>
  <c r="AX10" i="19"/>
  <c r="AX11" i="19"/>
  <c r="AX12" i="19"/>
  <c r="AX13" i="19"/>
  <c r="AX14" i="19"/>
  <c r="AX15" i="19"/>
  <c r="AX16" i="19"/>
  <c r="AX17" i="19"/>
  <c r="AX18" i="19"/>
  <c r="AX19" i="19"/>
  <c r="AX20" i="19"/>
  <c r="AX21" i="19"/>
  <c r="AX22" i="19"/>
  <c r="AX23" i="19"/>
  <c r="AX24" i="19"/>
  <c r="AX25" i="19"/>
  <c r="AX26" i="19"/>
  <c r="AX33" i="19"/>
  <c r="AX34" i="19"/>
  <c r="AX35" i="19"/>
  <c r="AX36" i="19"/>
  <c r="AX37" i="19"/>
  <c r="AX38" i="19"/>
  <c r="AX39" i="19"/>
  <c r="AX40" i="19"/>
  <c r="AX48" i="19"/>
  <c r="AX8" i="19"/>
  <c r="AX41" i="19"/>
  <c r="AX42" i="19"/>
  <c r="AX43" i="19"/>
  <c r="AX44" i="19"/>
  <c r="AX45" i="19"/>
  <c r="AX46" i="19"/>
  <c r="AP49" i="19"/>
  <c r="AP51" i="19"/>
  <c r="AP52" i="19"/>
  <c r="AP54" i="19"/>
  <c r="AP55" i="19"/>
  <c r="AP9" i="19"/>
  <c r="AP10" i="19"/>
  <c r="AP11" i="19"/>
  <c r="AP12" i="19"/>
  <c r="AP13" i="19"/>
  <c r="AP14" i="19"/>
  <c r="AP15" i="19"/>
  <c r="AP16" i="19"/>
  <c r="AP17" i="19"/>
  <c r="AP18" i="19"/>
  <c r="AP19" i="19"/>
  <c r="AP20" i="19"/>
  <c r="AP21" i="19"/>
  <c r="AP22" i="19"/>
  <c r="AP23" i="19"/>
  <c r="AP24" i="19"/>
  <c r="AP25" i="19"/>
  <c r="AP26" i="19"/>
  <c r="AP33" i="19"/>
  <c r="AP34" i="19"/>
  <c r="AP35" i="19"/>
  <c r="AP36" i="19"/>
  <c r="AP37" i="19"/>
  <c r="AP38" i="19"/>
  <c r="AP39" i="19"/>
  <c r="AP40" i="19"/>
  <c r="AP41" i="19"/>
  <c r="AP48" i="19"/>
  <c r="AP8" i="19"/>
  <c r="AP42" i="19"/>
  <c r="AP43" i="19"/>
  <c r="AP44" i="19"/>
  <c r="AP45" i="19"/>
  <c r="AP46" i="19"/>
  <c r="AE52" i="19"/>
  <c r="AE48" i="19"/>
  <c r="AE9" i="19"/>
  <c r="AE10" i="19"/>
  <c r="AE11" i="19"/>
  <c r="AE12" i="19"/>
  <c r="AE13" i="19"/>
  <c r="AE14" i="19"/>
  <c r="AE15" i="19"/>
  <c r="AE16" i="19"/>
  <c r="AE17" i="19"/>
  <c r="AE18" i="19"/>
  <c r="AE19" i="19"/>
  <c r="AE20" i="19"/>
  <c r="AE21" i="19"/>
  <c r="AE22" i="19"/>
  <c r="AE23" i="19"/>
  <c r="AE24" i="19"/>
  <c r="AE25" i="19"/>
  <c r="AE26" i="19"/>
  <c r="AE33" i="19"/>
  <c r="AE34" i="19"/>
  <c r="AE35" i="19"/>
  <c r="AE36" i="19"/>
  <c r="AE37" i="19"/>
  <c r="AE38" i="19"/>
  <c r="AE39" i="19"/>
  <c r="AE40" i="19"/>
  <c r="AE41" i="19"/>
  <c r="AE42" i="19"/>
  <c r="AE43" i="19"/>
  <c r="AE44" i="19"/>
  <c r="AE45" i="19"/>
  <c r="AE46" i="19"/>
  <c r="AE51" i="19"/>
  <c r="AE49" i="19"/>
  <c r="AE54" i="19"/>
  <c r="AE55" i="19"/>
  <c r="AE8" i="19"/>
  <c r="W52" i="19"/>
  <c r="W48" i="19"/>
  <c r="W9" i="19"/>
  <c r="W10" i="19"/>
  <c r="W11" i="19"/>
  <c r="W12" i="19"/>
  <c r="W13" i="19"/>
  <c r="W14" i="19"/>
  <c r="W15" i="19"/>
  <c r="W16" i="19"/>
  <c r="W17" i="19"/>
  <c r="W18" i="19"/>
  <c r="W19" i="19"/>
  <c r="W20" i="19"/>
  <c r="W21" i="19"/>
  <c r="W22" i="19"/>
  <c r="W23" i="19"/>
  <c r="W24" i="19"/>
  <c r="W25" i="19"/>
  <c r="W26" i="19"/>
  <c r="W33" i="19"/>
  <c r="W34" i="19"/>
  <c r="W35" i="19"/>
  <c r="W36" i="19"/>
  <c r="W37" i="19"/>
  <c r="W38" i="19"/>
  <c r="W39" i="19"/>
  <c r="W40" i="19"/>
  <c r="W41" i="19"/>
  <c r="W42" i="19"/>
  <c r="W43" i="19"/>
  <c r="W44" i="19"/>
  <c r="W45" i="19"/>
  <c r="W46" i="19"/>
  <c r="W51" i="19"/>
  <c r="W49" i="19"/>
  <c r="W54" i="19"/>
  <c r="W55" i="19"/>
  <c r="W8" i="19"/>
  <c r="S52" i="19"/>
  <c r="S48" i="19"/>
  <c r="S9" i="19"/>
  <c r="S10" i="19"/>
  <c r="S11" i="19"/>
  <c r="S12" i="19"/>
  <c r="S13" i="19"/>
  <c r="S14" i="19"/>
  <c r="S15" i="19"/>
  <c r="S16" i="19"/>
  <c r="S17" i="19"/>
  <c r="S18" i="19"/>
  <c r="S19" i="19"/>
  <c r="S20" i="19"/>
  <c r="S21" i="19"/>
  <c r="S22" i="19"/>
  <c r="S23" i="19"/>
  <c r="S24" i="19"/>
  <c r="S25" i="19"/>
  <c r="S26" i="19"/>
  <c r="S33" i="19"/>
  <c r="S34" i="19"/>
  <c r="S35" i="19"/>
  <c r="S36" i="19"/>
  <c r="S37" i="19"/>
  <c r="S38" i="19"/>
  <c r="S39" i="19"/>
  <c r="S40" i="19"/>
  <c r="S41" i="19"/>
  <c r="S42" i="19"/>
  <c r="S43" i="19"/>
  <c r="S44" i="19"/>
  <c r="S45" i="19"/>
  <c r="S46" i="19"/>
  <c r="S49" i="19"/>
  <c r="S51" i="19"/>
  <c r="S54" i="19"/>
  <c r="S55" i="19"/>
  <c r="S8" i="19"/>
  <c r="BD49" i="19"/>
  <c r="BD51" i="19"/>
  <c r="BD52" i="19"/>
  <c r="BD54" i="19"/>
  <c r="BD55" i="19"/>
  <c r="BD9" i="19"/>
  <c r="BD10" i="19"/>
  <c r="BD11" i="19"/>
  <c r="BD12" i="19"/>
  <c r="BD13" i="19"/>
  <c r="BD14" i="19"/>
  <c r="BD15" i="19"/>
  <c r="BD16" i="19"/>
  <c r="BD17" i="19"/>
  <c r="BD18" i="19"/>
  <c r="BD19" i="19"/>
  <c r="BD20" i="19"/>
  <c r="BD21" i="19"/>
  <c r="BD22" i="19"/>
  <c r="BD23" i="19"/>
  <c r="BD24" i="19"/>
  <c r="BD25" i="19"/>
  <c r="BD26" i="19"/>
  <c r="BD33" i="19"/>
  <c r="BD34" i="19"/>
  <c r="BD35" i="19"/>
  <c r="BD36" i="19"/>
  <c r="BD37" i="19"/>
  <c r="BD38" i="19"/>
  <c r="BD39" i="19"/>
  <c r="BD40" i="19"/>
  <c r="BD48" i="19"/>
  <c r="BD8" i="19"/>
  <c r="BD41" i="19"/>
  <c r="BD42" i="19"/>
  <c r="BD43" i="19"/>
  <c r="BD44" i="19"/>
  <c r="BD45" i="19"/>
  <c r="BD46" i="19"/>
  <c r="AV49" i="19"/>
  <c r="AV51" i="19"/>
  <c r="AV52" i="19"/>
  <c r="AV54" i="19"/>
  <c r="AV55" i="19"/>
  <c r="AV9" i="19"/>
  <c r="AV10" i="19"/>
  <c r="AV11" i="19"/>
  <c r="AV12" i="19"/>
  <c r="AV13" i="19"/>
  <c r="AV14" i="19"/>
  <c r="AV15" i="19"/>
  <c r="AV16" i="19"/>
  <c r="AV17" i="19"/>
  <c r="AV18" i="19"/>
  <c r="AV19" i="19"/>
  <c r="AV20" i="19"/>
  <c r="AV21" i="19"/>
  <c r="AV22" i="19"/>
  <c r="AV23" i="19"/>
  <c r="AV24" i="19"/>
  <c r="AV25" i="19"/>
  <c r="AV26" i="19"/>
  <c r="AV33" i="19"/>
  <c r="AV34" i="19"/>
  <c r="AV35" i="19"/>
  <c r="AV36" i="19"/>
  <c r="AV37" i="19"/>
  <c r="AV38" i="19"/>
  <c r="AV39" i="19"/>
  <c r="AV40" i="19"/>
  <c r="AV48" i="19"/>
  <c r="AV41" i="19"/>
  <c r="AV8" i="19"/>
  <c r="AV42" i="19"/>
  <c r="AV43" i="19"/>
  <c r="AV44" i="19"/>
  <c r="AV45" i="19"/>
  <c r="AV46" i="19"/>
  <c r="AN49" i="19"/>
  <c r="AN51" i="19"/>
  <c r="AN52" i="19"/>
  <c r="AN54" i="19"/>
  <c r="AN55" i="19"/>
  <c r="AN9" i="19"/>
  <c r="AN10" i="19"/>
  <c r="AN11" i="19"/>
  <c r="AN12" i="19"/>
  <c r="AN13" i="19"/>
  <c r="AN14" i="19"/>
  <c r="AN15" i="19"/>
  <c r="AN16" i="19"/>
  <c r="AN17" i="19"/>
  <c r="AN18" i="19"/>
  <c r="AN19" i="19"/>
  <c r="AN20" i="19"/>
  <c r="AN21" i="19"/>
  <c r="AN22" i="19"/>
  <c r="AN23" i="19"/>
  <c r="AN24" i="19"/>
  <c r="AN25" i="19"/>
  <c r="AN26" i="19"/>
  <c r="AN33" i="19"/>
  <c r="AN34" i="19"/>
  <c r="AN35" i="19"/>
  <c r="AN36" i="19"/>
  <c r="AN37" i="19"/>
  <c r="AN38" i="19"/>
  <c r="AN39" i="19"/>
  <c r="AN40" i="19"/>
  <c r="AN41" i="19"/>
  <c r="AN48" i="19"/>
  <c r="AN8" i="19"/>
  <c r="AN42" i="19"/>
  <c r="AN43" i="19"/>
  <c r="AN44" i="19"/>
  <c r="AN45" i="19"/>
  <c r="AN46" i="19"/>
  <c r="AC52" i="19"/>
  <c r="AC48" i="19"/>
  <c r="AC9" i="19"/>
  <c r="AC10" i="19"/>
  <c r="AC11" i="19"/>
  <c r="AC12" i="19"/>
  <c r="AC13" i="19"/>
  <c r="AC14" i="19"/>
  <c r="AC15" i="19"/>
  <c r="AC16" i="19"/>
  <c r="AC17" i="19"/>
  <c r="AC18" i="19"/>
  <c r="AC19" i="19"/>
  <c r="AC20" i="19"/>
  <c r="AC21" i="19"/>
  <c r="AC22" i="19"/>
  <c r="AC23" i="19"/>
  <c r="AC24" i="19"/>
  <c r="AC25" i="19"/>
  <c r="AC26" i="19"/>
  <c r="AC33" i="19"/>
  <c r="AC34" i="19"/>
  <c r="AC35" i="19"/>
  <c r="AC36" i="19"/>
  <c r="AC37" i="19"/>
  <c r="AC38" i="19"/>
  <c r="AC39" i="19"/>
  <c r="AC40" i="19"/>
  <c r="AC41" i="19"/>
  <c r="AC42" i="19"/>
  <c r="AC43" i="19"/>
  <c r="AC44" i="19"/>
  <c r="AC45" i="19"/>
  <c r="AC46" i="19"/>
  <c r="AC51" i="19"/>
  <c r="AC49" i="19"/>
  <c r="AC54" i="19"/>
  <c r="AC55" i="19"/>
  <c r="AC8" i="19"/>
  <c r="U52" i="19"/>
  <c r="U48" i="19"/>
  <c r="U9" i="19"/>
  <c r="U10" i="19"/>
  <c r="U11" i="19"/>
  <c r="U12" i="19"/>
  <c r="U13" i="19"/>
  <c r="U14" i="19"/>
  <c r="U15" i="19"/>
  <c r="U16" i="19"/>
  <c r="U17" i="19"/>
  <c r="U18" i="19"/>
  <c r="U19" i="19"/>
  <c r="U20" i="19"/>
  <c r="U21" i="19"/>
  <c r="U22" i="19"/>
  <c r="U23" i="19"/>
  <c r="U24" i="19"/>
  <c r="U25" i="19"/>
  <c r="U26" i="19"/>
  <c r="U33" i="19"/>
  <c r="U34" i="19"/>
  <c r="U35" i="19"/>
  <c r="U36" i="19"/>
  <c r="U37" i="19"/>
  <c r="U38" i="19"/>
  <c r="U39" i="19"/>
  <c r="U40" i="19"/>
  <c r="U41" i="19"/>
  <c r="U42" i="19"/>
  <c r="U43" i="19"/>
  <c r="U44" i="19"/>
  <c r="U45" i="19"/>
  <c r="U46" i="19"/>
  <c r="U51" i="19"/>
  <c r="U49" i="19"/>
  <c r="U54" i="19"/>
  <c r="U55" i="19"/>
  <c r="U8" i="19"/>
  <c r="AM48" i="19"/>
  <c r="AM49" i="19"/>
  <c r="AM51" i="19"/>
  <c r="AM52" i="19"/>
  <c r="AM54" i="19"/>
  <c r="AM55" i="19"/>
  <c r="AM9" i="19"/>
  <c r="AM10" i="19"/>
  <c r="AM11" i="19"/>
  <c r="AM12" i="19"/>
  <c r="AM13" i="19"/>
  <c r="AM14" i="19"/>
  <c r="AM15" i="19"/>
  <c r="AM16" i="19"/>
  <c r="AM17" i="19"/>
  <c r="AM18" i="19"/>
  <c r="AM19" i="19"/>
  <c r="AM20" i="19"/>
  <c r="AM21" i="19"/>
  <c r="AM22" i="19"/>
  <c r="AM23" i="19"/>
  <c r="AM24" i="19"/>
  <c r="AM25" i="19"/>
  <c r="AM26" i="19"/>
  <c r="AM33" i="19"/>
  <c r="AM34" i="19"/>
  <c r="AM35" i="19"/>
  <c r="AM36" i="19"/>
  <c r="AM37" i="19"/>
  <c r="AM38" i="19"/>
  <c r="AM39" i="19"/>
  <c r="AM40" i="19"/>
  <c r="AM41" i="19"/>
  <c r="AM42" i="19"/>
  <c r="AM43" i="19"/>
  <c r="AM44" i="19"/>
  <c r="AM45" i="19"/>
  <c r="AM46" i="19"/>
  <c r="AM8" i="19"/>
  <c r="AL6" i="19"/>
  <c r="T47" i="43"/>
  <c r="T45" i="43"/>
  <c r="T43" i="43"/>
  <c r="T40" i="43"/>
  <c r="T38" i="43"/>
  <c r="T48" i="43"/>
  <c r="T46" i="43"/>
  <c r="T44" i="43"/>
  <c r="T41" i="43"/>
  <c r="T39" i="43"/>
  <c r="T37" i="43"/>
  <c r="T36" i="43"/>
  <c r="T34" i="43"/>
  <c r="T32" i="43"/>
  <c r="T30" i="43"/>
  <c r="T28" i="43"/>
  <c r="T26" i="43"/>
  <c r="T24" i="43"/>
  <c r="T22" i="43"/>
  <c r="T20" i="43"/>
  <c r="T18" i="43"/>
  <c r="T16" i="43"/>
  <c r="T14" i="43"/>
  <c r="T12" i="43"/>
  <c r="T35" i="43"/>
  <c r="T33" i="43"/>
  <c r="T31" i="43"/>
  <c r="T29" i="43"/>
  <c r="T27" i="43"/>
  <c r="T25" i="43"/>
  <c r="T23" i="43"/>
  <c r="T21" i="43"/>
  <c r="T19" i="43"/>
  <c r="T17" i="43"/>
  <c r="T15" i="43"/>
  <c r="T13" i="43"/>
  <c r="T11" i="43"/>
  <c r="T10" i="43"/>
  <c r="T8" i="43"/>
  <c r="T9" i="43"/>
  <c r="T7" i="43"/>
  <c r="F47" i="43"/>
  <c r="F45" i="43"/>
  <c r="F43" i="43"/>
  <c r="F40" i="43"/>
  <c r="F38" i="43"/>
  <c r="F36" i="43"/>
  <c r="F34" i="43"/>
  <c r="F32" i="43"/>
  <c r="F30" i="43"/>
  <c r="F28" i="43"/>
  <c r="F27" i="43"/>
  <c r="F25" i="43"/>
  <c r="F23" i="43"/>
  <c r="F21" i="43"/>
  <c r="F19" i="43"/>
  <c r="F17" i="43"/>
  <c r="F15" i="43"/>
  <c r="F13" i="43"/>
  <c r="F11" i="43"/>
  <c r="F9" i="43"/>
  <c r="F7" i="43"/>
  <c r="F48" i="43"/>
  <c r="F46" i="43"/>
  <c r="F44" i="43"/>
  <c r="F41" i="43"/>
  <c r="F39" i="43"/>
  <c r="F37" i="43"/>
  <c r="F35" i="43"/>
  <c r="F33" i="43"/>
  <c r="F31" i="43"/>
  <c r="F29" i="43"/>
  <c r="F26" i="43"/>
  <c r="F24" i="43"/>
  <c r="F22" i="43"/>
  <c r="F20" i="43"/>
  <c r="F18" i="43"/>
  <c r="F16" i="43"/>
  <c r="F14" i="43"/>
  <c r="F12" i="43"/>
  <c r="F10" i="43"/>
  <c r="F8" i="43"/>
  <c r="J47" i="43"/>
  <c r="J45" i="43"/>
  <c r="J43" i="43"/>
  <c r="J40" i="43"/>
  <c r="J38" i="43"/>
  <c r="J48" i="43"/>
  <c r="J46" i="43"/>
  <c r="J44" i="43"/>
  <c r="J41" i="43"/>
  <c r="J39" i="43"/>
  <c r="J36" i="43"/>
  <c r="J34" i="43"/>
  <c r="J32" i="43"/>
  <c r="J30" i="43"/>
  <c r="J28" i="43"/>
  <c r="J26" i="43"/>
  <c r="J24" i="43"/>
  <c r="J22" i="43"/>
  <c r="J20" i="43"/>
  <c r="J18" i="43"/>
  <c r="J16" i="43"/>
  <c r="J14" i="43"/>
  <c r="J12" i="43"/>
  <c r="J37" i="43"/>
  <c r="J35" i="43"/>
  <c r="J33" i="43"/>
  <c r="J31" i="43"/>
  <c r="J29" i="43"/>
  <c r="J27" i="43"/>
  <c r="J25" i="43"/>
  <c r="J23" i="43"/>
  <c r="J21" i="43"/>
  <c r="J19" i="43"/>
  <c r="J17" i="43"/>
  <c r="J15" i="43"/>
  <c r="J13" i="43"/>
  <c r="J10" i="43"/>
  <c r="J8" i="43"/>
  <c r="J11" i="43"/>
  <c r="J9" i="43"/>
  <c r="J7" i="43"/>
  <c r="N47" i="43"/>
  <c r="N45" i="43"/>
  <c r="N43" i="43"/>
  <c r="N40" i="43"/>
  <c r="N38" i="43"/>
  <c r="N48" i="43"/>
  <c r="N46" i="43"/>
  <c r="N44" i="43"/>
  <c r="N41" i="43"/>
  <c r="N39" i="43"/>
  <c r="N36" i="43"/>
  <c r="N34" i="43"/>
  <c r="N32" i="43"/>
  <c r="N30" i="43"/>
  <c r="N28" i="43"/>
  <c r="N26" i="43"/>
  <c r="N24" i="43"/>
  <c r="N22" i="43"/>
  <c r="N20" i="43"/>
  <c r="N18" i="43"/>
  <c r="N16" i="43"/>
  <c r="N14" i="43"/>
  <c r="N12" i="43"/>
  <c r="N37" i="43"/>
  <c r="N35" i="43"/>
  <c r="N33" i="43"/>
  <c r="N31" i="43"/>
  <c r="N29" i="43"/>
  <c r="N27" i="43"/>
  <c r="N25" i="43"/>
  <c r="N23" i="43"/>
  <c r="N21" i="43"/>
  <c r="N19" i="43"/>
  <c r="N17" i="43"/>
  <c r="N15" i="43"/>
  <c r="N13" i="43"/>
  <c r="N10" i="43"/>
  <c r="N8" i="43"/>
  <c r="N11" i="43"/>
  <c r="N9" i="43"/>
  <c r="N7" i="43"/>
  <c r="R47" i="43"/>
  <c r="R45" i="43"/>
  <c r="R43" i="43"/>
  <c r="R40" i="43"/>
  <c r="R38" i="43"/>
  <c r="R48" i="43"/>
  <c r="R46" i="43"/>
  <c r="R44" i="43"/>
  <c r="R41" i="43"/>
  <c r="R39" i="43"/>
  <c r="R37" i="43"/>
  <c r="R36" i="43"/>
  <c r="R34" i="43"/>
  <c r="R32" i="43"/>
  <c r="R30" i="43"/>
  <c r="R28" i="43"/>
  <c r="R26" i="43"/>
  <c r="R24" i="43"/>
  <c r="R22" i="43"/>
  <c r="R20" i="43"/>
  <c r="R18" i="43"/>
  <c r="R16" i="43"/>
  <c r="R14" i="43"/>
  <c r="R12" i="43"/>
  <c r="R35" i="43"/>
  <c r="R33" i="43"/>
  <c r="R31" i="43"/>
  <c r="R29" i="43"/>
  <c r="R27" i="43"/>
  <c r="R25" i="43"/>
  <c r="R23" i="43"/>
  <c r="R21" i="43"/>
  <c r="R19" i="43"/>
  <c r="R17" i="43"/>
  <c r="R15" i="43"/>
  <c r="R13" i="43"/>
  <c r="R11" i="43"/>
  <c r="R10" i="43"/>
  <c r="R8" i="43"/>
  <c r="R9" i="43"/>
  <c r="R7" i="43"/>
  <c r="G48" i="43"/>
  <c r="G46" i="43"/>
  <c r="G44" i="43"/>
  <c r="G41" i="43"/>
  <c r="G39" i="43"/>
  <c r="G37" i="43"/>
  <c r="G35" i="43"/>
  <c r="G33" i="43"/>
  <c r="G31" i="43"/>
  <c r="G29" i="43"/>
  <c r="G26" i="43"/>
  <c r="G24" i="43"/>
  <c r="G22" i="43"/>
  <c r="G20" i="43"/>
  <c r="G18" i="43"/>
  <c r="G16" i="43"/>
  <c r="G14" i="43"/>
  <c r="G12" i="43"/>
  <c r="G10" i="43"/>
  <c r="G8" i="43"/>
  <c r="G47" i="43"/>
  <c r="G45" i="43"/>
  <c r="G43" i="43"/>
  <c r="G40" i="43"/>
  <c r="G38" i="43"/>
  <c r="G36" i="43"/>
  <c r="G34" i="43"/>
  <c r="G32" i="43"/>
  <c r="G30" i="43"/>
  <c r="G28" i="43"/>
  <c r="G27" i="43"/>
  <c r="G25" i="43"/>
  <c r="G23" i="43"/>
  <c r="G21" i="43"/>
  <c r="G19" i="43"/>
  <c r="G17" i="43"/>
  <c r="G15" i="43"/>
  <c r="G13" i="43"/>
  <c r="G11" i="43"/>
  <c r="G9" i="43"/>
  <c r="G7" i="43"/>
  <c r="K48" i="43"/>
  <c r="K46" i="43"/>
  <c r="K44" i="43"/>
  <c r="K41" i="43"/>
  <c r="K39" i="43"/>
  <c r="K47" i="43"/>
  <c r="K45" i="43"/>
  <c r="K43" i="43"/>
  <c r="K40" i="43"/>
  <c r="K38" i="43"/>
  <c r="K37" i="43"/>
  <c r="K35" i="43"/>
  <c r="K33" i="43"/>
  <c r="K31" i="43"/>
  <c r="K29" i="43"/>
  <c r="K27" i="43"/>
  <c r="K25" i="43"/>
  <c r="K23" i="43"/>
  <c r="K21" i="43"/>
  <c r="K19" i="43"/>
  <c r="K17" i="43"/>
  <c r="K15" i="43"/>
  <c r="K13" i="43"/>
  <c r="K36" i="43"/>
  <c r="K34" i="43"/>
  <c r="K32" i="43"/>
  <c r="K30" i="43"/>
  <c r="K28" i="43"/>
  <c r="K26" i="43"/>
  <c r="K24" i="43"/>
  <c r="K22" i="43"/>
  <c r="K20" i="43"/>
  <c r="K18" i="43"/>
  <c r="K16" i="43"/>
  <c r="K14" i="43"/>
  <c r="K12" i="43"/>
  <c r="K11" i="43"/>
  <c r="K9" i="43"/>
  <c r="K7" i="43"/>
  <c r="K10" i="43"/>
  <c r="K8" i="43"/>
  <c r="O48" i="43"/>
  <c r="O46" i="43"/>
  <c r="O44" i="43"/>
  <c r="O41" i="43"/>
  <c r="O39" i="43"/>
  <c r="O47" i="43"/>
  <c r="O45" i="43"/>
  <c r="O43" i="43"/>
  <c r="O40" i="43"/>
  <c r="O38" i="43"/>
  <c r="O37" i="43"/>
  <c r="O35" i="43"/>
  <c r="O33" i="43"/>
  <c r="O31" i="43"/>
  <c r="O29" i="43"/>
  <c r="O27" i="43"/>
  <c r="O25" i="43"/>
  <c r="O23" i="43"/>
  <c r="O21" i="43"/>
  <c r="O19" i="43"/>
  <c r="O17" i="43"/>
  <c r="O15" i="43"/>
  <c r="O13" i="43"/>
  <c r="O36" i="43"/>
  <c r="O34" i="43"/>
  <c r="O32" i="43"/>
  <c r="O30" i="43"/>
  <c r="O28" i="43"/>
  <c r="O26" i="43"/>
  <c r="O24" i="43"/>
  <c r="O22" i="43"/>
  <c r="O20" i="43"/>
  <c r="O18" i="43"/>
  <c r="O16" i="43"/>
  <c r="O14" i="43"/>
  <c r="O12" i="43"/>
  <c r="O11" i="43"/>
  <c r="O9" i="43"/>
  <c r="O7" i="43"/>
  <c r="O10" i="43"/>
  <c r="O8" i="43"/>
  <c r="S48" i="43"/>
  <c r="S46" i="43"/>
  <c r="S44" i="43"/>
  <c r="S41" i="43"/>
  <c r="S39" i="43"/>
  <c r="S37" i="43"/>
  <c r="S47" i="43"/>
  <c r="S45" i="43"/>
  <c r="S43" i="43"/>
  <c r="S40" i="43"/>
  <c r="S38" i="43"/>
  <c r="S35" i="43"/>
  <c r="S33" i="43"/>
  <c r="S31" i="43"/>
  <c r="S29" i="43"/>
  <c r="S27" i="43"/>
  <c r="S25" i="43"/>
  <c r="S23" i="43"/>
  <c r="S21" i="43"/>
  <c r="S19" i="43"/>
  <c r="S17" i="43"/>
  <c r="S15" i="43"/>
  <c r="S13" i="43"/>
  <c r="S11" i="43"/>
  <c r="S36" i="43"/>
  <c r="S34" i="43"/>
  <c r="S32" i="43"/>
  <c r="S30" i="43"/>
  <c r="S28" i="43"/>
  <c r="S26" i="43"/>
  <c r="S24" i="43"/>
  <c r="S22" i="43"/>
  <c r="S20" i="43"/>
  <c r="S18" i="43"/>
  <c r="S16" i="43"/>
  <c r="S14" i="43"/>
  <c r="S12" i="43"/>
  <c r="S9" i="43"/>
  <c r="S7" i="43"/>
  <c r="S10" i="43"/>
  <c r="S8" i="43"/>
  <c r="E51" i="44"/>
  <c r="E47" i="44"/>
  <c r="E42" i="44"/>
  <c r="E38" i="44"/>
  <c r="E34" i="44"/>
  <c r="E30" i="44"/>
  <c r="E27" i="44"/>
  <c r="E23" i="44"/>
  <c r="E19" i="44"/>
  <c r="E15" i="44"/>
  <c r="E11" i="44"/>
  <c r="E7" i="44"/>
  <c r="E50" i="44"/>
  <c r="E46" i="44"/>
  <c r="E41" i="44"/>
  <c r="E37" i="44"/>
  <c r="E33" i="44"/>
  <c r="E28" i="44"/>
  <c r="E24" i="44"/>
  <c r="E20" i="44"/>
  <c r="E16" i="44"/>
  <c r="E12" i="44"/>
  <c r="E8" i="44"/>
  <c r="E49" i="44"/>
  <c r="E45" i="44"/>
  <c r="E40" i="44"/>
  <c r="E36" i="44"/>
  <c r="E32" i="44"/>
  <c r="E29" i="44"/>
  <c r="E25" i="44"/>
  <c r="E21" i="44"/>
  <c r="E17" i="44"/>
  <c r="E13" i="44"/>
  <c r="E9" i="44"/>
  <c r="E52" i="44"/>
  <c r="E48" i="44"/>
  <c r="E43" i="44"/>
  <c r="E39" i="44"/>
  <c r="E35" i="44"/>
  <c r="E31" i="44"/>
  <c r="E26" i="44"/>
  <c r="E22" i="44"/>
  <c r="E18" i="44"/>
  <c r="E14" i="44"/>
  <c r="E10" i="44"/>
  <c r="I51" i="44"/>
  <c r="I47" i="44"/>
  <c r="I42" i="44"/>
  <c r="I52" i="44"/>
  <c r="I48" i="44"/>
  <c r="I43" i="44"/>
  <c r="I39" i="44"/>
  <c r="I36" i="44"/>
  <c r="I37" i="44"/>
  <c r="I33" i="44"/>
  <c r="I29" i="44"/>
  <c r="I25" i="44"/>
  <c r="I21" i="44"/>
  <c r="I17" i="44"/>
  <c r="I13" i="44"/>
  <c r="I28" i="44"/>
  <c r="I20" i="44"/>
  <c r="I11" i="44"/>
  <c r="I26" i="44"/>
  <c r="I18" i="44"/>
  <c r="I12" i="44"/>
  <c r="I8" i="44"/>
  <c r="I7" i="44"/>
  <c r="I49" i="44"/>
  <c r="I45" i="44"/>
  <c r="I40" i="44"/>
  <c r="I50" i="44"/>
  <c r="I46" i="44"/>
  <c r="I41" i="44"/>
  <c r="I38" i="44"/>
  <c r="I34" i="44"/>
  <c r="I35" i="44"/>
  <c r="I31" i="44"/>
  <c r="I27" i="44"/>
  <c r="I23" i="44"/>
  <c r="I19" i="44"/>
  <c r="I15" i="44"/>
  <c r="I32" i="44"/>
  <c r="I24" i="44"/>
  <c r="I16" i="44"/>
  <c r="I30" i="44"/>
  <c r="I22" i="44"/>
  <c r="I14" i="44"/>
  <c r="I10" i="44"/>
  <c r="I9" i="44"/>
  <c r="M51" i="44"/>
  <c r="M47" i="44"/>
  <c r="M42" i="44"/>
  <c r="M52" i="44"/>
  <c r="M48" i="44"/>
  <c r="M43" i="44"/>
  <c r="M39" i="44"/>
  <c r="M36" i="44"/>
  <c r="M32" i="44"/>
  <c r="M35" i="44"/>
  <c r="M31" i="44"/>
  <c r="M27" i="44"/>
  <c r="M23" i="44"/>
  <c r="M19" i="44"/>
  <c r="M15" i="44"/>
  <c r="M28" i="44"/>
  <c r="M20" i="44"/>
  <c r="M11" i="44"/>
  <c r="M26" i="44"/>
  <c r="M18" i="44"/>
  <c r="M12" i="44"/>
  <c r="M8" i="44"/>
  <c r="M7" i="44"/>
  <c r="M49" i="44"/>
  <c r="M45" i="44"/>
  <c r="M40" i="44"/>
  <c r="M50" i="44"/>
  <c r="M46" i="44"/>
  <c r="M41" i="44"/>
  <c r="M38" i="44"/>
  <c r="M34" i="44"/>
  <c r="M37" i="44"/>
  <c r="M33" i="44"/>
  <c r="M29" i="44"/>
  <c r="M25" i="44"/>
  <c r="M21" i="44"/>
  <c r="M17" i="44"/>
  <c r="M13" i="44"/>
  <c r="M24" i="44"/>
  <c r="M16" i="44"/>
  <c r="M30" i="44"/>
  <c r="M22" i="44"/>
  <c r="M14" i="44"/>
  <c r="M10" i="44"/>
  <c r="M9" i="44"/>
  <c r="Q51" i="44"/>
  <c r="Q47" i="44"/>
  <c r="Q42" i="44"/>
  <c r="Q52" i="44"/>
  <c r="Q48" i="44"/>
  <c r="Q43" i="44"/>
  <c r="Q39" i="44"/>
  <c r="Q36" i="44"/>
  <c r="Q32" i="44"/>
  <c r="Q35" i="44"/>
  <c r="Q31" i="44"/>
  <c r="Q27" i="44"/>
  <c r="Q23" i="44"/>
  <c r="Q19" i="44"/>
  <c r="Q15" i="44"/>
  <c r="Q28" i="44"/>
  <c r="Q20" i="44"/>
  <c r="Q11" i="44"/>
  <c r="Q30" i="44"/>
  <c r="Q22" i="44"/>
  <c r="Q14" i="44"/>
  <c r="Q10" i="44"/>
  <c r="Q7" i="44"/>
  <c r="Q49" i="44"/>
  <c r="Q45" i="44"/>
  <c r="Q40" i="44"/>
  <c r="Q50" i="44"/>
  <c r="Q46" i="44"/>
  <c r="Q41" i="44"/>
  <c r="Q38" i="44"/>
  <c r="Q34" i="44"/>
  <c r="Q37" i="44"/>
  <c r="Q33" i="44"/>
  <c r="Q29" i="44"/>
  <c r="Q25" i="44"/>
  <c r="Q21" i="44"/>
  <c r="Q17" i="44"/>
  <c r="Q13" i="44"/>
  <c r="Q24" i="44"/>
  <c r="Q16" i="44"/>
  <c r="Q9" i="44"/>
  <c r="Q26" i="44"/>
  <c r="Q18" i="44"/>
  <c r="Q12" i="44"/>
  <c r="Q8" i="44"/>
  <c r="U51" i="44"/>
  <c r="U47" i="44"/>
  <c r="U42" i="44"/>
  <c r="U38" i="44"/>
  <c r="U50" i="44"/>
  <c r="U46" i="44"/>
  <c r="U41" i="44"/>
  <c r="U36" i="44"/>
  <c r="U32" i="44"/>
  <c r="U35" i="44"/>
  <c r="U31" i="44"/>
  <c r="U27" i="44"/>
  <c r="U23" i="44"/>
  <c r="U19" i="44"/>
  <c r="U15" i="44"/>
  <c r="U28" i="44"/>
  <c r="U20" i="44"/>
  <c r="U12" i="44"/>
  <c r="U9" i="44"/>
  <c r="U26" i="44"/>
  <c r="U18" i="44"/>
  <c r="U10" i="44"/>
  <c r="U7" i="44"/>
  <c r="U49" i="44"/>
  <c r="U45" i="44"/>
  <c r="U40" i="44"/>
  <c r="U52" i="44"/>
  <c r="U48" i="44"/>
  <c r="U43" i="44"/>
  <c r="U39" i="44"/>
  <c r="U34" i="44"/>
  <c r="U37" i="44"/>
  <c r="U33" i="44"/>
  <c r="U29" i="44"/>
  <c r="U25" i="44"/>
  <c r="U21" i="44"/>
  <c r="U17" i="44"/>
  <c r="U13" i="44"/>
  <c r="U24" i="44"/>
  <c r="U16" i="44"/>
  <c r="U11" i="44"/>
  <c r="U30" i="44"/>
  <c r="U22" i="44"/>
  <c r="U14" i="44"/>
  <c r="U8" i="44"/>
  <c r="F50" i="44"/>
  <c r="F46" i="44"/>
  <c r="F41" i="44"/>
  <c r="F37" i="44"/>
  <c r="F33" i="44"/>
  <c r="F28" i="44"/>
  <c r="F24" i="44"/>
  <c r="F20" i="44"/>
  <c r="F16" i="44"/>
  <c r="F12" i="44"/>
  <c r="F8" i="44"/>
  <c r="F49" i="44"/>
  <c r="F45" i="44"/>
  <c r="F40" i="44"/>
  <c r="F36" i="44"/>
  <c r="F32" i="44"/>
  <c r="F29" i="44"/>
  <c r="F25" i="44"/>
  <c r="F21" i="44"/>
  <c r="F17" i="44"/>
  <c r="F13" i="44"/>
  <c r="F9" i="44"/>
  <c r="F52" i="44"/>
  <c r="F48" i="44"/>
  <c r="F43" i="44"/>
  <c r="F39" i="44"/>
  <c r="F35" i="44"/>
  <c r="F31" i="44"/>
  <c r="F26" i="44"/>
  <c r="F22" i="44"/>
  <c r="F18" i="44"/>
  <c r="F14" i="44"/>
  <c r="F10" i="44"/>
  <c r="F51" i="44"/>
  <c r="F47" i="44"/>
  <c r="F42" i="44"/>
  <c r="F38" i="44"/>
  <c r="F34" i="44"/>
  <c r="F30" i="44"/>
  <c r="F27" i="44"/>
  <c r="F23" i="44"/>
  <c r="F19" i="44"/>
  <c r="F15" i="44"/>
  <c r="F11" i="44"/>
  <c r="F7" i="44"/>
  <c r="J50" i="44"/>
  <c r="J46" i="44"/>
  <c r="J41" i="44"/>
  <c r="J51" i="44"/>
  <c r="J47" i="44"/>
  <c r="J42" i="44"/>
  <c r="J37" i="44"/>
  <c r="J33" i="44"/>
  <c r="J36" i="44"/>
  <c r="J32" i="44"/>
  <c r="J28" i="44"/>
  <c r="J24" i="44"/>
  <c r="J20" i="44"/>
  <c r="J16" i="44"/>
  <c r="J31" i="44"/>
  <c r="J23" i="44"/>
  <c r="J15" i="44"/>
  <c r="J10" i="44"/>
  <c r="J25" i="44"/>
  <c r="J17" i="44"/>
  <c r="J11" i="44"/>
  <c r="J7" i="44"/>
  <c r="J52" i="44"/>
  <c r="J48" i="44"/>
  <c r="J43" i="44"/>
  <c r="J39" i="44"/>
  <c r="J49" i="44"/>
  <c r="J45" i="44"/>
  <c r="J40" i="44"/>
  <c r="J35" i="44"/>
  <c r="J38" i="44"/>
  <c r="J34" i="44"/>
  <c r="J30" i="44"/>
  <c r="J26" i="44"/>
  <c r="J22" i="44"/>
  <c r="J18" i="44"/>
  <c r="J14" i="44"/>
  <c r="J27" i="44"/>
  <c r="J19" i="44"/>
  <c r="J12" i="44"/>
  <c r="J29" i="44"/>
  <c r="J21" i="44"/>
  <c r="J13" i="44"/>
  <c r="J9" i="44"/>
  <c r="J8" i="44"/>
  <c r="N50" i="44"/>
  <c r="N46" i="44"/>
  <c r="N41" i="44"/>
  <c r="N51" i="44"/>
  <c r="N47" i="44"/>
  <c r="N42" i="44"/>
  <c r="N37" i="44"/>
  <c r="N33" i="44"/>
  <c r="N36" i="44"/>
  <c r="N32" i="44"/>
  <c r="N28" i="44"/>
  <c r="N24" i="44"/>
  <c r="N20" i="44"/>
  <c r="N16" i="44"/>
  <c r="N31" i="44"/>
  <c r="N23" i="44"/>
  <c r="N15" i="44"/>
  <c r="N10" i="44"/>
  <c r="N25" i="44"/>
  <c r="N17" i="44"/>
  <c r="N11" i="44"/>
  <c r="N7" i="44"/>
  <c r="N52" i="44"/>
  <c r="N48" i="44"/>
  <c r="N43" i="44"/>
  <c r="N39" i="44"/>
  <c r="N49" i="44"/>
  <c r="N45" i="44"/>
  <c r="N40" i="44"/>
  <c r="N35" i="44"/>
  <c r="N38" i="44"/>
  <c r="N34" i="44"/>
  <c r="N30" i="44"/>
  <c r="N26" i="44"/>
  <c r="N22" i="44"/>
  <c r="N18" i="44"/>
  <c r="N14" i="44"/>
  <c r="N27" i="44"/>
  <c r="N19" i="44"/>
  <c r="N12" i="44"/>
  <c r="N29" i="44"/>
  <c r="N21" i="44"/>
  <c r="N13" i="44"/>
  <c r="N9" i="44"/>
  <c r="N8" i="44"/>
  <c r="R50" i="44"/>
  <c r="R46" i="44"/>
  <c r="R41" i="44"/>
  <c r="R51" i="44"/>
  <c r="R47" i="44"/>
  <c r="R42" i="44"/>
  <c r="R37" i="44"/>
  <c r="R33" i="44"/>
  <c r="R36" i="44"/>
  <c r="R32" i="44"/>
  <c r="R28" i="44"/>
  <c r="R24" i="44"/>
  <c r="R20" i="44"/>
  <c r="R16" i="44"/>
  <c r="R31" i="44"/>
  <c r="R23" i="44"/>
  <c r="R15" i="44"/>
  <c r="R10" i="44"/>
  <c r="R25" i="44"/>
  <c r="R17" i="44"/>
  <c r="R11" i="44"/>
  <c r="R7" i="44"/>
  <c r="R52" i="44"/>
  <c r="R48" i="44"/>
  <c r="R43" i="44"/>
  <c r="R39" i="44"/>
  <c r="R49" i="44"/>
  <c r="R45" i="44"/>
  <c r="R40" i="44"/>
  <c r="R35" i="44"/>
  <c r="R38" i="44"/>
  <c r="R34" i="44"/>
  <c r="R30" i="44"/>
  <c r="R26" i="44"/>
  <c r="R22" i="44"/>
  <c r="R18" i="44"/>
  <c r="R14" i="44"/>
  <c r="R27" i="44"/>
  <c r="R19" i="44"/>
  <c r="R12" i="44"/>
  <c r="R29" i="44"/>
  <c r="R21" i="44"/>
  <c r="R13" i="44"/>
  <c r="R9" i="44"/>
  <c r="R8" i="44"/>
  <c r="T52" i="44"/>
  <c r="T48" i="44"/>
  <c r="T43" i="44"/>
  <c r="T39" i="44"/>
  <c r="T49" i="44"/>
  <c r="T45" i="44"/>
  <c r="T40" i="44"/>
  <c r="T35" i="44"/>
  <c r="T38" i="44"/>
  <c r="T34" i="44"/>
  <c r="T30" i="44"/>
  <c r="T26" i="44"/>
  <c r="T22" i="44"/>
  <c r="T18" i="44"/>
  <c r="T14" i="44"/>
  <c r="T29" i="44"/>
  <c r="T21" i="44"/>
  <c r="T13" i="44"/>
  <c r="T31" i="44"/>
  <c r="T23" i="44"/>
  <c r="T15" i="44"/>
  <c r="T9" i="44"/>
  <c r="T8" i="44"/>
  <c r="T50" i="44"/>
  <c r="T46" i="44"/>
  <c r="T41" i="44"/>
  <c r="T51" i="44"/>
  <c r="T47" i="44"/>
  <c r="T42" i="44"/>
  <c r="T37" i="44"/>
  <c r="T33" i="44"/>
  <c r="T36" i="44"/>
  <c r="T32" i="44"/>
  <c r="T28" i="44"/>
  <c r="T24" i="44"/>
  <c r="T20" i="44"/>
  <c r="T16" i="44"/>
  <c r="T12" i="44"/>
  <c r="T25" i="44"/>
  <c r="T17" i="44"/>
  <c r="T10" i="44"/>
  <c r="T27" i="44"/>
  <c r="T19" i="44"/>
  <c r="T11" i="44"/>
  <c r="T7" i="44"/>
  <c r="D47" i="43"/>
  <c r="D45" i="43"/>
  <c r="D43" i="43"/>
  <c r="D40" i="43"/>
  <c r="D38" i="43"/>
  <c r="D36" i="43"/>
  <c r="D34" i="43"/>
  <c r="D32" i="43"/>
  <c r="D30" i="43"/>
  <c r="D28" i="43"/>
  <c r="D27" i="43"/>
  <c r="D25" i="43"/>
  <c r="D23" i="43"/>
  <c r="D21" i="43"/>
  <c r="D19" i="43"/>
  <c r="D17" i="43"/>
  <c r="D15" i="43"/>
  <c r="D13" i="43"/>
  <c r="D11" i="43"/>
  <c r="D9" i="43"/>
  <c r="D7" i="43"/>
  <c r="D48" i="43"/>
  <c r="D46" i="43"/>
  <c r="D44" i="43"/>
  <c r="D41" i="43"/>
  <c r="D39" i="43"/>
  <c r="D37" i="43"/>
  <c r="D35" i="43"/>
  <c r="D33" i="43"/>
  <c r="D31" i="43"/>
  <c r="D29" i="43"/>
  <c r="D26" i="43"/>
  <c r="D24" i="43"/>
  <c r="D22" i="43"/>
  <c r="D20" i="43"/>
  <c r="D18" i="43"/>
  <c r="D16" i="43"/>
  <c r="D14" i="43"/>
  <c r="D12" i="43"/>
  <c r="D10" i="43"/>
  <c r="D8" i="43"/>
  <c r="V2" i="43"/>
  <c r="H47" i="43"/>
  <c r="H45" i="43"/>
  <c r="H43" i="43"/>
  <c r="H40" i="43"/>
  <c r="H38" i="43"/>
  <c r="H36" i="43"/>
  <c r="H34" i="43"/>
  <c r="H32" i="43"/>
  <c r="H30" i="43"/>
  <c r="H28" i="43"/>
  <c r="H27" i="43"/>
  <c r="H25" i="43"/>
  <c r="H23" i="43"/>
  <c r="H21" i="43"/>
  <c r="H19" i="43"/>
  <c r="H17" i="43"/>
  <c r="H15" i="43"/>
  <c r="H13" i="43"/>
  <c r="H11" i="43"/>
  <c r="H9" i="43"/>
  <c r="H7" i="43"/>
  <c r="H48" i="43"/>
  <c r="H46" i="43"/>
  <c r="H44" i="43"/>
  <c r="H41" i="43"/>
  <c r="H39" i="43"/>
  <c r="H37" i="43"/>
  <c r="H35" i="43"/>
  <c r="H33" i="43"/>
  <c r="H31" i="43"/>
  <c r="H29" i="43"/>
  <c r="H26" i="43"/>
  <c r="H24" i="43"/>
  <c r="H22" i="43"/>
  <c r="H20" i="43"/>
  <c r="H18" i="43"/>
  <c r="H16" i="43"/>
  <c r="H14" i="43"/>
  <c r="H12" i="43"/>
  <c r="H10" i="43"/>
  <c r="H8" i="43"/>
  <c r="L47" i="43"/>
  <c r="L45" i="43"/>
  <c r="L43" i="43"/>
  <c r="L40" i="43"/>
  <c r="L38" i="43"/>
  <c r="L48" i="43"/>
  <c r="L46" i="43"/>
  <c r="L44" i="43"/>
  <c r="L41" i="43"/>
  <c r="L39" i="43"/>
  <c r="L36" i="43"/>
  <c r="L34" i="43"/>
  <c r="L32" i="43"/>
  <c r="L30" i="43"/>
  <c r="L28" i="43"/>
  <c r="L26" i="43"/>
  <c r="L24" i="43"/>
  <c r="L22" i="43"/>
  <c r="L20" i="43"/>
  <c r="L18" i="43"/>
  <c r="L16" i="43"/>
  <c r="L14" i="43"/>
  <c r="L12" i="43"/>
  <c r="L37" i="43"/>
  <c r="L35" i="43"/>
  <c r="L33" i="43"/>
  <c r="L31" i="43"/>
  <c r="L29" i="43"/>
  <c r="L27" i="43"/>
  <c r="L25" i="43"/>
  <c r="L23" i="43"/>
  <c r="L21" i="43"/>
  <c r="L19" i="43"/>
  <c r="L17" i="43"/>
  <c r="L15" i="43"/>
  <c r="L13" i="43"/>
  <c r="L10" i="43"/>
  <c r="L8" i="43"/>
  <c r="L11" i="43"/>
  <c r="L9" i="43"/>
  <c r="L7" i="43"/>
  <c r="P47" i="43"/>
  <c r="P45" i="43"/>
  <c r="P43" i="43"/>
  <c r="P40" i="43"/>
  <c r="P38" i="43"/>
  <c r="P48" i="43"/>
  <c r="P46" i="43"/>
  <c r="P44" i="43"/>
  <c r="P41" i="43"/>
  <c r="P39" i="43"/>
  <c r="P36" i="43"/>
  <c r="P34" i="43"/>
  <c r="P32" i="43"/>
  <c r="P30" i="43"/>
  <c r="P28" i="43"/>
  <c r="P26" i="43"/>
  <c r="P24" i="43"/>
  <c r="P22" i="43"/>
  <c r="P20" i="43"/>
  <c r="P18" i="43"/>
  <c r="P16" i="43"/>
  <c r="P14" i="43"/>
  <c r="P12" i="43"/>
  <c r="P37" i="43"/>
  <c r="P35" i="43"/>
  <c r="P33" i="43"/>
  <c r="P31" i="43"/>
  <c r="P29" i="43"/>
  <c r="P27" i="43"/>
  <c r="P25" i="43"/>
  <c r="P23" i="43"/>
  <c r="P21" i="43"/>
  <c r="P19" i="43"/>
  <c r="P17" i="43"/>
  <c r="P15" i="43"/>
  <c r="P13" i="43"/>
  <c r="P11" i="43"/>
  <c r="P10" i="43"/>
  <c r="P8" i="43"/>
  <c r="P9" i="43"/>
  <c r="P7" i="43"/>
  <c r="E48" i="43"/>
  <c r="E46" i="43"/>
  <c r="E44" i="43"/>
  <c r="E41" i="43"/>
  <c r="E39" i="43"/>
  <c r="E37" i="43"/>
  <c r="E35" i="43"/>
  <c r="E33" i="43"/>
  <c r="E31" i="43"/>
  <c r="E29" i="43"/>
  <c r="E26" i="43"/>
  <c r="E24" i="43"/>
  <c r="E22" i="43"/>
  <c r="E20" i="43"/>
  <c r="E18" i="43"/>
  <c r="E16" i="43"/>
  <c r="E14" i="43"/>
  <c r="E12" i="43"/>
  <c r="E10" i="43"/>
  <c r="E8" i="43"/>
  <c r="E47" i="43"/>
  <c r="E45" i="43"/>
  <c r="E43" i="43"/>
  <c r="E40" i="43"/>
  <c r="E38" i="43"/>
  <c r="E36" i="43"/>
  <c r="E34" i="43"/>
  <c r="E32" i="43"/>
  <c r="E30" i="43"/>
  <c r="E28" i="43"/>
  <c r="E27" i="43"/>
  <c r="E25" i="43"/>
  <c r="E23" i="43"/>
  <c r="E21" i="43"/>
  <c r="E19" i="43"/>
  <c r="E17" i="43"/>
  <c r="E15" i="43"/>
  <c r="E13" i="43"/>
  <c r="E11" i="43"/>
  <c r="E9" i="43"/>
  <c r="E7" i="43"/>
  <c r="I48" i="43"/>
  <c r="I46" i="43"/>
  <c r="I44" i="43"/>
  <c r="I41" i="43"/>
  <c r="I39" i="43"/>
  <c r="I47" i="43"/>
  <c r="I45" i="43"/>
  <c r="I43" i="43"/>
  <c r="I40" i="43"/>
  <c r="I38" i="43"/>
  <c r="I37" i="43"/>
  <c r="I35" i="43"/>
  <c r="I33" i="43"/>
  <c r="I31" i="43"/>
  <c r="I29" i="43"/>
  <c r="I27" i="43"/>
  <c r="I25" i="43"/>
  <c r="I23" i="43"/>
  <c r="I21" i="43"/>
  <c r="I19" i="43"/>
  <c r="I17" i="43"/>
  <c r="I15" i="43"/>
  <c r="I13" i="43"/>
  <c r="I36" i="43"/>
  <c r="I34" i="43"/>
  <c r="I32" i="43"/>
  <c r="I30" i="43"/>
  <c r="I28" i="43"/>
  <c r="I26" i="43"/>
  <c r="I24" i="43"/>
  <c r="I22" i="43"/>
  <c r="I20" i="43"/>
  <c r="I18" i="43"/>
  <c r="I16" i="43"/>
  <c r="I14" i="43"/>
  <c r="I12" i="43"/>
  <c r="I11" i="43"/>
  <c r="I9" i="43"/>
  <c r="I7" i="43"/>
  <c r="I10" i="43"/>
  <c r="I8" i="43"/>
  <c r="M48" i="43"/>
  <c r="M46" i="43"/>
  <c r="M44" i="43"/>
  <c r="M41" i="43"/>
  <c r="M39" i="43"/>
  <c r="M47" i="43"/>
  <c r="M45" i="43"/>
  <c r="M43" i="43"/>
  <c r="M40" i="43"/>
  <c r="M38" i="43"/>
  <c r="M37" i="43"/>
  <c r="M35" i="43"/>
  <c r="M33" i="43"/>
  <c r="M31" i="43"/>
  <c r="M29" i="43"/>
  <c r="M27" i="43"/>
  <c r="M25" i="43"/>
  <c r="M23" i="43"/>
  <c r="M21" i="43"/>
  <c r="M19" i="43"/>
  <c r="M17" i="43"/>
  <c r="M15" i="43"/>
  <c r="M13" i="43"/>
  <c r="M36" i="43"/>
  <c r="M34" i="43"/>
  <c r="M32" i="43"/>
  <c r="M30" i="43"/>
  <c r="M28" i="43"/>
  <c r="M26" i="43"/>
  <c r="M24" i="43"/>
  <c r="M22" i="43"/>
  <c r="M20" i="43"/>
  <c r="M18" i="43"/>
  <c r="M16" i="43"/>
  <c r="M14" i="43"/>
  <c r="M12" i="43"/>
  <c r="M11" i="43"/>
  <c r="M9" i="43"/>
  <c r="M7" i="43"/>
  <c r="M10" i="43"/>
  <c r="M8" i="43"/>
  <c r="Q48" i="43"/>
  <c r="Q46" i="43"/>
  <c r="Q44" i="43"/>
  <c r="Q41" i="43"/>
  <c r="Q39" i="43"/>
  <c r="Q47" i="43"/>
  <c r="Q45" i="43"/>
  <c r="Q43" i="43"/>
  <c r="Q40" i="43"/>
  <c r="Q38" i="43"/>
  <c r="Q37" i="43"/>
  <c r="Q35" i="43"/>
  <c r="Q33" i="43"/>
  <c r="Q31" i="43"/>
  <c r="Q29" i="43"/>
  <c r="Q27" i="43"/>
  <c r="Q25" i="43"/>
  <c r="Q23" i="43"/>
  <c r="Q21" i="43"/>
  <c r="Q19" i="43"/>
  <c r="Q17" i="43"/>
  <c r="Q15" i="43"/>
  <c r="Q13" i="43"/>
  <c r="Q11" i="43"/>
  <c r="Q36" i="43"/>
  <c r="Q34" i="43"/>
  <c r="Q32" i="43"/>
  <c r="Q30" i="43"/>
  <c r="Q28" i="43"/>
  <c r="Q26" i="43"/>
  <c r="Q24" i="43"/>
  <c r="Q22" i="43"/>
  <c r="Q20" i="43"/>
  <c r="Q18" i="43"/>
  <c r="Q16" i="43"/>
  <c r="Q14" i="43"/>
  <c r="Q12" i="43"/>
  <c r="Q9" i="43"/>
  <c r="Q7" i="43"/>
  <c r="Q10" i="43"/>
  <c r="Q8" i="43"/>
  <c r="U48" i="43"/>
  <c r="U46" i="43"/>
  <c r="U44" i="43"/>
  <c r="U41" i="43"/>
  <c r="U39" i="43"/>
  <c r="U37" i="43"/>
  <c r="U47" i="43"/>
  <c r="U45" i="43"/>
  <c r="U43" i="43"/>
  <c r="U40" i="43"/>
  <c r="U38" i="43"/>
  <c r="U35" i="43"/>
  <c r="U33" i="43"/>
  <c r="U31" i="43"/>
  <c r="U29" i="43"/>
  <c r="U27" i="43"/>
  <c r="U25" i="43"/>
  <c r="U23" i="43"/>
  <c r="U21" i="43"/>
  <c r="U19" i="43"/>
  <c r="U17" i="43"/>
  <c r="U15" i="43"/>
  <c r="U13" i="43"/>
  <c r="U11" i="43"/>
  <c r="U36" i="43"/>
  <c r="U34" i="43"/>
  <c r="U32" i="43"/>
  <c r="U30" i="43"/>
  <c r="U28" i="43"/>
  <c r="U26" i="43"/>
  <c r="U24" i="43"/>
  <c r="U22" i="43"/>
  <c r="U20" i="43"/>
  <c r="U18" i="43"/>
  <c r="U16" i="43"/>
  <c r="U14" i="43"/>
  <c r="U12" i="43"/>
  <c r="U9" i="43"/>
  <c r="U7" i="43"/>
  <c r="U10" i="43"/>
  <c r="U8" i="43"/>
  <c r="G49" i="44"/>
  <c r="G45" i="44"/>
  <c r="G40" i="44"/>
  <c r="G36" i="44"/>
  <c r="G32" i="44"/>
  <c r="G29" i="44"/>
  <c r="G25" i="44"/>
  <c r="G21" i="44"/>
  <c r="G17" i="44"/>
  <c r="G13" i="44"/>
  <c r="G9" i="44"/>
  <c r="G52" i="44"/>
  <c r="G48" i="44"/>
  <c r="G43" i="44"/>
  <c r="G39" i="44"/>
  <c r="G35" i="44"/>
  <c r="G31" i="44"/>
  <c r="G26" i="44"/>
  <c r="G22" i="44"/>
  <c r="G18" i="44"/>
  <c r="G14" i="44"/>
  <c r="G10" i="44"/>
  <c r="G51" i="44"/>
  <c r="G47" i="44"/>
  <c r="G42" i="44"/>
  <c r="G38" i="44"/>
  <c r="G34" i="44"/>
  <c r="G30" i="44"/>
  <c r="G27" i="44"/>
  <c r="G23" i="44"/>
  <c r="G19" i="44"/>
  <c r="G15" i="44"/>
  <c r="G11" i="44"/>
  <c r="G7" i="44"/>
  <c r="G50" i="44"/>
  <c r="G46" i="44"/>
  <c r="G41" i="44"/>
  <c r="G37" i="44"/>
  <c r="G33" i="44"/>
  <c r="G28" i="44"/>
  <c r="G24" i="44"/>
  <c r="G20" i="44"/>
  <c r="G16" i="44"/>
  <c r="G12" i="44"/>
  <c r="G8" i="44"/>
  <c r="K49" i="44"/>
  <c r="K45" i="44"/>
  <c r="K40" i="44"/>
  <c r="K50" i="44"/>
  <c r="K46" i="44"/>
  <c r="K41" i="44"/>
  <c r="K38" i="44"/>
  <c r="K34" i="44"/>
  <c r="K35" i="44"/>
  <c r="K31" i="44"/>
  <c r="K27" i="44"/>
  <c r="K23" i="44"/>
  <c r="K19" i="44"/>
  <c r="K15" i="44"/>
  <c r="K30" i="44"/>
  <c r="K22" i="44"/>
  <c r="K14" i="44"/>
  <c r="K32" i="44"/>
  <c r="K24" i="44"/>
  <c r="K16" i="44"/>
  <c r="K10" i="44"/>
  <c r="K9" i="44"/>
  <c r="K51" i="44"/>
  <c r="K47" i="44"/>
  <c r="K42" i="44"/>
  <c r="K52" i="44"/>
  <c r="K48" i="44"/>
  <c r="K43" i="44"/>
  <c r="K39" i="44"/>
  <c r="K36" i="44"/>
  <c r="K37" i="44"/>
  <c r="K33" i="44"/>
  <c r="K29" i="44"/>
  <c r="K25" i="44"/>
  <c r="K21" i="44"/>
  <c r="K17" i="44"/>
  <c r="K13" i="44"/>
  <c r="K26" i="44"/>
  <c r="K18" i="44"/>
  <c r="K11" i="44"/>
  <c r="K28" i="44"/>
  <c r="K20" i="44"/>
  <c r="K12" i="44"/>
  <c r="K8" i="44"/>
  <c r="K7" i="44"/>
  <c r="O49" i="44"/>
  <c r="O45" i="44"/>
  <c r="O40" i="44"/>
  <c r="O50" i="44"/>
  <c r="O46" i="44"/>
  <c r="O41" i="44"/>
  <c r="O38" i="44"/>
  <c r="O34" i="44"/>
  <c r="O37" i="44"/>
  <c r="O33" i="44"/>
  <c r="O29" i="44"/>
  <c r="O25" i="44"/>
  <c r="O21" i="44"/>
  <c r="O17" i="44"/>
  <c r="O13" i="44"/>
  <c r="O26" i="44"/>
  <c r="O18" i="44"/>
  <c r="O11" i="44"/>
  <c r="O51" i="44"/>
  <c r="O47" i="44"/>
  <c r="O42" i="44"/>
  <c r="O52" i="44"/>
  <c r="O48" i="44"/>
  <c r="O43" i="44"/>
  <c r="O39" i="44"/>
  <c r="O36" i="44"/>
  <c r="O32" i="44"/>
  <c r="O35" i="44"/>
  <c r="O31" i="44"/>
  <c r="O27" i="44"/>
  <c r="O23" i="44"/>
  <c r="O19" i="44"/>
  <c r="O15" i="44"/>
  <c r="O30" i="44"/>
  <c r="O22" i="44"/>
  <c r="O14" i="44"/>
  <c r="O9" i="44"/>
  <c r="O28" i="44"/>
  <c r="O20" i="44"/>
  <c r="O12" i="44"/>
  <c r="O8" i="44"/>
  <c r="O24" i="44"/>
  <c r="O16" i="44"/>
  <c r="O10" i="44"/>
  <c r="O7" i="44"/>
  <c r="S49" i="44"/>
  <c r="S45" i="44"/>
  <c r="S40" i="44"/>
  <c r="S50" i="44"/>
  <c r="S46" i="44"/>
  <c r="S41" i="44"/>
  <c r="S38" i="44"/>
  <c r="S34" i="44"/>
  <c r="S37" i="44"/>
  <c r="S33" i="44"/>
  <c r="S29" i="44"/>
  <c r="S25" i="44"/>
  <c r="S21" i="44"/>
  <c r="S17" i="44"/>
  <c r="S13" i="44"/>
  <c r="S26" i="44"/>
  <c r="S18" i="44"/>
  <c r="S11" i="44"/>
  <c r="S28" i="44"/>
  <c r="S20" i="44"/>
  <c r="S12" i="44"/>
  <c r="S8" i="44"/>
  <c r="S51" i="44"/>
  <c r="S47" i="44"/>
  <c r="S42" i="44"/>
  <c r="S52" i="44"/>
  <c r="S48" i="44"/>
  <c r="S43" i="44"/>
  <c r="S39" i="44"/>
  <c r="S36" i="44"/>
  <c r="S32" i="44"/>
  <c r="S35" i="44"/>
  <c r="S31" i="44"/>
  <c r="S27" i="44"/>
  <c r="S23" i="44"/>
  <c r="S19" i="44"/>
  <c r="S15" i="44"/>
  <c r="S30" i="44"/>
  <c r="S22" i="44"/>
  <c r="S14" i="44"/>
  <c r="S9" i="44"/>
  <c r="S24" i="44"/>
  <c r="S16" i="44"/>
  <c r="S10" i="44"/>
  <c r="S7" i="44"/>
  <c r="D52" i="44"/>
  <c r="D48" i="44"/>
  <c r="D43" i="44"/>
  <c r="D39" i="44"/>
  <c r="D35" i="44"/>
  <c r="D31" i="44"/>
  <c r="D26" i="44"/>
  <c r="D22" i="44"/>
  <c r="D18" i="44"/>
  <c r="D14" i="44"/>
  <c r="D10" i="44"/>
  <c r="D51" i="44"/>
  <c r="D47" i="44"/>
  <c r="D42" i="44"/>
  <c r="D38" i="44"/>
  <c r="D34" i="44"/>
  <c r="D30" i="44"/>
  <c r="D27" i="44"/>
  <c r="D23" i="44"/>
  <c r="D19" i="44"/>
  <c r="D15" i="44"/>
  <c r="D11" i="44"/>
  <c r="D7" i="44"/>
  <c r="D50" i="44"/>
  <c r="D46" i="44"/>
  <c r="D41" i="44"/>
  <c r="D37" i="44"/>
  <c r="D33" i="44"/>
  <c r="D28" i="44"/>
  <c r="D24" i="44"/>
  <c r="D20" i="44"/>
  <c r="D16" i="44"/>
  <c r="D12" i="44"/>
  <c r="D8" i="44"/>
  <c r="D49" i="44"/>
  <c r="D45" i="44"/>
  <c r="D40" i="44"/>
  <c r="D36" i="44"/>
  <c r="D32" i="44"/>
  <c r="D29" i="44"/>
  <c r="D25" i="44"/>
  <c r="D21" i="44"/>
  <c r="D17" i="44"/>
  <c r="D13" i="44"/>
  <c r="D9" i="44"/>
  <c r="V2" i="44"/>
  <c r="H52" i="44"/>
  <c r="H48" i="44"/>
  <c r="H43" i="44"/>
  <c r="H39" i="44"/>
  <c r="H35" i="44"/>
  <c r="H31" i="44"/>
  <c r="H26" i="44"/>
  <c r="H22" i="44"/>
  <c r="H18" i="44"/>
  <c r="H14" i="44"/>
  <c r="H10" i="44"/>
  <c r="H51" i="44"/>
  <c r="H47" i="44"/>
  <c r="H42" i="44"/>
  <c r="H38" i="44"/>
  <c r="H34" i="44"/>
  <c r="H30" i="44"/>
  <c r="H27" i="44"/>
  <c r="H23" i="44"/>
  <c r="H19" i="44"/>
  <c r="H15" i="44"/>
  <c r="H11" i="44"/>
  <c r="H7" i="44"/>
  <c r="H50" i="44"/>
  <c r="H46" i="44"/>
  <c r="H41" i="44"/>
  <c r="H37" i="44"/>
  <c r="H33" i="44"/>
  <c r="H28" i="44"/>
  <c r="H24" i="44"/>
  <c r="H20" i="44"/>
  <c r="H16" i="44"/>
  <c r="H12" i="44"/>
  <c r="H8" i="44"/>
  <c r="H49" i="44"/>
  <c r="H45" i="44"/>
  <c r="H40" i="44"/>
  <c r="H36" i="44"/>
  <c r="H32" i="44"/>
  <c r="H29" i="44"/>
  <c r="H25" i="44"/>
  <c r="H21" i="44"/>
  <c r="H17" i="44"/>
  <c r="H13" i="44"/>
  <c r="H9" i="44"/>
  <c r="L52" i="44"/>
  <c r="L48" i="44"/>
  <c r="L43" i="44"/>
  <c r="L39" i="44"/>
  <c r="L49" i="44"/>
  <c r="L45" i="44"/>
  <c r="L40" i="44"/>
  <c r="L35" i="44"/>
  <c r="L38" i="44"/>
  <c r="L34" i="44"/>
  <c r="L30" i="44"/>
  <c r="L26" i="44"/>
  <c r="L22" i="44"/>
  <c r="L18" i="44"/>
  <c r="L14" i="44"/>
  <c r="L25" i="44"/>
  <c r="L17" i="44"/>
  <c r="L12" i="44"/>
  <c r="L31" i="44"/>
  <c r="L23" i="44"/>
  <c r="L15" i="44"/>
  <c r="L9" i="44"/>
  <c r="L8" i="44"/>
  <c r="L50" i="44"/>
  <c r="L46" i="44"/>
  <c r="L41" i="44"/>
  <c r="L51" i="44"/>
  <c r="L47" i="44"/>
  <c r="L42" i="44"/>
  <c r="L37" i="44"/>
  <c r="L33" i="44"/>
  <c r="L36" i="44"/>
  <c r="L32" i="44"/>
  <c r="L28" i="44"/>
  <c r="L24" i="44"/>
  <c r="L20" i="44"/>
  <c r="L16" i="44"/>
  <c r="L29" i="44"/>
  <c r="L21" i="44"/>
  <c r="L13" i="44"/>
  <c r="L10" i="44"/>
  <c r="L27" i="44"/>
  <c r="L19" i="44"/>
  <c r="L11" i="44"/>
  <c r="L7" i="44"/>
  <c r="P52" i="44"/>
  <c r="P48" i="44"/>
  <c r="P43" i="44"/>
  <c r="P39" i="44"/>
  <c r="P49" i="44"/>
  <c r="P45" i="44"/>
  <c r="P40" i="44"/>
  <c r="P35" i="44"/>
  <c r="P38" i="44"/>
  <c r="P34" i="44"/>
  <c r="P30" i="44"/>
  <c r="P26" i="44"/>
  <c r="P22" i="44"/>
  <c r="P18" i="44"/>
  <c r="P14" i="44"/>
  <c r="P25" i="44"/>
  <c r="P17" i="44"/>
  <c r="P12" i="44"/>
  <c r="P31" i="44"/>
  <c r="P23" i="44"/>
  <c r="P15" i="44"/>
  <c r="P9" i="44"/>
  <c r="P8" i="44"/>
  <c r="P50" i="44"/>
  <c r="P46" i="44"/>
  <c r="P41" i="44"/>
  <c r="P51" i="44"/>
  <c r="P47" i="44"/>
  <c r="P42" i="44"/>
  <c r="P37" i="44"/>
  <c r="P33" i="44"/>
  <c r="P36" i="44"/>
  <c r="P32" i="44"/>
  <c r="P28" i="44"/>
  <c r="P24" i="44"/>
  <c r="P20" i="44"/>
  <c r="P16" i="44"/>
  <c r="P29" i="44"/>
  <c r="P21" i="44"/>
  <c r="P13" i="44"/>
  <c r="P10" i="44"/>
  <c r="P27" i="44"/>
  <c r="P19" i="44"/>
  <c r="P11" i="44"/>
  <c r="P7" i="44"/>
  <c r="T40" i="45"/>
  <c r="T38" i="45"/>
  <c r="T36" i="45"/>
  <c r="T41" i="45"/>
  <c r="T39" i="45"/>
  <c r="T37" i="45"/>
  <c r="T34" i="45"/>
  <c r="T32" i="45"/>
  <c r="T30" i="45"/>
  <c r="T28" i="45"/>
  <c r="T26" i="45"/>
  <c r="T24" i="45"/>
  <c r="T22" i="45"/>
  <c r="T20" i="45"/>
  <c r="T18" i="45"/>
  <c r="T16" i="45"/>
  <c r="T14" i="45"/>
  <c r="T12" i="45"/>
  <c r="T10" i="45"/>
  <c r="T8" i="45"/>
  <c r="T35" i="45"/>
  <c r="T33" i="45"/>
  <c r="T31" i="45"/>
  <c r="T29" i="45"/>
  <c r="T27" i="45"/>
  <c r="T25" i="45"/>
  <c r="T23" i="45"/>
  <c r="T21" i="45"/>
  <c r="T19" i="45"/>
  <c r="T17" i="45"/>
  <c r="T15" i="45"/>
  <c r="T13" i="45"/>
  <c r="T11" i="45"/>
  <c r="T9" i="45"/>
  <c r="T7" i="45"/>
  <c r="F40" i="45"/>
  <c r="F38" i="45"/>
  <c r="F36" i="45"/>
  <c r="F34" i="45"/>
  <c r="F32" i="45"/>
  <c r="F30" i="45"/>
  <c r="F28" i="45"/>
  <c r="F27" i="45"/>
  <c r="F25" i="45"/>
  <c r="F23" i="45"/>
  <c r="F21" i="45"/>
  <c r="F19" i="45"/>
  <c r="F17" i="45"/>
  <c r="F15" i="45"/>
  <c r="F13" i="45"/>
  <c r="F11" i="45"/>
  <c r="F9" i="45"/>
  <c r="F7" i="45"/>
  <c r="F41" i="45"/>
  <c r="F39" i="45"/>
  <c r="F37" i="45"/>
  <c r="F35" i="45"/>
  <c r="F33" i="45"/>
  <c r="F31" i="45"/>
  <c r="F29" i="45"/>
  <c r="F26" i="45"/>
  <c r="F24" i="45"/>
  <c r="F22" i="45"/>
  <c r="F20" i="45"/>
  <c r="F18" i="45"/>
  <c r="F16" i="45"/>
  <c r="F14" i="45"/>
  <c r="F12" i="45"/>
  <c r="F10" i="45"/>
  <c r="F8" i="45"/>
  <c r="J40" i="45"/>
  <c r="J38" i="45"/>
  <c r="J41" i="45"/>
  <c r="J39" i="45"/>
  <c r="J37" i="45"/>
  <c r="J34" i="45"/>
  <c r="J32" i="45"/>
  <c r="J30" i="45"/>
  <c r="J28" i="45"/>
  <c r="J26" i="45"/>
  <c r="J24" i="45"/>
  <c r="J22" i="45"/>
  <c r="J20" i="45"/>
  <c r="J18" i="45"/>
  <c r="J16" i="45"/>
  <c r="J14" i="45"/>
  <c r="J12" i="45"/>
  <c r="J10" i="45"/>
  <c r="J8" i="45"/>
  <c r="J36" i="45"/>
  <c r="J35" i="45"/>
  <c r="J33" i="45"/>
  <c r="J31" i="45"/>
  <c r="J29" i="45"/>
  <c r="J27" i="45"/>
  <c r="J25" i="45"/>
  <c r="J23" i="45"/>
  <c r="J21" i="45"/>
  <c r="J19" i="45"/>
  <c r="J17" i="45"/>
  <c r="J15" i="45"/>
  <c r="J13" i="45"/>
  <c r="J11" i="45"/>
  <c r="J9" i="45"/>
  <c r="J7" i="45"/>
  <c r="N40" i="45"/>
  <c r="N38" i="45"/>
  <c r="N36" i="45"/>
  <c r="N41" i="45"/>
  <c r="N39" i="45"/>
  <c r="N37" i="45"/>
  <c r="N34" i="45"/>
  <c r="N32" i="45"/>
  <c r="N30" i="45"/>
  <c r="N28" i="45"/>
  <c r="N26" i="45"/>
  <c r="N24" i="45"/>
  <c r="N22" i="45"/>
  <c r="N20" i="45"/>
  <c r="N18" i="45"/>
  <c r="N16" i="45"/>
  <c r="N14" i="45"/>
  <c r="N12" i="45"/>
  <c r="N10" i="45"/>
  <c r="N8" i="45"/>
  <c r="N35" i="45"/>
  <c r="N33" i="45"/>
  <c r="N31" i="45"/>
  <c r="N29" i="45"/>
  <c r="N27" i="45"/>
  <c r="N25" i="45"/>
  <c r="N23" i="45"/>
  <c r="N21" i="45"/>
  <c r="N19" i="45"/>
  <c r="N17" i="45"/>
  <c r="N15" i="45"/>
  <c r="N13" i="45"/>
  <c r="N11" i="45"/>
  <c r="N9" i="45"/>
  <c r="N7" i="45"/>
  <c r="R40" i="45"/>
  <c r="R38" i="45"/>
  <c r="R36" i="45"/>
  <c r="R41" i="45"/>
  <c r="R39" i="45"/>
  <c r="R37" i="45"/>
  <c r="R34" i="45"/>
  <c r="R32" i="45"/>
  <c r="R30" i="45"/>
  <c r="R28" i="45"/>
  <c r="R26" i="45"/>
  <c r="R24" i="45"/>
  <c r="R22" i="45"/>
  <c r="R20" i="45"/>
  <c r="R18" i="45"/>
  <c r="R16" i="45"/>
  <c r="R14" i="45"/>
  <c r="R12" i="45"/>
  <c r="R10" i="45"/>
  <c r="R8" i="45"/>
  <c r="R35" i="45"/>
  <c r="R33" i="45"/>
  <c r="R31" i="45"/>
  <c r="R29" i="45"/>
  <c r="R27" i="45"/>
  <c r="R25" i="45"/>
  <c r="R23" i="45"/>
  <c r="R21" i="45"/>
  <c r="R19" i="45"/>
  <c r="R17" i="45"/>
  <c r="R15" i="45"/>
  <c r="R13" i="45"/>
  <c r="R11" i="45"/>
  <c r="R9" i="45"/>
  <c r="R7" i="45"/>
  <c r="G41" i="45"/>
  <c r="G39" i="45"/>
  <c r="G37" i="45"/>
  <c r="G35" i="45"/>
  <c r="G33" i="45"/>
  <c r="G31" i="45"/>
  <c r="G29" i="45"/>
  <c r="G26" i="45"/>
  <c r="G24" i="45"/>
  <c r="G22" i="45"/>
  <c r="G20" i="45"/>
  <c r="G18" i="45"/>
  <c r="G16" i="45"/>
  <c r="G14" i="45"/>
  <c r="G12" i="45"/>
  <c r="G10" i="45"/>
  <c r="G8" i="45"/>
  <c r="G40" i="45"/>
  <c r="G38" i="45"/>
  <c r="G36" i="45"/>
  <c r="G34" i="45"/>
  <c r="G32" i="45"/>
  <c r="G30" i="45"/>
  <c r="G28" i="45"/>
  <c r="G27" i="45"/>
  <c r="G25" i="45"/>
  <c r="G23" i="45"/>
  <c r="G21" i="45"/>
  <c r="G19" i="45"/>
  <c r="G17" i="45"/>
  <c r="G15" i="45"/>
  <c r="G13" i="45"/>
  <c r="G11" i="45"/>
  <c r="G9" i="45"/>
  <c r="G7" i="45"/>
  <c r="K41" i="45"/>
  <c r="K39" i="45"/>
  <c r="K37" i="45"/>
  <c r="K40" i="45"/>
  <c r="K38" i="45"/>
  <c r="K36" i="45"/>
  <c r="K35" i="45"/>
  <c r="K33" i="45"/>
  <c r="K31" i="45"/>
  <c r="K29" i="45"/>
  <c r="K27" i="45"/>
  <c r="K25" i="45"/>
  <c r="K23" i="45"/>
  <c r="K21" i="45"/>
  <c r="K19" i="45"/>
  <c r="K17" i="45"/>
  <c r="K15" i="45"/>
  <c r="K13" i="45"/>
  <c r="K11" i="45"/>
  <c r="K9" i="45"/>
  <c r="K7" i="45"/>
  <c r="K34" i="45"/>
  <c r="K32" i="45"/>
  <c r="K30" i="45"/>
  <c r="K28" i="45"/>
  <c r="K26" i="45"/>
  <c r="K24" i="45"/>
  <c r="K22" i="45"/>
  <c r="K20" i="45"/>
  <c r="K18" i="45"/>
  <c r="K16" i="45"/>
  <c r="K14" i="45"/>
  <c r="K12" i="45"/>
  <c r="K10" i="45"/>
  <c r="K8" i="45"/>
  <c r="O41" i="45"/>
  <c r="O39" i="45"/>
  <c r="O37" i="45"/>
  <c r="O40" i="45"/>
  <c r="O38" i="45"/>
  <c r="O36" i="45"/>
  <c r="O35" i="45"/>
  <c r="O33" i="45"/>
  <c r="O31" i="45"/>
  <c r="O29" i="45"/>
  <c r="O27" i="45"/>
  <c r="O25" i="45"/>
  <c r="O23" i="45"/>
  <c r="O21" i="45"/>
  <c r="O19" i="45"/>
  <c r="O17" i="45"/>
  <c r="O15" i="45"/>
  <c r="O13" i="45"/>
  <c r="O11" i="45"/>
  <c r="O9" i="45"/>
  <c r="O7" i="45"/>
  <c r="O34" i="45"/>
  <c r="O32" i="45"/>
  <c r="O30" i="45"/>
  <c r="O28" i="45"/>
  <c r="O26" i="45"/>
  <c r="O24" i="45"/>
  <c r="O22" i="45"/>
  <c r="O20" i="45"/>
  <c r="O18" i="45"/>
  <c r="O16" i="45"/>
  <c r="O14" i="45"/>
  <c r="O12" i="45"/>
  <c r="O10" i="45"/>
  <c r="O8" i="45"/>
  <c r="S41" i="45"/>
  <c r="S39" i="45"/>
  <c r="S37" i="45"/>
  <c r="S40" i="45"/>
  <c r="S38" i="45"/>
  <c r="S36" i="45"/>
  <c r="S35" i="45"/>
  <c r="S33" i="45"/>
  <c r="S31" i="45"/>
  <c r="S29" i="45"/>
  <c r="S27" i="45"/>
  <c r="S25" i="45"/>
  <c r="S23" i="45"/>
  <c r="S21" i="45"/>
  <c r="S19" i="45"/>
  <c r="S17" i="45"/>
  <c r="S15" i="45"/>
  <c r="S13" i="45"/>
  <c r="S11" i="45"/>
  <c r="S9" i="45"/>
  <c r="S7" i="45"/>
  <c r="S34" i="45"/>
  <c r="S32" i="45"/>
  <c r="S30" i="45"/>
  <c r="S28" i="45"/>
  <c r="S26" i="45"/>
  <c r="S24" i="45"/>
  <c r="S22" i="45"/>
  <c r="S20" i="45"/>
  <c r="S18" i="45"/>
  <c r="S16" i="45"/>
  <c r="S14" i="45"/>
  <c r="S12" i="45"/>
  <c r="S10" i="45"/>
  <c r="S8" i="45"/>
  <c r="E43" i="46"/>
  <c r="E39" i="46"/>
  <c r="E35" i="46"/>
  <c r="E31" i="46"/>
  <c r="E26" i="46"/>
  <c r="E22" i="46"/>
  <c r="E18" i="46"/>
  <c r="E14" i="46"/>
  <c r="E10" i="46"/>
  <c r="E41" i="46"/>
  <c r="E37" i="46"/>
  <c r="E33" i="46"/>
  <c r="E28" i="46"/>
  <c r="E24" i="46"/>
  <c r="E20" i="46"/>
  <c r="E16" i="46"/>
  <c r="E12" i="46"/>
  <c r="E8" i="46"/>
  <c r="E9" i="46"/>
  <c r="E13" i="46"/>
  <c r="E17" i="46"/>
  <c r="E21" i="46"/>
  <c r="E25" i="46"/>
  <c r="E29" i="46"/>
  <c r="E32" i="46"/>
  <c r="E36" i="46"/>
  <c r="E40" i="46"/>
  <c r="E7" i="46"/>
  <c r="E11" i="46"/>
  <c r="E15" i="46"/>
  <c r="E19" i="46"/>
  <c r="E23" i="46"/>
  <c r="E27" i="46"/>
  <c r="E30" i="46"/>
  <c r="E34" i="46"/>
  <c r="E38" i="46"/>
  <c r="E42" i="46"/>
  <c r="I42" i="46"/>
  <c r="I38" i="46"/>
  <c r="I41" i="46"/>
  <c r="I37" i="46"/>
  <c r="I33" i="46"/>
  <c r="I29" i="46"/>
  <c r="I25" i="46"/>
  <c r="I21" i="46"/>
  <c r="I17" i="46"/>
  <c r="I13" i="46"/>
  <c r="I9" i="46"/>
  <c r="I36" i="46"/>
  <c r="I30" i="46"/>
  <c r="I20" i="46"/>
  <c r="I16" i="46"/>
  <c r="I28" i="46"/>
  <c r="I22" i="46"/>
  <c r="I40" i="46"/>
  <c r="I43" i="46"/>
  <c r="I39" i="46"/>
  <c r="I35" i="46"/>
  <c r="I31" i="46"/>
  <c r="I27" i="46"/>
  <c r="I23" i="46"/>
  <c r="I19" i="46"/>
  <c r="I15" i="46"/>
  <c r="I11" i="46"/>
  <c r="I7" i="46"/>
  <c r="I34" i="46"/>
  <c r="I24" i="46"/>
  <c r="I18" i="46"/>
  <c r="I32" i="46"/>
  <c r="I26" i="46"/>
  <c r="I14" i="46"/>
  <c r="I8" i="46"/>
  <c r="I10" i="46"/>
  <c r="I12" i="46"/>
  <c r="M40" i="46"/>
  <c r="M43" i="46"/>
  <c r="M39" i="46"/>
  <c r="M35" i="46"/>
  <c r="M31" i="46"/>
  <c r="M27" i="46"/>
  <c r="M23" i="46"/>
  <c r="M19" i="46"/>
  <c r="M15" i="46"/>
  <c r="M11" i="46"/>
  <c r="M7" i="46"/>
  <c r="M30" i="46"/>
  <c r="M20" i="46"/>
  <c r="M16" i="46"/>
  <c r="M34" i="46"/>
  <c r="M28" i="46"/>
  <c r="M22" i="46"/>
  <c r="M42" i="46"/>
  <c r="M38" i="46"/>
  <c r="M41" i="46"/>
  <c r="M37" i="46"/>
  <c r="M33" i="46"/>
  <c r="M29" i="46"/>
  <c r="M25" i="46"/>
  <c r="M21" i="46"/>
  <c r="M17" i="46"/>
  <c r="M13" i="46"/>
  <c r="M9" i="46"/>
  <c r="M36" i="46"/>
  <c r="M24" i="46"/>
  <c r="M18" i="46"/>
  <c r="M12" i="46"/>
  <c r="M32" i="46"/>
  <c r="M26" i="46"/>
  <c r="M14" i="46"/>
  <c r="M8" i="46"/>
  <c r="M10" i="46"/>
  <c r="Q40" i="46"/>
  <c r="Q43" i="46"/>
  <c r="Q39" i="46"/>
  <c r="Q35" i="46"/>
  <c r="Q31" i="46"/>
  <c r="Q27" i="46"/>
  <c r="Q23" i="46"/>
  <c r="Q19" i="46"/>
  <c r="Q15" i="46"/>
  <c r="Q11" i="46"/>
  <c r="Q7" i="46"/>
  <c r="Q34" i="46"/>
  <c r="Q24" i="46"/>
  <c r="Q18" i="46"/>
  <c r="Q32" i="46"/>
  <c r="Q26" i="46"/>
  <c r="Q16" i="46"/>
  <c r="Q42" i="46"/>
  <c r="Q38" i="46"/>
  <c r="Q41" i="46"/>
  <c r="Q37" i="46"/>
  <c r="Q33" i="46"/>
  <c r="Q29" i="46"/>
  <c r="Q25" i="46"/>
  <c r="Q21" i="46"/>
  <c r="Q17" i="46"/>
  <c r="Q13" i="46"/>
  <c r="Q9" i="46"/>
  <c r="Q36" i="46"/>
  <c r="Q30" i="46"/>
  <c r="Q20" i="46"/>
  <c r="Q12" i="46"/>
  <c r="Q28" i="46"/>
  <c r="Q22" i="46"/>
  <c r="Q14" i="46"/>
  <c r="Q8" i="46"/>
  <c r="Q10" i="46"/>
  <c r="U40" i="46"/>
  <c r="U43" i="46"/>
  <c r="U39" i="46"/>
  <c r="U35" i="46"/>
  <c r="U31" i="46"/>
  <c r="U27" i="46"/>
  <c r="U23" i="46"/>
  <c r="U19" i="46"/>
  <c r="U15" i="46"/>
  <c r="U11" i="46"/>
  <c r="U7" i="46"/>
  <c r="U34" i="46"/>
  <c r="U24" i="46"/>
  <c r="U18" i="46"/>
  <c r="U32" i="46"/>
  <c r="U26" i="46"/>
  <c r="U16" i="46"/>
  <c r="U42" i="46"/>
  <c r="U38" i="46"/>
  <c r="U41" i="46"/>
  <c r="U37" i="46"/>
  <c r="U33" i="46"/>
  <c r="U29" i="46"/>
  <c r="U25" i="46"/>
  <c r="U21" i="46"/>
  <c r="U17" i="46"/>
  <c r="U13" i="46"/>
  <c r="U9" i="46"/>
  <c r="U36" i="46"/>
  <c r="U30" i="46"/>
  <c r="U20" i="46"/>
  <c r="U12" i="46"/>
  <c r="U28" i="46"/>
  <c r="U22" i="46"/>
  <c r="U14" i="46"/>
  <c r="U8" i="46"/>
  <c r="U10" i="46"/>
  <c r="F42" i="46"/>
  <c r="F10" i="46"/>
  <c r="F18" i="46"/>
  <c r="F26" i="46"/>
  <c r="F37" i="46"/>
  <c r="F12" i="46"/>
  <c r="F20" i="46"/>
  <c r="F28" i="46"/>
  <c r="F35" i="46"/>
  <c r="F43" i="46"/>
  <c r="F14" i="46"/>
  <c r="F22" i="46"/>
  <c r="F33" i="46"/>
  <c r="F41" i="46"/>
  <c r="F8" i="46"/>
  <c r="F16" i="46"/>
  <c r="F24" i="46"/>
  <c r="F31" i="46"/>
  <c r="F39" i="46"/>
  <c r="F7" i="46"/>
  <c r="F11" i="46"/>
  <c r="F15" i="46"/>
  <c r="F19" i="46"/>
  <c r="F23" i="46"/>
  <c r="F27" i="46"/>
  <c r="F30" i="46"/>
  <c r="F34" i="46"/>
  <c r="F9" i="46"/>
  <c r="F13" i="46"/>
  <c r="F17" i="46"/>
  <c r="F21" i="46"/>
  <c r="F25" i="46"/>
  <c r="F29" i="46"/>
  <c r="F32" i="46"/>
  <c r="F38" i="46"/>
  <c r="F36" i="46"/>
  <c r="F40" i="46"/>
  <c r="J37" i="46"/>
  <c r="J9" i="46"/>
  <c r="J13" i="46"/>
  <c r="J17" i="46"/>
  <c r="J21" i="46"/>
  <c r="J25" i="46"/>
  <c r="J29" i="46"/>
  <c r="J33" i="46"/>
  <c r="J7" i="46"/>
  <c r="J11" i="46"/>
  <c r="J15" i="46"/>
  <c r="J19" i="46"/>
  <c r="J23" i="46"/>
  <c r="J27" i="46"/>
  <c r="J31" i="46"/>
  <c r="J35" i="46"/>
  <c r="J43" i="46"/>
  <c r="J39" i="46"/>
  <c r="J40" i="46"/>
  <c r="J41" i="46"/>
  <c r="J42" i="46"/>
  <c r="J38" i="46"/>
  <c r="J8" i="46"/>
  <c r="J10" i="46"/>
  <c r="J12" i="46"/>
  <c r="J14" i="46"/>
  <c r="J16" i="46"/>
  <c r="J18" i="46"/>
  <c r="J20" i="46"/>
  <c r="J22" i="46"/>
  <c r="J24" i="46"/>
  <c r="J26" i="46"/>
  <c r="J28" i="46"/>
  <c r="J30" i="46"/>
  <c r="J32" i="46"/>
  <c r="J34" i="46"/>
  <c r="J36" i="46"/>
  <c r="N35" i="46"/>
  <c r="N7" i="46"/>
  <c r="N11" i="46"/>
  <c r="N15" i="46"/>
  <c r="N19" i="46"/>
  <c r="N23" i="46"/>
  <c r="N27" i="46"/>
  <c r="N31" i="46"/>
  <c r="N9" i="46"/>
  <c r="N13" i="46"/>
  <c r="N17" i="46"/>
  <c r="N21" i="46"/>
  <c r="N25" i="46"/>
  <c r="N29" i="46"/>
  <c r="N33" i="46"/>
  <c r="N43" i="46"/>
  <c r="N39" i="46"/>
  <c r="N42" i="46"/>
  <c r="N38" i="46"/>
  <c r="N41" i="46"/>
  <c r="N37" i="46"/>
  <c r="N40" i="46"/>
  <c r="N8" i="46"/>
  <c r="N10" i="46"/>
  <c r="N12" i="46"/>
  <c r="N14" i="46"/>
  <c r="N16" i="46"/>
  <c r="N18" i="46"/>
  <c r="N20" i="46"/>
  <c r="N22" i="46"/>
  <c r="N24" i="46"/>
  <c r="N26" i="46"/>
  <c r="N28" i="46"/>
  <c r="N30" i="46"/>
  <c r="N32" i="46"/>
  <c r="N34" i="46"/>
  <c r="N36" i="46"/>
  <c r="R35" i="46"/>
  <c r="R9" i="46"/>
  <c r="R13" i="46"/>
  <c r="R17" i="46"/>
  <c r="R21" i="46"/>
  <c r="R25" i="46"/>
  <c r="R29" i="46"/>
  <c r="R33" i="46"/>
  <c r="R7" i="46"/>
  <c r="R11" i="46"/>
  <c r="R15" i="46"/>
  <c r="R19" i="46"/>
  <c r="R23" i="46"/>
  <c r="R27" i="46"/>
  <c r="R31" i="46"/>
  <c r="R43" i="46"/>
  <c r="R39" i="46"/>
  <c r="R42" i="46"/>
  <c r="R38" i="46"/>
  <c r="R41" i="46"/>
  <c r="R37" i="46"/>
  <c r="R40" i="46"/>
  <c r="R8" i="46"/>
  <c r="R10" i="46"/>
  <c r="R12" i="46"/>
  <c r="R14" i="46"/>
  <c r="R16" i="46"/>
  <c r="R18" i="46"/>
  <c r="R20" i="46"/>
  <c r="R22" i="46"/>
  <c r="R24" i="46"/>
  <c r="R26" i="46"/>
  <c r="R28" i="46"/>
  <c r="R30" i="46"/>
  <c r="R32" i="46"/>
  <c r="R34" i="46"/>
  <c r="R36" i="46"/>
  <c r="T35" i="46"/>
  <c r="T7" i="46"/>
  <c r="T11" i="46"/>
  <c r="T15" i="46"/>
  <c r="T19" i="46"/>
  <c r="T23" i="46"/>
  <c r="T27" i="46"/>
  <c r="T31" i="46"/>
  <c r="T9" i="46"/>
  <c r="T13" i="46"/>
  <c r="T17" i="46"/>
  <c r="T21" i="46"/>
  <c r="T25" i="46"/>
  <c r="T29" i="46"/>
  <c r="T33" i="46"/>
  <c r="T41" i="46"/>
  <c r="T37" i="46"/>
  <c r="T40" i="46"/>
  <c r="T43" i="46"/>
  <c r="T39" i="46"/>
  <c r="T42" i="46"/>
  <c r="T38" i="46"/>
  <c r="T8" i="46"/>
  <c r="T10" i="46"/>
  <c r="T12" i="46"/>
  <c r="T14" i="46"/>
  <c r="T16" i="46"/>
  <c r="T18" i="46"/>
  <c r="T20" i="46"/>
  <c r="T22" i="46"/>
  <c r="T24" i="46"/>
  <c r="T26" i="46"/>
  <c r="T28" i="46"/>
  <c r="T30" i="46"/>
  <c r="T32" i="46"/>
  <c r="T34" i="46"/>
  <c r="T36" i="46"/>
  <c r="D40" i="45"/>
  <c r="D38" i="45"/>
  <c r="D36" i="45"/>
  <c r="D34" i="45"/>
  <c r="D32" i="45"/>
  <c r="D30" i="45"/>
  <c r="D28" i="45"/>
  <c r="D27" i="45"/>
  <c r="D25" i="45"/>
  <c r="D23" i="45"/>
  <c r="D21" i="45"/>
  <c r="D19" i="45"/>
  <c r="D17" i="45"/>
  <c r="D15" i="45"/>
  <c r="D13" i="45"/>
  <c r="D11" i="45"/>
  <c r="D9" i="45"/>
  <c r="D7" i="45"/>
  <c r="D41" i="45"/>
  <c r="D39" i="45"/>
  <c r="D37" i="45"/>
  <c r="D35" i="45"/>
  <c r="D33" i="45"/>
  <c r="D31" i="45"/>
  <c r="D29" i="45"/>
  <c r="D26" i="45"/>
  <c r="D24" i="45"/>
  <c r="D22" i="45"/>
  <c r="D20" i="45"/>
  <c r="D18" i="45"/>
  <c r="D16" i="45"/>
  <c r="D14" i="45"/>
  <c r="D12" i="45"/>
  <c r="D10" i="45"/>
  <c r="D8" i="45"/>
  <c r="V2" i="45"/>
  <c r="H40" i="45"/>
  <c r="H38" i="45"/>
  <c r="H36" i="45"/>
  <c r="H34" i="45"/>
  <c r="H32" i="45"/>
  <c r="H30" i="45"/>
  <c r="H28" i="45"/>
  <c r="H27" i="45"/>
  <c r="H25" i="45"/>
  <c r="H23" i="45"/>
  <c r="H21" i="45"/>
  <c r="H19" i="45"/>
  <c r="H17" i="45"/>
  <c r="H15" i="45"/>
  <c r="H13" i="45"/>
  <c r="H11" i="45"/>
  <c r="H9" i="45"/>
  <c r="H7" i="45"/>
  <c r="H41" i="45"/>
  <c r="H39" i="45"/>
  <c r="H37" i="45"/>
  <c r="H35" i="45"/>
  <c r="H33" i="45"/>
  <c r="H31" i="45"/>
  <c r="H29" i="45"/>
  <c r="H26" i="45"/>
  <c r="H24" i="45"/>
  <c r="H22" i="45"/>
  <c r="H20" i="45"/>
  <c r="H18" i="45"/>
  <c r="H16" i="45"/>
  <c r="H14" i="45"/>
  <c r="H12" i="45"/>
  <c r="H10" i="45"/>
  <c r="H8" i="45"/>
  <c r="L40" i="45"/>
  <c r="L38" i="45"/>
  <c r="L41" i="45"/>
  <c r="L39" i="45"/>
  <c r="L37" i="45"/>
  <c r="L36" i="45"/>
  <c r="L34" i="45"/>
  <c r="L32" i="45"/>
  <c r="L30" i="45"/>
  <c r="L28" i="45"/>
  <c r="L26" i="45"/>
  <c r="L24" i="45"/>
  <c r="L22" i="45"/>
  <c r="L20" i="45"/>
  <c r="L18" i="45"/>
  <c r="L16" i="45"/>
  <c r="L14" i="45"/>
  <c r="L12" i="45"/>
  <c r="L10" i="45"/>
  <c r="L8" i="45"/>
  <c r="L35" i="45"/>
  <c r="L33" i="45"/>
  <c r="L31" i="45"/>
  <c r="L29" i="45"/>
  <c r="L27" i="45"/>
  <c r="L25" i="45"/>
  <c r="L23" i="45"/>
  <c r="L21" i="45"/>
  <c r="L19" i="45"/>
  <c r="L17" i="45"/>
  <c r="L15" i="45"/>
  <c r="L13" i="45"/>
  <c r="L11" i="45"/>
  <c r="L9" i="45"/>
  <c r="L7" i="45"/>
  <c r="P40" i="45"/>
  <c r="P38" i="45"/>
  <c r="P36" i="45"/>
  <c r="P41" i="45"/>
  <c r="P39" i="45"/>
  <c r="P37" i="45"/>
  <c r="P34" i="45"/>
  <c r="P32" i="45"/>
  <c r="P30" i="45"/>
  <c r="P28" i="45"/>
  <c r="P26" i="45"/>
  <c r="P24" i="45"/>
  <c r="P22" i="45"/>
  <c r="P20" i="45"/>
  <c r="P18" i="45"/>
  <c r="P16" i="45"/>
  <c r="P14" i="45"/>
  <c r="P12" i="45"/>
  <c r="P10" i="45"/>
  <c r="P8" i="45"/>
  <c r="P35" i="45"/>
  <c r="P33" i="45"/>
  <c r="P31" i="45"/>
  <c r="P29" i="45"/>
  <c r="P27" i="45"/>
  <c r="P25" i="45"/>
  <c r="P23" i="45"/>
  <c r="P21" i="45"/>
  <c r="P19" i="45"/>
  <c r="P17" i="45"/>
  <c r="P15" i="45"/>
  <c r="P13" i="45"/>
  <c r="P11" i="45"/>
  <c r="P9" i="45"/>
  <c r="P7" i="45"/>
  <c r="E41" i="45"/>
  <c r="E39" i="45"/>
  <c r="E37" i="45"/>
  <c r="E35" i="45"/>
  <c r="E33" i="45"/>
  <c r="E31" i="45"/>
  <c r="E29" i="45"/>
  <c r="E26" i="45"/>
  <c r="E24" i="45"/>
  <c r="E22" i="45"/>
  <c r="E20" i="45"/>
  <c r="E18" i="45"/>
  <c r="E16" i="45"/>
  <c r="E14" i="45"/>
  <c r="E12" i="45"/>
  <c r="E10" i="45"/>
  <c r="E8" i="45"/>
  <c r="E40" i="45"/>
  <c r="E38" i="45"/>
  <c r="E36" i="45"/>
  <c r="E34" i="45"/>
  <c r="E32" i="45"/>
  <c r="E30" i="45"/>
  <c r="E28" i="45"/>
  <c r="E27" i="45"/>
  <c r="E25" i="45"/>
  <c r="E23" i="45"/>
  <c r="E21" i="45"/>
  <c r="E19" i="45"/>
  <c r="E17" i="45"/>
  <c r="E15" i="45"/>
  <c r="E13" i="45"/>
  <c r="E11" i="45"/>
  <c r="E9" i="45"/>
  <c r="E7" i="45"/>
  <c r="I41" i="45"/>
  <c r="I39" i="45"/>
  <c r="I37" i="45"/>
  <c r="I40" i="45"/>
  <c r="I38" i="45"/>
  <c r="I36" i="45"/>
  <c r="I35" i="45"/>
  <c r="I33" i="45"/>
  <c r="I31" i="45"/>
  <c r="I29" i="45"/>
  <c r="I27" i="45"/>
  <c r="I25" i="45"/>
  <c r="I23" i="45"/>
  <c r="I21" i="45"/>
  <c r="I19" i="45"/>
  <c r="I17" i="45"/>
  <c r="I15" i="45"/>
  <c r="I13" i="45"/>
  <c r="I11" i="45"/>
  <c r="I9" i="45"/>
  <c r="I7" i="45"/>
  <c r="I34" i="45"/>
  <c r="I32" i="45"/>
  <c r="I30" i="45"/>
  <c r="I28" i="45"/>
  <c r="I26" i="45"/>
  <c r="I24" i="45"/>
  <c r="I22" i="45"/>
  <c r="I20" i="45"/>
  <c r="I18" i="45"/>
  <c r="I16" i="45"/>
  <c r="I14" i="45"/>
  <c r="I12" i="45"/>
  <c r="I10" i="45"/>
  <c r="I8" i="45"/>
  <c r="M41" i="45"/>
  <c r="M39" i="45"/>
  <c r="M37" i="45"/>
  <c r="M40" i="45"/>
  <c r="M38" i="45"/>
  <c r="M36" i="45"/>
  <c r="M35" i="45"/>
  <c r="M33" i="45"/>
  <c r="M31" i="45"/>
  <c r="M29" i="45"/>
  <c r="M27" i="45"/>
  <c r="M25" i="45"/>
  <c r="M23" i="45"/>
  <c r="M21" i="45"/>
  <c r="M19" i="45"/>
  <c r="M17" i="45"/>
  <c r="M15" i="45"/>
  <c r="M13" i="45"/>
  <c r="M11" i="45"/>
  <c r="M9" i="45"/>
  <c r="M7" i="45"/>
  <c r="M34" i="45"/>
  <c r="M32" i="45"/>
  <c r="M30" i="45"/>
  <c r="M28" i="45"/>
  <c r="M26" i="45"/>
  <c r="M24" i="45"/>
  <c r="M22" i="45"/>
  <c r="M20" i="45"/>
  <c r="M18" i="45"/>
  <c r="M16" i="45"/>
  <c r="M14" i="45"/>
  <c r="M12" i="45"/>
  <c r="M10" i="45"/>
  <c r="M8" i="45"/>
  <c r="Q41" i="45"/>
  <c r="Q39" i="45"/>
  <c r="Q37" i="45"/>
  <c r="Q40" i="45"/>
  <c r="Q38" i="45"/>
  <c r="Q36" i="45"/>
  <c r="Q35" i="45"/>
  <c r="Q33" i="45"/>
  <c r="Q31" i="45"/>
  <c r="Q29" i="45"/>
  <c r="Q27" i="45"/>
  <c r="Q25" i="45"/>
  <c r="Q23" i="45"/>
  <c r="Q21" i="45"/>
  <c r="Q19" i="45"/>
  <c r="Q17" i="45"/>
  <c r="Q15" i="45"/>
  <c r="Q13" i="45"/>
  <c r="Q11" i="45"/>
  <c r="Q9" i="45"/>
  <c r="Q7" i="45"/>
  <c r="Q34" i="45"/>
  <c r="Q32" i="45"/>
  <c r="Q30" i="45"/>
  <c r="Q28" i="45"/>
  <c r="Q26" i="45"/>
  <c r="Q24" i="45"/>
  <c r="Q22" i="45"/>
  <c r="Q20" i="45"/>
  <c r="Q18" i="45"/>
  <c r="Q16" i="45"/>
  <c r="Q14" i="45"/>
  <c r="Q12" i="45"/>
  <c r="Q10" i="45"/>
  <c r="Q8" i="45"/>
  <c r="U41" i="45"/>
  <c r="U39" i="45"/>
  <c r="U37" i="45"/>
  <c r="U40" i="45"/>
  <c r="U38" i="45"/>
  <c r="U36" i="45"/>
  <c r="U35" i="45"/>
  <c r="U33" i="45"/>
  <c r="U31" i="45"/>
  <c r="U29" i="45"/>
  <c r="U27" i="45"/>
  <c r="U25" i="45"/>
  <c r="U23" i="45"/>
  <c r="U21" i="45"/>
  <c r="U19" i="45"/>
  <c r="U17" i="45"/>
  <c r="U15" i="45"/>
  <c r="U13" i="45"/>
  <c r="U11" i="45"/>
  <c r="U9" i="45"/>
  <c r="U7" i="45"/>
  <c r="U34" i="45"/>
  <c r="U32" i="45"/>
  <c r="U30" i="45"/>
  <c r="U28" i="45"/>
  <c r="U26" i="45"/>
  <c r="U24" i="45"/>
  <c r="U22" i="45"/>
  <c r="U20" i="45"/>
  <c r="U18" i="45"/>
  <c r="U16" i="45"/>
  <c r="U14" i="45"/>
  <c r="U12" i="45"/>
  <c r="U10" i="45"/>
  <c r="U8" i="45"/>
  <c r="G43" i="46"/>
  <c r="G39" i="46"/>
  <c r="G35" i="46"/>
  <c r="G31" i="46"/>
  <c r="G26" i="46"/>
  <c r="G22" i="46"/>
  <c r="G18" i="46"/>
  <c r="G14" i="46"/>
  <c r="G10" i="46"/>
  <c r="G41" i="46"/>
  <c r="G37" i="46"/>
  <c r="G33" i="46"/>
  <c r="G28" i="46"/>
  <c r="G24" i="46"/>
  <c r="G20" i="46"/>
  <c r="G16" i="46"/>
  <c r="G12" i="46"/>
  <c r="G8" i="46"/>
  <c r="G7" i="46"/>
  <c r="G11" i="46"/>
  <c r="G15" i="46"/>
  <c r="G19" i="46"/>
  <c r="G23" i="46"/>
  <c r="G27" i="46"/>
  <c r="G30" i="46"/>
  <c r="G34" i="46"/>
  <c r="G38" i="46"/>
  <c r="G42" i="46"/>
  <c r="G9" i="46"/>
  <c r="G13" i="46"/>
  <c r="G17" i="46"/>
  <c r="G21" i="46"/>
  <c r="G25" i="46"/>
  <c r="G29" i="46"/>
  <c r="G32" i="46"/>
  <c r="G36" i="46"/>
  <c r="G40" i="46"/>
  <c r="K42" i="46"/>
  <c r="K38" i="46"/>
  <c r="K41" i="46"/>
  <c r="K37" i="46"/>
  <c r="K33" i="46"/>
  <c r="K29" i="46"/>
  <c r="K25" i="46"/>
  <c r="K21" i="46"/>
  <c r="K17" i="46"/>
  <c r="K13" i="46"/>
  <c r="K9" i="46"/>
  <c r="K32" i="46"/>
  <c r="K26" i="46"/>
  <c r="K14" i="46"/>
  <c r="K34" i="46"/>
  <c r="K24" i="46"/>
  <c r="K18" i="46"/>
  <c r="K12" i="46"/>
  <c r="K40" i="46"/>
  <c r="K43" i="46"/>
  <c r="K39" i="46"/>
  <c r="K35" i="46"/>
  <c r="K31" i="46"/>
  <c r="K27" i="46"/>
  <c r="K23" i="46"/>
  <c r="K19" i="46"/>
  <c r="K15" i="46"/>
  <c r="K11" i="46"/>
  <c r="K7" i="46"/>
  <c r="K28" i="46"/>
  <c r="K22" i="46"/>
  <c r="K36" i="46"/>
  <c r="K30" i="46"/>
  <c r="K20" i="46"/>
  <c r="K16" i="46"/>
  <c r="K10" i="46"/>
  <c r="K8" i="46"/>
  <c r="O42" i="46"/>
  <c r="O38" i="46"/>
  <c r="O41" i="46"/>
  <c r="O37" i="46"/>
  <c r="O33" i="46"/>
  <c r="O29" i="46"/>
  <c r="O25" i="46"/>
  <c r="O21" i="46"/>
  <c r="O17" i="46"/>
  <c r="O13" i="46"/>
  <c r="O9" i="46"/>
  <c r="O36" i="46"/>
  <c r="O32" i="46"/>
  <c r="O26" i="46"/>
  <c r="O14" i="46"/>
  <c r="O24" i="46"/>
  <c r="O18" i="46"/>
  <c r="O12" i="46"/>
  <c r="O40" i="46"/>
  <c r="O43" i="46"/>
  <c r="O39" i="46"/>
  <c r="O35" i="46"/>
  <c r="O31" i="46"/>
  <c r="O27" i="46"/>
  <c r="O23" i="46"/>
  <c r="O19" i="46"/>
  <c r="O15" i="46"/>
  <c r="O11" i="46"/>
  <c r="O7" i="46"/>
  <c r="O34" i="46"/>
  <c r="O28" i="46"/>
  <c r="O22" i="46"/>
  <c r="O30" i="46"/>
  <c r="O20" i="46"/>
  <c r="O16" i="46"/>
  <c r="O8" i="46"/>
  <c r="O10" i="46"/>
  <c r="S42" i="46"/>
  <c r="S38" i="46"/>
  <c r="S41" i="46"/>
  <c r="S37" i="46"/>
  <c r="S33" i="46"/>
  <c r="S29" i="46"/>
  <c r="S25" i="46"/>
  <c r="S21" i="46"/>
  <c r="S17" i="46"/>
  <c r="S13" i="46"/>
  <c r="S9" i="46"/>
  <c r="S32" i="46"/>
  <c r="S26" i="46"/>
  <c r="S16" i="46"/>
  <c r="S36" i="46"/>
  <c r="S30" i="46"/>
  <c r="S20" i="46"/>
  <c r="S12" i="46"/>
  <c r="S40" i="46"/>
  <c r="S43" i="46"/>
  <c r="S39" i="46"/>
  <c r="S35" i="46"/>
  <c r="S31" i="46"/>
  <c r="S27" i="46"/>
  <c r="S23" i="46"/>
  <c r="S19" i="46"/>
  <c r="S15" i="46"/>
  <c r="S11" i="46"/>
  <c r="S7" i="46"/>
  <c r="S28" i="46"/>
  <c r="S22" i="46"/>
  <c r="S14" i="46"/>
  <c r="S34" i="46"/>
  <c r="S24" i="46"/>
  <c r="S18" i="46"/>
  <c r="S10" i="46"/>
  <c r="S8" i="46"/>
  <c r="D42" i="46"/>
  <c r="D8" i="46"/>
  <c r="D16" i="46"/>
  <c r="D24" i="46"/>
  <c r="D35" i="46"/>
  <c r="D43" i="46"/>
  <c r="D10" i="46"/>
  <c r="D18" i="46"/>
  <c r="D26" i="46"/>
  <c r="D33" i="46"/>
  <c r="D41" i="46"/>
  <c r="D12" i="46"/>
  <c r="D20" i="46"/>
  <c r="D28" i="46"/>
  <c r="D31" i="46"/>
  <c r="D39" i="46"/>
  <c r="D14" i="46"/>
  <c r="D22" i="46"/>
  <c r="D37" i="46"/>
  <c r="D9" i="46"/>
  <c r="D13" i="46"/>
  <c r="D17" i="46"/>
  <c r="D21" i="46"/>
  <c r="D25" i="46"/>
  <c r="D29" i="46"/>
  <c r="D32" i="46"/>
  <c r="D7" i="46"/>
  <c r="D11" i="46"/>
  <c r="D15" i="46"/>
  <c r="D19" i="46"/>
  <c r="D23" i="46"/>
  <c r="D27" i="46"/>
  <c r="D30" i="46"/>
  <c r="D34" i="46"/>
  <c r="D36" i="46"/>
  <c r="D40" i="46"/>
  <c r="D38" i="46"/>
  <c r="V2" i="46"/>
  <c r="H42" i="46"/>
  <c r="H12" i="46"/>
  <c r="H20" i="46"/>
  <c r="H28" i="46"/>
  <c r="H31" i="46"/>
  <c r="H39" i="46"/>
  <c r="H14" i="46"/>
  <c r="H22" i="46"/>
  <c r="H37" i="46"/>
  <c r="H8" i="46"/>
  <c r="H16" i="46"/>
  <c r="H24" i="46"/>
  <c r="H35" i="46"/>
  <c r="H43" i="46"/>
  <c r="H10" i="46"/>
  <c r="H18" i="46"/>
  <c r="H26" i="46"/>
  <c r="H33" i="46"/>
  <c r="H41" i="46"/>
  <c r="H9" i="46"/>
  <c r="H13" i="46"/>
  <c r="H17" i="46"/>
  <c r="H21" i="46"/>
  <c r="H25" i="46"/>
  <c r="H29" i="46"/>
  <c r="H32" i="46"/>
  <c r="H7" i="46"/>
  <c r="H11" i="46"/>
  <c r="H15" i="46"/>
  <c r="H19" i="46"/>
  <c r="H23" i="46"/>
  <c r="H27" i="46"/>
  <c r="H30" i="46"/>
  <c r="H36" i="46"/>
  <c r="H40" i="46"/>
  <c r="H34" i="46"/>
  <c r="H38" i="46"/>
  <c r="L37" i="46"/>
  <c r="L7" i="46"/>
  <c r="L11" i="46"/>
  <c r="L15" i="46"/>
  <c r="L19" i="46"/>
  <c r="L23" i="46"/>
  <c r="L27" i="46"/>
  <c r="L31" i="46"/>
  <c r="L35" i="46"/>
  <c r="L9" i="46"/>
  <c r="L13" i="46"/>
  <c r="L17" i="46"/>
  <c r="L21" i="46"/>
  <c r="L25" i="46"/>
  <c r="L29" i="46"/>
  <c r="L33" i="46"/>
  <c r="L43" i="46"/>
  <c r="L39" i="46"/>
  <c r="L40" i="46"/>
  <c r="L41" i="46"/>
  <c r="L42" i="46"/>
  <c r="L38" i="46"/>
  <c r="L8" i="46"/>
  <c r="L10" i="46"/>
  <c r="L12" i="46"/>
  <c r="L14" i="46"/>
  <c r="L16" i="46"/>
  <c r="L18" i="46"/>
  <c r="L20" i="46"/>
  <c r="L22" i="46"/>
  <c r="L24" i="46"/>
  <c r="L26" i="46"/>
  <c r="L28" i="46"/>
  <c r="L30" i="46"/>
  <c r="L32" i="46"/>
  <c r="L34" i="46"/>
  <c r="L36" i="46"/>
  <c r="P35" i="46"/>
  <c r="P9" i="46"/>
  <c r="P13" i="46"/>
  <c r="P17" i="46"/>
  <c r="P21" i="46"/>
  <c r="P25" i="46"/>
  <c r="P29" i="46"/>
  <c r="P33" i="46"/>
  <c r="P7" i="46"/>
  <c r="P11" i="46"/>
  <c r="P15" i="46"/>
  <c r="P19" i="46"/>
  <c r="P23" i="46"/>
  <c r="P27" i="46"/>
  <c r="P31" i="46"/>
  <c r="P41" i="46"/>
  <c r="P37" i="46"/>
  <c r="P40" i="46"/>
  <c r="P43" i="46"/>
  <c r="P39" i="46"/>
  <c r="P42" i="46"/>
  <c r="P38" i="46"/>
  <c r="P8" i="46"/>
  <c r="P10" i="46"/>
  <c r="P12" i="46"/>
  <c r="P14" i="46"/>
  <c r="P16" i="46"/>
  <c r="P18" i="46"/>
  <c r="P20" i="46"/>
  <c r="P22" i="46"/>
  <c r="P24" i="46"/>
  <c r="P26" i="46"/>
  <c r="P28" i="46"/>
  <c r="P30" i="46"/>
  <c r="P32" i="46"/>
  <c r="P34" i="46"/>
  <c r="P36" i="46"/>
  <c r="D39" i="20"/>
  <c r="E39" i="20" s="1"/>
  <c r="D38" i="20"/>
  <c r="E38" i="20" s="1"/>
  <c r="D37" i="20"/>
  <c r="E37" i="20" s="1"/>
  <c r="E37" i="23"/>
  <c r="G37" i="23"/>
  <c r="I37" i="23"/>
  <c r="K37" i="23"/>
  <c r="M37" i="23"/>
  <c r="D35" i="20"/>
  <c r="E35" i="20" s="1"/>
  <c r="E35" i="23"/>
  <c r="G35" i="23"/>
  <c r="I35" i="23"/>
  <c r="K35" i="23"/>
  <c r="M35" i="23"/>
  <c r="D33" i="20"/>
  <c r="E33" i="20" s="1"/>
  <c r="E33" i="23"/>
  <c r="G33" i="23"/>
  <c r="I33" i="23"/>
  <c r="K33" i="23"/>
  <c r="M33" i="23"/>
  <c r="E32" i="23"/>
  <c r="G32" i="23"/>
  <c r="I32" i="23"/>
  <c r="K32" i="23"/>
  <c r="M32" i="23"/>
  <c r="D32" i="20"/>
  <c r="E32" i="20" s="1"/>
  <c r="D31" i="20"/>
  <c r="E31" i="20" s="1"/>
  <c r="E31" i="23"/>
  <c r="G31" i="23"/>
  <c r="I31" i="23"/>
  <c r="K31" i="23"/>
  <c r="M31" i="23"/>
  <c r="E30" i="23"/>
  <c r="G30" i="23"/>
  <c r="I30" i="23"/>
  <c r="K30" i="23"/>
  <c r="M30" i="23"/>
  <c r="D30" i="20"/>
  <c r="E30" i="20" s="1"/>
  <c r="D42" i="20"/>
  <c r="E42" i="20" s="1"/>
  <c r="D41" i="20"/>
  <c r="E41" i="20" s="1"/>
  <c r="D40" i="20"/>
  <c r="E40" i="20" s="1"/>
  <c r="E36" i="23"/>
  <c r="G36" i="23"/>
  <c r="I36" i="23"/>
  <c r="K36" i="23"/>
  <c r="M36" i="23"/>
  <c r="D36" i="20"/>
  <c r="E36" i="20" s="1"/>
  <c r="E34" i="23"/>
  <c r="G34" i="23"/>
  <c r="I34" i="23"/>
  <c r="K34" i="23"/>
  <c r="M34" i="23"/>
  <c r="D34" i="20"/>
  <c r="E34" i="20" s="1"/>
  <c r="D29" i="20"/>
  <c r="E29" i="20" s="1"/>
  <c r="E29" i="23"/>
  <c r="G29" i="23"/>
  <c r="I29" i="23"/>
  <c r="K29" i="23"/>
  <c r="M29" i="23"/>
  <c r="D28" i="20"/>
  <c r="E28" i="23"/>
  <c r="G28" i="23"/>
  <c r="I28" i="23"/>
  <c r="K28" i="23"/>
  <c r="M28" i="23"/>
  <c r="E27" i="23"/>
  <c r="G27" i="23"/>
  <c r="I27" i="23"/>
  <c r="K27" i="23"/>
  <c r="M27" i="23"/>
  <c r="D27" i="20"/>
  <c r="D26" i="20"/>
  <c r="E26" i="23"/>
  <c r="G26" i="23"/>
  <c r="I26" i="23"/>
  <c r="K26" i="23"/>
  <c r="M26" i="23"/>
  <c r="D24" i="20"/>
  <c r="E24" i="20" s="1"/>
  <c r="M24" i="23"/>
  <c r="E24" i="23"/>
  <c r="K24" i="23"/>
  <c r="I24" i="23"/>
  <c r="G24" i="23"/>
  <c r="D23" i="20"/>
  <c r="E23" i="20" s="1"/>
  <c r="G23" i="23"/>
  <c r="M23" i="23"/>
  <c r="E23" i="23"/>
  <c r="K23" i="23"/>
  <c r="I23" i="23"/>
  <c r="D22" i="20"/>
  <c r="E22" i="20" s="1"/>
  <c r="I22" i="23"/>
  <c r="G22" i="23"/>
  <c r="M22" i="23"/>
  <c r="E22" i="23"/>
  <c r="K22" i="23"/>
  <c r="D21" i="20"/>
  <c r="E21" i="20" s="1"/>
  <c r="K21" i="23"/>
  <c r="I21" i="23"/>
  <c r="G21" i="23"/>
  <c r="M21" i="23"/>
  <c r="E21" i="23"/>
  <c r="D20" i="20"/>
  <c r="E20" i="20" s="1"/>
  <c r="M20" i="23"/>
  <c r="E20" i="23"/>
  <c r="K20" i="23"/>
  <c r="I20" i="23"/>
  <c r="G20" i="23"/>
  <c r="D19" i="20"/>
  <c r="E19" i="20" s="1"/>
  <c r="G19" i="23"/>
  <c r="M19" i="23"/>
  <c r="E19" i="23"/>
  <c r="K19" i="23"/>
  <c r="I19" i="23"/>
  <c r="D18" i="20"/>
  <c r="E18" i="20" s="1"/>
  <c r="I18" i="23"/>
  <c r="G18" i="23"/>
  <c r="M18" i="23"/>
  <c r="E18" i="23"/>
  <c r="K18" i="23"/>
  <c r="D17" i="20"/>
  <c r="E17" i="20" s="1"/>
  <c r="K17" i="23"/>
  <c r="I17" i="23"/>
  <c r="G17" i="23"/>
  <c r="M17" i="23"/>
  <c r="E17" i="23"/>
  <c r="D16" i="20"/>
  <c r="E16" i="20" s="1"/>
  <c r="M16" i="23"/>
  <c r="E16" i="23"/>
  <c r="K16" i="23"/>
  <c r="I16" i="23"/>
  <c r="G16" i="23"/>
  <c r="D15" i="20"/>
  <c r="E15" i="20" s="1"/>
  <c r="G15" i="23"/>
  <c r="M15" i="23"/>
  <c r="E15" i="23"/>
  <c r="K15" i="23"/>
  <c r="I15" i="23"/>
  <c r="D14" i="20"/>
  <c r="E14" i="20" s="1"/>
  <c r="I14" i="23"/>
  <c r="G14" i="23"/>
  <c r="M14" i="23"/>
  <c r="E14" i="23"/>
  <c r="K14" i="23"/>
  <c r="D13" i="20"/>
  <c r="E13" i="20" s="1"/>
  <c r="K13" i="23"/>
  <c r="I13" i="23"/>
  <c r="G13" i="23"/>
  <c r="M13" i="23"/>
  <c r="E13" i="23"/>
  <c r="D12" i="20"/>
  <c r="E12" i="20" s="1"/>
  <c r="M12" i="23"/>
  <c r="E12" i="23"/>
  <c r="K12" i="23"/>
  <c r="I12" i="23"/>
  <c r="G12" i="23"/>
  <c r="D11" i="20"/>
  <c r="E11" i="20" s="1"/>
  <c r="G11" i="23"/>
  <c r="M11" i="23"/>
  <c r="E11" i="23"/>
  <c r="K11" i="23"/>
  <c r="I11" i="23"/>
  <c r="D10" i="20"/>
  <c r="E10" i="20" s="1"/>
  <c r="I10" i="23"/>
  <c r="G10" i="23"/>
  <c r="M10" i="23"/>
  <c r="E10" i="23"/>
  <c r="K10" i="23"/>
  <c r="D9" i="20"/>
  <c r="E9" i="20" s="1"/>
  <c r="K9" i="23"/>
  <c r="I9" i="23"/>
  <c r="G9" i="23"/>
  <c r="M9" i="23"/>
  <c r="E9" i="23"/>
  <c r="D8" i="20"/>
  <c r="E8" i="20" s="1"/>
  <c r="M8" i="23"/>
  <c r="E8" i="23"/>
  <c r="K8" i="23"/>
  <c r="I8" i="23"/>
  <c r="G8" i="23"/>
  <c r="D7" i="20"/>
  <c r="E7" i="20" s="1"/>
  <c r="K7" i="23"/>
  <c r="I7" i="23"/>
  <c r="G7" i="23"/>
  <c r="M7" i="23"/>
  <c r="E7" i="23"/>
  <c r="E6" i="23"/>
  <c r="M6" i="23"/>
  <c r="I6" i="23"/>
  <c r="G6" i="23"/>
  <c r="K6" i="23"/>
  <c r="E34" i="8"/>
  <c r="G34" i="8"/>
  <c r="I34" i="8"/>
  <c r="K34" i="8"/>
  <c r="M34" i="8"/>
  <c r="E32" i="8"/>
  <c r="G32" i="8"/>
  <c r="I32" i="8"/>
  <c r="K32" i="8"/>
  <c r="M32" i="8"/>
  <c r="E31" i="8"/>
  <c r="G31" i="8"/>
  <c r="I31" i="8"/>
  <c r="K31" i="8"/>
  <c r="M31" i="8"/>
  <c r="E30" i="8"/>
  <c r="G30" i="8"/>
  <c r="I30" i="8"/>
  <c r="K30" i="8"/>
  <c r="M30" i="8"/>
  <c r="E26" i="8"/>
  <c r="G26" i="8"/>
  <c r="I26" i="8"/>
  <c r="K26" i="8"/>
  <c r="M26" i="8"/>
  <c r="E25" i="8"/>
  <c r="G25" i="8"/>
  <c r="I25" i="8"/>
  <c r="K25" i="8"/>
  <c r="M25" i="8"/>
  <c r="E24" i="8"/>
  <c r="G24" i="8"/>
  <c r="I24" i="8"/>
  <c r="K24" i="8"/>
  <c r="M24" i="8"/>
  <c r="E25" i="19"/>
  <c r="E23" i="8"/>
  <c r="G23" i="8"/>
  <c r="I23" i="8"/>
  <c r="K23" i="8"/>
  <c r="M23" i="8"/>
  <c r="E22" i="8"/>
  <c r="G22" i="8"/>
  <c r="I22" i="8"/>
  <c r="K22" i="8"/>
  <c r="M22" i="8"/>
  <c r="E24" i="19"/>
  <c r="E21" i="8"/>
  <c r="G21" i="8"/>
  <c r="I21" i="8"/>
  <c r="K21" i="8"/>
  <c r="M21" i="8"/>
  <c r="E20" i="8"/>
  <c r="G20" i="8"/>
  <c r="I20" i="8"/>
  <c r="K20" i="8"/>
  <c r="M20" i="8"/>
  <c r="E19" i="8"/>
  <c r="G19" i="8"/>
  <c r="I19" i="8"/>
  <c r="K19" i="8"/>
  <c r="M19" i="8"/>
  <c r="E18" i="8"/>
  <c r="G18" i="8"/>
  <c r="I18" i="8"/>
  <c r="K18" i="8"/>
  <c r="M18" i="8"/>
  <c r="E17" i="8"/>
  <c r="G17" i="8"/>
  <c r="I17" i="8"/>
  <c r="K17" i="8"/>
  <c r="M17" i="8"/>
  <c r="E16" i="8"/>
  <c r="G16" i="8"/>
  <c r="I16" i="8"/>
  <c r="K16" i="8"/>
  <c r="M16" i="8"/>
  <c r="E15" i="8"/>
  <c r="G15" i="8"/>
  <c r="I15" i="8"/>
  <c r="K15" i="8"/>
  <c r="M15" i="8"/>
  <c r="E14" i="8"/>
  <c r="G14" i="8"/>
  <c r="I14" i="8"/>
  <c r="K14" i="8"/>
  <c r="M14" i="8"/>
  <c r="E13" i="8"/>
  <c r="G13" i="8"/>
  <c r="I13" i="8"/>
  <c r="K13" i="8"/>
  <c r="M13" i="8"/>
  <c r="E12" i="8"/>
  <c r="G12" i="8"/>
  <c r="I12" i="8"/>
  <c r="K12" i="8"/>
  <c r="M12" i="8"/>
  <c r="E11" i="8"/>
  <c r="G11" i="8"/>
  <c r="I11" i="8"/>
  <c r="K11" i="8"/>
  <c r="M11" i="8"/>
  <c r="E10" i="8"/>
  <c r="G10" i="8"/>
  <c r="I10" i="8"/>
  <c r="K10" i="8"/>
  <c r="M10" i="8"/>
  <c r="E11" i="19"/>
  <c r="E9" i="8"/>
  <c r="G9" i="8"/>
  <c r="I9" i="8"/>
  <c r="K9" i="8"/>
  <c r="M9" i="8"/>
  <c r="E8" i="8"/>
  <c r="G8" i="8"/>
  <c r="I8" i="8"/>
  <c r="K8" i="8"/>
  <c r="M8" i="8"/>
  <c r="E10" i="19"/>
  <c r="K7" i="8"/>
  <c r="E7" i="8"/>
  <c r="G7" i="8"/>
  <c r="I7" i="8"/>
  <c r="M7" i="8"/>
  <c r="K6" i="8"/>
  <c r="G6" i="8"/>
  <c r="E35" i="8"/>
  <c r="G35" i="8"/>
  <c r="I35" i="8"/>
  <c r="K35" i="8"/>
  <c r="M35" i="8"/>
  <c r="E33" i="8"/>
  <c r="G33" i="8"/>
  <c r="I33" i="8"/>
  <c r="K33" i="8"/>
  <c r="M33" i="8"/>
  <c r="E29" i="8"/>
  <c r="G29" i="8"/>
  <c r="I29" i="8"/>
  <c r="K29" i="8"/>
  <c r="M29" i="8"/>
  <c r="E28" i="8"/>
  <c r="G28" i="8"/>
  <c r="I28" i="8"/>
  <c r="K28" i="8"/>
  <c r="M28" i="8"/>
  <c r="E27" i="8"/>
  <c r="G27" i="8"/>
  <c r="I27" i="8"/>
  <c r="K27" i="8"/>
  <c r="M27" i="8"/>
  <c r="M6" i="8"/>
  <c r="I6" i="8"/>
  <c r="E6" i="8"/>
  <c r="E25" i="20"/>
  <c r="E27" i="19" s="1"/>
  <c r="AL50" i="20"/>
  <c r="G50" i="20" s="1"/>
  <c r="AL48" i="20"/>
  <c r="G48" i="20" s="1"/>
  <c r="AL46" i="20"/>
  <c r="G46" i="20" s="1"/>
  <c r="G50" i="19" s="1"/>
  <c r="AL44" i="20"/>
  <c r="G44" i="20" s="1"/>
  <c r="AL41" i="20"/>
  <c r="G41" i="20" s="1"/>
  <c r="AL39" i="20"/>
  <c r="G39" i="20" s="1"/>
  <c r="AL37" i="20"/>
  <c r="G37" i="20" s="1"/>
  <c r="AL35" i="20"/>
  <c r="G35" i="20" s="1"/>
  <c r="AL33" i="20"/>
  <c r="G33" i="20" s="1"/>
  <c r="AL31" i="20"/>
  <c r="G31" i="20" s="1"/>
  <c r="AL29" i="20"/>
  <c r="G29" i="20" s="1"/>
  <c r="AL27" i="20"/>
  <c r="G27" i="20" s="1"/>
  <c r="G29" i="19" s="1"/>
  <c r="AL25" i="20"/>
  <c r="G25" i="20" s="1"/>
  <c r="G27" i="19" s="1"/>
  <c r="AL23" i="20"/>
  <c r="G23" i="20" s="1"/>
  <c r="AL21" i="20"/>
  <c r="G21" i="20" s="1"/>
  <c r="AL19" i="20"/>
  <c r="G19" i="20" s="1"/>
  <c r="AL17" i="20"/>
  <c r="G17" i="20" s="1"/>
  <c r="AL15" i="20"/>
  <c r="G15" i="20" s="1"/>
  <c r="AL13" i="20"/>
  <c r="G13" i="20" s="1"/>
  <c r="AL11" i="20"/>
  <c r="G11" i="20" s="1"/>
  <c r="AL9" i="20"/>
  <c r="G9" i="20" s="1"/>
  <c r="AL7" i="20"/>
  <c r="G7" i="20" s="1"/>
  <c r="AL51" i="20"/>
  <c r="G51" i="20" s="1"/>
  <c r="AL49" i="20"/>
  <c r="G49" i="20" s="1"/>
  <c r="G53" i="19" s="1"/>
  <c r="AL47" i="20"/>
  <c r="G47" i="20" s="1"/>
  <c r="AL45" i="20"/>
  <c r="G45" i="20" s="1"/>
  <c r="AL42" i="20"/>
  <c r="G42" i="20" s="1"/>
  <c r="AL40" i="20"/>
  <c r="G40" i="20" s="1"/>
  <c r="AL38" i="20"/>
  <c r="G38" i="20" s="1"/>
  <c r="AL36" i="20"/>
  <c r="G36" i="20" s="1"/>
  <c r="AL34" i="20"/>
  <c r="G34" i="20" s="1"/>
  <c r="AL32" i="20"/>
  <c r="G32" i="20" s="1"/>
  <c r="AL30" i="20"/>
  <c r="G30" i="20" s="1"/>
  <c r="AL28" i="20"/>
  <c r="G28" i="20" s="1"/>
  <c r="G30" i="19" s="1"/>
  <c r="AL26" i="20"/>
  <c r="G26" i="20" s="1"/>
  <c r="G28" i="19" s="1"/>
  <c r="AL24" i="20"/>
  <c r="G24" i="20" s="1"/>
  <c r="AL22" i="20"/>
  <c r="G22" i="20" s="1"/>
  <c r="AL20" i="20"/>
  <c r="G20" i="20" s="1"/>
  <c r="AL18" i="20"/>
  <c r="G18" i="20" s="1"/>
  <c r="AL16" i="20"/>
  <c r="G16" i="20" s="1"/>
  <c r="AL14" i="20"/>
  <c r="G14" i="20" s="1"/>
  <c r="AL12" i="20"/>
  <c r="G12" i="20" s="1"/>
  <c r="AL10" i="20"/>
  <c r="G10" i="20" s="1"/>
  <c r="AL8" i="20"/>
  <c r="G8" i="20" s="1"/>
  <c r="AL6" i="20"/>
  <c r="G6" i="20" s="1"/>
  <c r="D6" i="20"/>
  <c r="E6" i="20" s="1"/>
  <c r="V7" i="12"/>
  <c r="V6" i="12"/>
  <c r="V7" i="11"/>
  <c r="V6" i="11"/>
  <c r="V6" i="9"/>
  <c r="R7" i="20"/>
  <c r="F7" i="20" s="1"/>
  <c r="R8" i="20"/>
  <c r="F8" i="20" s="1"/>
  <c r="R12" i="20"/>
  <c r="F12" i="20" s="1"/>
  <c r="R16" i="20"/>
  <c r="F16" i="20" s="1"/>
  <c r="R20" i="20"/>
  <c r="F20" i="20" s="1"/>
  <c r="R9" i="20"/>
  <c r="F9" i="20" s="1"/>
  <c r="R13" i="20"/>
  <c r="F13" i="20" s="1"/>
  <c r="R17" i="20"/>
  <c r="F17" i="20" s="1"/>
  <c r="R21" i="20"/>
  <c r="F21" i="20" s="1"/>
  <c r="R25" i="20"/>
  <c r="F25" i="20" s="1"/>
  <c r="F27" i="19" s="1"/>
  <c r="R31" i="20"/>
  <c r="F31" i="20" s="1"/>
  <c r="R35" i="20"/>
  <c r="F35" i="20" s="1"/>
  <c r="R26" i="20"/>
  <c r="F26" i="20" s="1"/>
  <c r="F28" i="19" s="1"/>
  <c r="R32" i="20"/>
  <c r="F32" i="20" s="1"/>
  <c r="R36" i="20"/>
  <c r="F36" i="20" s="1"/>
  <c r="R40" i="20"/>
  <c r="F40" i="20" s="1"/>
  <c r="R37" i="20"/>
  <c r="F37" i="20" s="1"/>
  <c r="R41" i="20"/>
  <c r="F41" i="20" s="1"/>
  <c r="R46" i="20"/>
  <c r="F46" i="20" s="1"/>
  <c r="F50" i="19" s="1"/>
  <c r="R49" i="20"/>
  <c r="F49" i="20" s="1"/>
  <c r="F53" i="19" s="1"/>
  <c r="R45" i="20"/>
  <c r="F45" i="20" s="1"/>
  <c r="R6" i="20"/>
  <c r="F6" i="20" s="1"/>
  <c r="R10" i="20"/>
  <c r="F10" i="20" s="1"/>
  <c r="R14" i="20"/>
  <c r="F14" i="20" s="1"/>
  <c r="R18" i="20"/>
  <c r="F18" i="20" s="1"/>
  <c r="R22" i="20"/>
  <c r="F22" i="20" s="1"/>
  <c r="R11" i="20"/>
  <c r="F11" i="20" s="1"/>
  <c r="R15" i="20"/>
  <c r="F15" i="20" s="1"/>
  <c r="R19" i="20"/>
  <c r="F19" i="20" s="1"/>
  <c r="R23" i="20"/>
  <c r="F23" i="20" s="1"/>
  <c r="R27" i="20"/>
  <c r="F27" i="20" s="1"/>
  <c r="F29" i="19" s="1"/>
  <c r="R29" i="20"/>
  <c r="F29" i="20" s="1"/>
  <c r="R33" i="20"/>
  <c r="F33" i="20" s="1"/>
  <c r="R24" i="20"/>
  <c r="F24" i="20" s="1"/>
  <c r="R28" i="20"/>
  <c r="F28" i="20" s="1"/>
  <c r="F30" i="19" s="1"/>
  <c r="R30" i="20"/>
  <c r="F30" i="20" s="1"/>
  <c r="R34" i="20"/>
  <c r="F34" i="20" s="1"/>
  <c r="R38" i="20"/>
  <c r="F38" i="20" s="1"/>
  <c r="R42" i="20"/>
  <c r="F42" i="20" s="1"/>
  <c r="R39" i="20"/>
  <c r="F39" i="20" s="1"/>
  <c r="R44" i="20"/>
  <c r="F44" i="20" s="1"/>
  <c r="R48" i="20"/>
  <c r="F48" i="20" s="1"/>
  <c r="R51" i="20"/>
  <c r="F51" i="20" s="1"/>
  <c r="R47" i="20"/>
  <c r="F47" i="20" s="1"/>
  <c r="R50" i="20"/>
  <c r="F50" i="20" s="1"/>
  <c r="E22" i="19" l="1"/>
  <c r="E16" i="19"/>
  <c r="E17" i="19"/>
  <c r="E41" i="19"/>
  <c r="E40" i="19"/>
  <c r="E49" i="19"/>
  <c r="E37" i="19"/>
  <c r="E20" i="19"/>
  <c r="E21" i="19"/>
  <c r="E9" i="19"/>
  <c r="E14" i="19"/>
  <c r="E46" i="19"/>
  <c r="E36" i="19"/>
  <c r="E8" i="19"/>
  <c r="E15" i="19"/>
  <c r="E12" i="19"/>
  <c r="E13" i="19"/>
  <c r="E23" i="19"/>
  <c r="E26" i="19"/>
  <c r="E54" i="19"/>
  <c r="E55" i="19"/>
  <c r="E44" i="19"/>
  <c r="E39" i="19"/>
  <c r="E35" i="19"/>
  <c r="E48" i="19"/>
  <c r="E18" i="19"/>
  <c r="E19" i="19"/>
  <c r="E33" i="19"/>
  <c r="E51" i="19"/>
  <c r="E52" i="19"/>
  <c r="E42" i="19"/>
  <c r="E38" i="19"/>
  <c r="AL38" i="19"/>
  <c r="G38" i="19" s="1"/>
  <c r="AL34" i="19"/>
  <c r="G34" i="19" s="1"/>
  <c r="AL24" i="19"/>
  <c r="G24" i="19" s="1"/>
  <c r="AL20" i="19"/>
  <c r="G20" i="19" s="1"/>
  <c r="AL16" i="19"/>
  <c r="G16" i="19" s="1"/>
  <c r="AL12" i="19"/>
  <c r="G12" i="19" s="1"/>
  <c r="AL36" i="19"/>
  <c r="G36" i="19" s="1"/>
  <c r="AL26" i="19"/>
  <c r="G26" i="19" s="1"/>
  <c r="AL22" i="19"/>
  <c r="G22" i="19" s="1"/>
  <c r="AL18" i="19"/>
  <c r="G18" i="19" s="1"/>
  <c r="AL14" i="19"/>
  <c r="G14" i="19" s="1"/>
  <c r="AL10" i="19"/>
  <c r="G10" i="19" s="1"/>
  <c r="AL25" i="19"/>
  <c r="G25" i="19" s="1"/>
  <c r="AL21" i="19"/>
  <c r="G21" i="19" s="1"/>
  <c r="AL9" i="19"/>
  <c r="G9" i="19" s="1"/>
  <c r="R8" i="19"/>
  <c r="F8" i="19" s="1"/>
  <c r="AL48" i="19"/>
  <c r="G48" i="19" s="1"/>
  <c r="AL39" i="19"/>
  <c r="G39" i="19" s="1"/>
  <c r="AL35" i="19"/>
  <c r="G35" i="19" s="1"/>
  <c r="AL17" i="19"/>
  <c r="G17" i="19" s="1"/>
  <c r="AL13" i="19"/>
  <c r="G13" i="19" s="1"/>
  <c r="AL41" i="19"/>
  <c r="G41" i="19" s="1"/>
  <c r="AL8" i="19"/>
  <c r="G8" i="19" s="1"/>
  <c r="AL37" i="19"/>
  <c r="G37" i="19" s="1"/>
  <c r="AL33" i="19"/>
  <c r="G33" i="19" s="1"/>
  <c r="AL23" i="19"/>
  <c r="G23" i="19" s="1"/>
  <c r="AL19" i="19"/>
  <c r="G19" i="19" s="1"/>
  <c r="AL15" i="19"/>
  <c r="G15" i="19" s="1"/>
  <c r="AL11" i="19"/>
  <c r="G11" i="19" s="1"/>
  <c r="AL45" i="19"/>
  <c r="G45" i="19" s="1"/>
  <c r="AL43" i="19"/>
  <c r="G43" i="19" s="1"/>
  <c r="AL54" i="19"/>
  <c r="G54" i="19" s="1"/>
  <c r="AL51" i="19"/>
  <c r="G51" i="19" s="1"/>
  <c r="AL46" i="19"/>
  <c r="G46" i="19" s="1"/>
  <c r="AL44" i="19"/>
  <c r="G44" i="19" s="1"/>
  <c r="AL42" i="19"/>
  <c r="G42" i="19" s="1"/>
  <c r="AL40" i="19"/>
  <c r="G40" i="19" s="1"/>
  <c r="AL55" i="19"/>
  <c r="G55" i="19" s="1"/>
  <c r="AL52" i="19"/>
  <c r="G52" i="19" s="1"/>
  <c r="AL49" i="19"/>
  <c r="G49" i="19" s="1"/>
  <c r="E26" i="20"/>
  <c r="E28" i="19" s="1"/>
  <c r="D28" i="19"/>
  <c r="E27" i="20"/>
  <c r="E29" i="19" s="1"/>
  <c r="D29" i="19"/>
  <c r="E28" i="20"/>
  <c r="E30" i="19" s="1"/>
  <c r="D30" i="19"/>
  <c r="E50" i="19"/>
  <c r="D50" i="19"/>
  <c r="E53" i="19"/>
  <c r="D53" i="19"/>
  <c r="R55" i="19"/>
  <c r="F55" i="19" s="1"/>
  <c r="R51" i="19"/>
  <c r="F51" i="19" s="1"/>
  <c r="R46" i="19"/>
  <c r="F46" i="19" s="1"/>
  <c r="R44" i="19"/>
  <c r="F44" i="19" s="1"/>
  <c r="R42" i="19"/>
  <c r="F42" i="19" s="1"/>
  <c r="R40" i="19"/>
  <c r="F40" i="19" s="1"/>
  <c r="R38" i="19"/>
  <c r="F38" i="19" s="1"/>
  <c r="R36" i="19"/>
  <c r="F36" i="19" s="1"/>
  <c r="R34" i="19"/>
  <c r="F34" i="19" s="1"/>
  <c r="R26" i="19"/>
  <c r="F26" i="19" s="1"/>
  <c r="R24" i="19"/>
  <c r="F24" i="19" s="1"/>
  <c r="R22" i="19"/>
  <c r="F22" i="19" s="1"/>
  <c r="R20" i="19"/>
  <c r="F20" i="19" s="1"/>
  <c r="R18" i="19"/>
  <c r="F18" i="19" s="1"/>
  <c r="R16" i="19"/>
  <c r="F16" i="19" s="1"/>
  <c r="R14" i="19"/>
  <c r="F14" i="19" s="1"/>
  <c r="R12" i="19"/>
  <c r="F12" i="19" s="1"/>
  <c r="R10" i="19"/>
  <c r="F10" i="19" s="1"/>
  <c r="R48" i="19"/>
  <c r="F48" i="19" s="1"/>
  <c r="R54" i="19"/>
  <c r="F54" i="19" s="1"/>
  <c r="R49" i="19"/>
  <c r="F49" i="19" s="1"/>
  <c r="R45" i="19"/>
  <c r="F45" i="19" s="1"/>
  <c r="R43" i="19"/>
  <c r="F43" i="19" s="1"/>
  <c r="R41" i="19"/>
  <c r="F41" i="19" s="1"/>
  <c r="R39" i="19"/>
  <c r="F39" i="19" s="1"/>
  <c r="R37" i="19"/>
  <c r="F37" i="19" s="1"/>
  <c r="R35" i="19"/>
  <c r="F35" i="19" s="1"/>
  <c r="R33" i="19"/>
  <c r="F33" i="19" s="1"/>
  <c r="R25" i="19"/>
  <c r="F25" i="19" s="1"/>
  <c r="R23" i="19"/>
  <c r="F23" i="19" s="1"/>
  <c r="R21" i="19"/>
  <c r="F21" i="19" s="1"/>
  <c r="R19" i="19"/>
  <c r="F19" i="19" s="1"/>
  <c r="R17" i="19"/>
  <c r="F17" i="19" s="1"/>
  <c r="R15" i="19"/>
  <c r="F15" i="19" s="1"/>
  <c r="R13" i="19"/>
  <c r="F13" i="19" s="1"/>
  <c r="R11" i="19"/>
  <c r="F11" i="19" s="1"/>
  <c r="R9" i="19"/>
  <c r="F9" i="19" s="1"/>
  <c r="R52" i="19"/>
  <c r="F52" i="19" s="1"/>
  <c r="V31" i="46"/>
  <c r="V33" i="46"/>
  <c r="V35" i="46"/>
  <c r="V37" i="46"/>
  <c r="V39" i="46"/>
  <c r="V41" i="46"/>
  <c r="V43" i="46"/>
  <c r="V8" i="46"/>
  <c r="V10" i="46"/>
  <c r="V12" i="46"/>
  <c r="V14" i="46"/>
  <c r="V16" i="46"/>
  <c r="V18" i="46"/>
  <c r="V20" i="46"/>
  <c r="V22" i="46"/>
  <c r="V24" i="46"/>
  <c r="V26" i="46"/>
  <c r="V28" i="46"/>
  <c r="V7" i="46"/>
  <c r="V32" i="46"/>
  <c r="V34" i="46"/>
  <c r="V36" i="46"/>
  <c r="V38" i="46"/>
  <c r="V40" i="46"/>
  <c r="V42" i="46"/>
  <c r="V30" i="46"/>
  <c r="V9" i="46"/>
  <c r="V11" i="46"/>
  <c r="V13" i="46"/>
  <c r="V15" i="46"/>
  <c r="V17" i="46"/>
  <c r="V19" i="46"/>
  <c r="V21" i="46"/>
  <c r="V23" i="46"/>
  <c r="V25" i="46"/>
  <c r="V27" i="46"/>
  <c r="V29" i="46"/>
  <c r="V27" i="45"/>
  <c r="V29" i="45"/>
  <c r="V31" i="45"/>
  <c r="V33" i="45"/>
  <c r="V35" i="45"/>
  <c r="V37" i="45"/>
  <c r="V39" i="45"/>
  <c r="V41" i="45"/>
  <c r="V8" i="45"/>
  <c r="V10" i="45"/>
  <c r="V12" i="45"/>
  <c r="V14" i="45"/>
  <c r="V16" i="45"/>
  <c r="V18" i="45"/>
  <c r="V20" i="45"/>
  <c r="V22" i="45"/>
  <c r="V24" i="45"/>
  <c r="V28" i="45"/>
  <c r="V30" i="45"/>
  <c r="V32" i="45"/>
  <c r="V34" i="45"/>
  <c r="V36" i="45"/>
  <c r="V38" i="45"/>
  <c r="V40" i="45"/>
  <c r="V26" i="45"/>
  <c r="V9" i="45"/>
  <c r="V11" i="45"/>
  <c r="V13" i="45"/>
  <c r="V15" i="45"/>
  <c r="V17" i="45"/>
  <c r="V19" i="45"/>
  <c r="V21" i="45"/>
  <c r="V23" i="45"/>
  <c r="V25" i="45"/>
  <c r="V7" i="45"/>
  <c r="V46" i="44"/>
  <c r="V48" i="44"/>
  <c r="V50" i="44"/>
  <c r="V52" i="44"/>
  <c r="V31" i="44"/>
  <c r="V33" i="44"/>
  <c r="V35" i="44"/>
  <c r="V37" i="44"/>
  <c r="V39" i="44"/>
  <c r="V41" i="44"/>
  <c r="V43" i="44"/>
  <c r="V8" i="44"/>
  <c r="V10" i="44"/>
  <c r="V12" i="44"/>
  <c r="V14" i="44"/>
  <c r="V16" i="44"/>
  <c r="V18" i="44"/>
  <c r="V20" i="44"/>
  <c r="V22" i="44"/>
  <c r="V24" i="44"/>
  <c r="V26" i="44"/>
  <c r="V28" i="44"/>
  <c r="V7" i="44"/>
  <c r="V47" i="44"/>
  <c r="V49" i="44"/>
  <c r="V51" i="44"/>
  <c r="V45" i="44"/>
  <c r="V32" i="44"/>
  <c r="V34" i="44"/>
  <c r="V36" i="44"/>
  <c r="V38" i="44"/>
  <c r="V40" i="44"/>
  <c r="V42" i="44"/>
  <c r="V30" i="44"/>
  <c r="V9" i="44"/>
  <c r="V11" i="44"/>
  <c r="V13" i="44"/>
  <c r="V15" i="44"/>
  <c r="V17" i="44"/>
  <c r="V19" i="44"/>
  <c r="V21" i="44"/>
  <c r="V23" i="44"/>
  <c r="V25" i="44"/>
  <c r="V27" i="44"/>
  <c r="V29" i="44"/>
  <c r="V48" i="43"/>
  <c r="V46" i="43"/>
  <c r="V44" i="43"/>
  <c r="V27" i="43"/>
  <c r="V29" i="43"/>
  <c r="V31" i="43"/>
  <c r="V33" i="43"/>
  <c r="V35" i="43"/>
  <c r="V37" i="43"/>
  <c r="V39" i="43"/>
  <c r="V41" i="43"/>
  <c r="V8" i="43"/>
  <c r="V10" i="43"/>
  <c r="V12" i="43"/>
  <c r="V14" i="43"/>
  <c r="V16" i="43"/>
  <c r="V18" i="43"/>
  <c r="V20" i="43"/>
  <c r="V22" i="43"/>
  <c r="V24" i="43"/>
  <c r="V7" i="43"/>
  <c r="V47" i="43"/>
  <c r="V45" i="43"/>
  <c r="V43" i="43"/>
  <c r="V28" i="43"/>
  <c r="V30" i="43"/>
  <c r="V32" i="43"/>
  <c r="V34" i="43"/>
  <c r="V36" i="43"/>
  <c r="V38" i="43"/>
  <c r="V40" i="43"/>
  <c r="V26" i="43"/>
  <c r="V9" i="43"/>
  <c r="V11" i="43"/>
  <c r="V13" i="43"/>
  <c r="V15" i="43"/>
  <c r="V17" i="43"/>
  <c r="V19" i="43"/>
  <c r="V21" i="43"/>
  <c r="V23" i="43"/>
  <c r="V25" i="43"/>
</calcChain>
</file>

<file path=xl/comments1.xml><?xml version="1.0" encoding="utf-8"?>
<comments xmlns="http://schemas.openxmlformats.org/spreadsheetml/2006/main">
  <authors>
    <author>CIO</author>
  </authors>
  <commentList>
    <comment ref="G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 stadija</t>
        </r>
      </text>
    </comment>
    <comment ref="H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 stadija</t>
        </r>
      </text>
    </comment>
    <comment ref="I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III stadija</t>
        </r>
      </text>
    </comment>
    <comment ref="J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IV stadija</t>
        </r>
      </text>
    </comment>
    <comment ref="K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Nenurodyta stadija</t>
        </r>
      </text>
    </comment>
    <comment ref="BT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 stadija</t>
        </r>
      </text>
    </comment>
    <comment ref="BU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 stadija</t>
        </r>
      </text>
    </comment>
    <comment ref="BV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III stadija</t>
        </r>
      </text>
    </comment>
    <comment ref="BW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IV stadija</t>
        </r>
      </text>
    </comment>
    <comment ref="BX2" authorId="0" shapeId="0">
      <text>
        <r>
          <rPr>
            <b/>
            <sz val="8"/>
            <color indexed="81"/>
            <rFont val="Tahoma"/>
            <family val="2"/>
            <charset val="186"/>
          </rPr>
          <t>CIO:</t>
        </r>
        <r>
          <rPr>
            <sz val="8"/>
            <color indexed="81"/>
            <rFont val="Tahoma"/>
            <family val="2"/>
            <charset val="186"/>
          </rPr>
          <t xml:space="preserve">
Nenurodyta stadija</t>
        </r>
      </text>
    </comment>
  </commentList>
</comments>
</file>

<file path=xl/sharedStrings.xml><?xml version="1.0" encoding="utf-8"?>
<sst xmlns="http://schemas.openxmlformats.org/spreadsheetml/2006/main" count="2349" uniqueCount="640">
  <si>
    <t>Kodas</t>
  </si>
  <si>
    <t>Liga</t>
  </si>
  <si>
    <t>Tlk</t>
  </si>
  <si>
    <t>Vyrai - viso</t>
  </si>
  <si>
    <t>F90</t>
  </si>
  <si>
    <t>ML</t>
  </si>
  <si>
    <t>I</t>
  </si>
  <si>
    <t>II</t>
  </si>
  <si>
    <t>III</t>
  </si>
  <si>
    <t>IV</t>
  </si>
  <si>
    <t>Nėra</t>
  </si>
  <si>
    <t>5-9</t>
  </si>
  <si>
    <t>10-14</t>
  </si>
  <si>
    <t xml:space="preserve">0-4 </t>
  </si>
  <si>
    <t>15-19</t>
  </si>
  <si>
    <t>20-24</t>
  </si>
  <si>
    <t>25-29</t>
  </si>
  <si>
    <t>35-39</t>
  </si>
  <si>
    <t>40-44</t>
  </si>
  <si>
    <t>45-49</t>
  </si>
  <si>
    <t>50-54</t>
  </si>
  <si>
    <t>55-59</t>
  </si>
  <si>
    <t>80-84</t>
  </si>
  <si>
    <t>85+</t>
  </si>
  <si>
    <t>Histo</t>
  </si>
  <si>
    <t>Cito</t>
  </si>
  <si>
    <t>Kiti</t>
  </si>
  <si>
    <t>Isg10</t>
  </si>
  <si>
    <t>Isg01</t>
  </si>
  <si>
    <t>Isg05</t>
  </si>
  <si>
    <t>IsgViso</t>
  </si>
  <si>
    <t>Sant. išg. vyrams</t>
  </si>
  <si>
    <t>Rel05</t>
  </si>
  <si>
    <t>Rel01</t>
  </si>
  <si>
    <t>Iš viso onkologinių susirgimų</t>
  </si>
  <si>
    <t>Piktybiniai navikai</t>
  </si>
  <si>
    <t>C00-C96</t>
  </si>
  <si>
    <t xml:space="preserve">  lūpos</t>
  </si>
  <si>
    <t>C00</t>
  </si>
  <si>
    <t xml:space="preserve">  burnos ertmės ir ryklės</t>
  </si>
  <si>
    <t>C01-C14</t>
  </si>
  <si>
    <t xml:space="preserve">  stemplės</t>
  </si>
  <si>
    <t>C15</t>
  </si>
  <si>
    <t xml:space="preserve">  skrandžio</t>
  </si>
  <si>
    <t>C16</t>
  </si>
  <si>
    <t xml:space="preserve">  gaubtinės žarnos</t>
  </si>
  <si>
    <t>C18</t>
  </si>
  <si>
    <t xml:space="preserve">  tiesiosios žarnos, išangės</t>
  </si>
  <si>
    <t>C19-C21</t>
  </si>
  <si>
    <t xml:space="preserve">  kepenų</t>
  </si>
  <si>
    <t>C22</t>
  </si>
  <si>
    <t xml:space="preserve">  tulžies pūslės, ekstrahepatinių takų</t>
  </si>
  <si>
    <t>C23, C24</t>
  </si>
  <si>
    <t xml:space="preserve">  kasos</t>
  </si>
  <si>
    <t>C25</t>
  </si>
  <si>
    <t xml:space="preserve">  kitų virškinimo sistemos organų</t>
  </si>
  <si>
    <t>C17, C26, C48</t>
  </si>
  <si>
    <t xml:space="preserve">  nosies ertmės, vid.ausies ir ančių</t>
  </si>
  <si>
    <t>C30, C31</t>
  </si>
  <si>
    <t xml:space="preserve">  gerklų</t>
  </si>
  <si>
    <t>C32</t>
  </si>
  <si>
    <t xml:space="preserve">  plaučių, trachėjos, bronchų</t>
  </si>
  <si>
    <t>C33, C34</t>
  </si>
  <si>
    <t xml:space="preserve">  kitų kvėpavimo sistemos organų</t>
  </si>
  <si>
    <t>C37-C39</t>
  </si>
  <si>
    <t xml:space="preserve">  kaulų ir jungiamojo audinio</t>
  </si>
  <si>
    <t>C40-C41, C45-C47, C49</t>
  </si>
  <si>
    <t xml:space="preserve">  odos melanoma</t>
  </si>
  <si>
    <t>C43</t>
  </si>
  <si>
    <t xml:space="preserve">  kiti odos piktybiniai navikai</t>
  </si>
  <si>
    <t>C44</t>
  </si>
  <si>
    <t xml:space="preserve">  krūties</t>
  </si>
  <si>
    <t>C50</t>
  </si>
  <si>
    <t xml:space="preserve">  gimdos kaklelio</t>
  </si>
  <si>
    <t>C53</t>
  </si>
  <si>
    <t xml:space="preserve">  gimdos kūno</t>
  </si>
  <si>
    <t>C54, C55</t>
  </si>
  <si>
    <t xml:space="preserve">  kiaušidžių</t>
  </si>
  <si>
    <t>C56</t>
  </si>
  <si>
    <t xml:space="preserve">  vulvos</t>
  </si>
  <si>
    <t>C51</t>
  </si>
  <si>
    <t xml:space="preserve">  priešinės liaukos</t>
  </si>
  <si>
    <t>C61</t>
  </si>
  <si>
    <t xml:space="preserve">  sėklidžių</t>
  </si>
  <si>
    <t>C62</t>
  </si>
  <si>
    <t xml:space="preserve">  kitų lyties organų</t>
  </si>
  <si>
    <t>C52, C57-C58, C60, C63</t>
  </si>
  <si>
    <t xml:space="preserve">  inkstų</t>
  </si>
  <si>
    <t>C64</t>
  </si>
  <si>
    <t xml:space="preserve">  šlapimo pūslės</t>
  </si>
  <si>
    <t>C67</t>
  </si>
  <si>
    <t xml:space="preserve">  kitų šlapimą išskiriančių organų</t>
  </si>
  <si>
    <t>C65, C66, C68</t>
  </si>
  <si>
    <t xml:space="preserve">  akių</t>
  </si>
  <si>
    <t>C69</t>
  </si>
  <si>
    <t xml:space="preserve">  smegenų</t>
  </si>
  <si>
    <t>C70-C72</t>
  </si>
  <si>
    <t xml:space="preserve">  skydliaukės</t>
  </si>
  <si>
    <t>C73</t>
  </si>
  <si>
    <t xml:space="preserve">  kitų endokrininių liaukų</t>
  </si>
  <si>
    <t>C74-C75</t>
  </si>
  <si>
    <t xml:space="preserve">  nepatikslintos lokalizacijos</t>
  </si>
  <si>
    <t>C76-C80</t>
  </si>
  <si>
    <t xml:space="preserve">  Hodžkino limfomos</t>
  </si>
  <si>
    <t>C81</t>
  </si>
  <si>
    <t xml:space="preserve">  ne Hodžkino limfomos</t>
  </si>
  <si>
    <t>C82-C85</t>
  </si>
  <si>
    <t xml:space="preserve">  mielominės ligos</t>
  </si>
  <si>
    <t>C90</t>
  </si>
  <si>
    <t xml:space="preserve">  leukemijos</t>
  </si>
  <si>
    <t>C91-C95</t>
  </si>
  <si>
    <t xml:space="preserve">  kiti limfinio, kraujodaros audinių</t>
  </si>
  <si>
    <t>C88, C96</t>
  </si>
  <si>
    <t xml:space="preserve">  melanoma in situ</t>
  </si>
  <si>
    <t>D03</t>
  </si>
  <si>
    <t>D05</t>
  </si>
  <si>
    <t>D06</t>
  </si>
  <si>
    <t>D09.0</t>
  </si>
  <si>
    <t>D32, D33</t>
  </si>
  <si>
    <t>D39.1</t>
  </si>
  <si>
    <t>D42, D43</t>
  </si>
  <si>
    <t xml:space="preserve">  limfinio ir kraujodaros audinių</t>
  </si>
  <si>
    <t>D45-D47</t>
  </si>
  <si>
    <t>Sant. išg. moterims</t>
  </si>
  <si>
    <t>Moterys - viso</t>
  </si>
  <si>
    <t>01 - Vyrai - stadijos</t>
  </si>
  <si>
    <t>02 -Vyrai - patvirtinimas</t>
  </si>
  <si>
    <t>04 - Vyrai - mirtingumas pagal amžiaus grupes</t>
  </si>
  <si>
    <t>05 - Vyrų ligotumas nurodytai datai</t>
  </si>
  <si>
    <t>06 - Moterys - stadijos</t>
  </si>
  <si>
    <t>07 - Moterys - patvirtinimas</t>
  </si>
  <si>
    <t>08 - Moterys - sergamumas pagal amžiaus grupes</t>
  </si>
  <si>
    <t>09 - Moterys - mirtingumas pagal amžiaus grupes</t>
  </si>
  <si>
    <t>10 - Moterys - ligotumas nurodytai datai</t>
  </si>
  <si>
    <t>Vyr_0</t>
  </si>
  <si>
    <t>Vyr_1</t>
  </si>
  <si>
    <t>Vyr_2</t>
  </si>
  <si>
    <t>Vyr_3</t>
  </si>
  <si>
    <t>Vyr_4</t>
  </si>
  <si>
    <t>Vyr_Nz</t>
  </si>
  <si>
    <t>v00-04</t>
  </si>
  <si>
    <t>v05-09</t>
  </si>
  <si>
    <t>v10-14</t>
  </si>
  <si>
    <t>v15-19</t>
  </si>
  <si>
    <t>v20-24</t>
  </si>
  <si>
    <t>v25-29</t>
  </si>
  <si>
    <t>v30-34</t>
  </si>
  <si>
    <t>v35-39</t>
  </si>
  <si>
    <t>v40-44</t>
  </si>
  <si>
    <t>v45-49</t>
  </si>
  <si>
    <t>v50-54</t>
  </si>
  <si>
    <t>v55-59</t>
  </si>
  <si>
    <t>v60-64</t>
  </si>
  <si>
    <t>v65-69</t>
  </si>
  <si>
    <t>v70-74</t>
  </si>
  <si>
    <t>v75-79</t>
  </si>
  <si>
    <t>v80-84</t>
  </si>
  <si>
    <t>v85+</t>
  </si>
  <si>
    <t>30-34</t>
  </si>
  <si>
    <t>60-64</t>
  </si>
  <si>
    <t>65-69</t>
  </si>
  <si>
    <t>70-74</t>
  </si>
  <si>
    <t>75-79</t>
  </si>
  <si>
    <t>N/D</t>
  </si>
  <si>
    <t>PatvHisto</t>
  </si>
  <si>
    <t>PatvCito</t>
  </si>
  <si>
    <t>PatvKt</t>
  </si>
  <si>
    <t>PatvMl</t>
  </si>
  <si>
    <t>PatvNz</t>
  </si>
  <si>
    <t>Vyr_1m</t>
  </si>
  <si>
    <t>Vyr_5m</t>
  </si>
  <si>
    <t>Vyr_10m</t>
  </si>
  <si>
    <t>Vyr_Viso</t>
  </si>
  <si>
    <t>Mot_0</t>
  </si>
  <si>
    <t>Mot_1</t>
  </si>
  <si>
    <t>Mot_2</t>
  </si>
  <si>
    <t>Mot_3</t>
  </si>
  <si>
    <t>Mot_4</t>
  </si>
  <si>
    <t>Mot_Nz</t>
  </si>
  <si>
    <t>m00-04</t>
  </si>
  <si>
    <t>m05-09</t>
  </si>
  <si>
    <t>m10-14</t>
  </si>
  <si>
    <t>m15-19</t>
  </si>
  <si>
    <t>m20-24</t>
  </si>
  <si>
    <t>m25-29</t>
  </si>
  <si>
    <t>m30-34</t>
  </si>
  <si>
    <t>m35-39</t>
  </si>
  <si>
    <t>m40-44</t>
  </si>
  <si>
    <t>m45-49</t>
  </si>
  <si>
    <t>m50-54</t>
  </si>
  <si>
    <t>m55-59</t>
  </si>
  <si>
    <t>m60-64</t>
  </si>
  <si>
    <t>m65-69</t>
  </si>
  <si>
    <t>m70-74</t>
  </si>
  <si>
    <t>m75-79</t>
  </si>
  <si>
    <t>m80-84</t>
  </si>
  <si>
    <t>m85+</t>
  </si>
  <si>
    <t>Mot_1m</t>
  </si>
  <si>
    <t>Mot_5m</t>
  </si>
  <si>
    <t>Mot_10m</t>
  </si>
  <si>
    <t>Mot_Viso</t>
  </si>
  <si>
    <t>C00-C96, D03, D05, D06, D09.0, D32-D33, D39.1, D42-D43, D45-D47</t>
  </si>
  <si>
    <t xml:space="preserve">03 -Vyrai - sergamumas pagal amžiaus grupes 5m. </t>
  </si>
  <si>
    <t xml:space="preserve">Vyrai - sergamumas pagal amžiaus grupes 15m. </t>
  </si>
  <si>
    <t xml:space="preserve">Moterys - sergamumas pagal amžiaus grupes 15m. </t>
  </si>
  <si>
    <t>0-14</t>
  </si>
  <si>
    <t>15-29</t>
  </si>
  <si>
    <t>30-54</t>
  </si>
  <si>
    <t>55-74</t>
  </si>
  <si>
    <t>75+</t>
  </si>
  <si>
    <t>Iš Viso:</t>
  </si>
  <si>
    <t>Burnos ertmės ir ryklės</t>
  </si>
  <si>
    <t>Tiesiosios žarnos, išangės</t>
  </si>
  <si>
    <t>Inkstų</t>
  </si>
  <si>
    <t>Gaubtinės žarnos</t>
  </si>
  <si>
    <t>Skrandžio</t>
  </si>
  <si>
    <t>Kiti odos piktybiniai navikai</t>
  </si>
  <si>
    <t>Plaučių, trachėjos, bronchų</t>
  </si>
  <si>
    <t>Priešinės liaukos</t>
  </si>
  <si>
    <t>Kasos</t>
  </si>
  <si>
    <t>Šlapimo pūslės</t>
  </si>
  <si>
    <t>Sėklidžių</t>
  </si>
  <si>
    <t>Skydliaukės</t>
  </si>
  <si>
    <t>Hodžkino limfomos</t>
  </si>
  <si>
    <t>Kitų virškinimo sistemos organų</t>
  </si>
  <si>
    <t>Smegenų</t>
  </si>
  <si>
    <t>Ne Hodžkino limfomos</t>
  </si>
  <si>
    <t>Leukemijos</t>
  </si>
  <si>
    <t>Kaulų ir jungiamojo audinio</t>
  </si>
  <si>
    <t>Odos melanoma</t>
  </si>
  <si>
    <t>Gerklų</t>
  </si>
  <si>
    <t>Kiaušidžių</t>
  </si>
  <si>
    <t>Gimdos kaklelio</t>
  </si>
  <si>
    <t>Gimdos kūno</t>
  </si>
  <si>
    <t>Krūties</t>
  </si>
  <si>
    <t>Akių</t>
  </si>
  <si>
    <t>Kitų endokrininių liaukų</t>
  </si>
  <si>
    <t>Nepatikslintos lokalizacijos</t>
  </si>
  <si>
    <t>I stadija</t>
  </si>
  <si>
    <t>II stadija</t>
  </si>
  <si>
    <t>III stadija</t>
  </si>
  <si>
    <t>IV stadija</t>
  </si>
  <si>
    <t>Nenurodyta</t>
  </si>
  <si>
    <t>Lokalizacija</t>
  </si>
  <si>
    <t>TLK-10 kodas</t>
  </si>
  <si>
    <t>atv.</t>
  </si>
  <si>
    <t>%</t>
  </si>
  <si>
    <t>Vyrai</t>
  </si>
  <si>
    <t>Iš viso pagal amžių</t>
  </si>
  <si>
    <t>0–4</t>
  </si>
  <si>
    <t>5–9</t>
  </si>
  <si>
    <t>10–14</t>
  </si>
  <si>
    <t>15–19</t>
  </si>
  <si>
    <t>20–24</t>
  </si>
  <si>
    <t>25–29</t>
  </si>
  <si>
    <t>30–34</t>
  </si>
  <si>
    <t>35–39</t>
  </si>
  <si>
    <t>40–44</t>
  </si>
  <si>
    <t>45–49</t>
  </si>
  <si>
    <t>50–54</t>
  </si>
  <si>
    <t>55–59</t>
  </si>
  <si>
    <t>60–64</t>
  </si>
  <si>
    <t>65–69</t>
  </si>
  <si>
    <t>70–74</t>
  </si>
  <si>
    <t>75–79</t>
  </si>
  <si>
    <t>80–84</t>
  </si>
  <si>
    <t>Moterys</t>
  </si>
  <si>
    <t xml:space="preserve">  Nervų sistemos gerybiniai navikai</t>
  </si>
  <si>
    <t>Atvejai</t>
  </si>
  <si>
    <t>pop78m</t>
  </si>
  <si>
    <t>pop79m</t>
  </si>
  <si>
    <t>pop80m</t>
  </si>
  <si>
    <t>pop81m</t>
  </si>
  <si>
    <t>pop82m</t>
  </si>
  <si>
    <t>pop83m</t>
  </si>
  <si>
    <t>pop84m</t>
  </si>
  <si>
    <t>pop85m</t>
  </si>
  <si>
    <t>pop86m</t>
  </si>
  <si>
    <t>pop87m</t>
  </si>
  <si>
    <t>pop88m</t>
  </si>
  <si>
    <t>pop89m</t>
  </si>
  <si>
    <t>pop90m</t>
  </si>
  <si>
    <t>pop91m</t>
  </si>
  <si>
    <t>pop92m</t>
  </si>
  <si>
    <t>pop93m</t>
  </si>
  <si>
    <t>pop94m</t>
  </si>
  <si>
    <t>pop95m</t>
  </si>
  <si>
    <t>pop96m</t>
  </si>
  <si>
    <t>pop97m</t>
  </si>
  <si>
    <t>pop98m</t>
  </si>
  <si>
    <t>pop99m</t>
  </si>
  <si>
    <t>pop00m</t>
  </si>
  <si>
    <t>pop01m</t>
  </si>
  <si>
    <t>pop02m</t>
  </si>
  <si>
    <t>pop03m</t>
  </si>
  <si>
    <t>pop04m</t>
  </si>
  <si>
    <t>pop05m</t>
  </si>
  <si>
    <t>pop06m</t>
  </si>
  <si>
    <t>pop07m</t>
  </si>
  <si>
    <t>pop08m</t>
  </si>
  <si>
    <t>pop09m</t>
  </si>
  <si>
    <t xml:space="preserve"> 0-4</t>
  </si>
  <si>
    <t xml:space="preserve"> 5-9</t>
  </si>
  <si>
    <t xml:space="preserve"> 10-14</t>
  </si>
  <si>
    <t xml:space="preserve"> 15-19</t>
  </si>
  <si>
    <t xml:space="preserve"> 20-24</t>
  </si>
  <si>
    <t xml:space="preserve"> 25-29</t>
  </si>
  <si>
    <t xml:space="preserve"> 30-34</t>
  </si>
  <si>
    <t xml:space="preserve"> 35-39</t>
  </si>
  <si>
    <t xml:space="preserve"> 40-44</t>
  </si>
  <si>
    <t xml:space="preserve"> 45-49</t>
  </si>
  <si>
    <t xml:space="preserve"> 50-54</t>
  </si>
  <si>
    <t xml:space="preserve"> 55-59</t>
  </si>
  <si>
    <t xml:space="preserve"> 60-64 </t>
  </si>
  <si>
    <t xml:space="preserve"> 70-74</t>
  </si>
  <si>
    <t xml:space="preserve"> 75-79</t>
  </si>
  <si>
    <t xml:space="preserve"> 80-84</t>
  </si>
  <si>
    <t xml:space="preserve"> 85+</t>
  </si>
  <si>
    <t>Total</t>
  </si>
  <si>
    <t>pop78f</t>
  </si>
  <si>
    <t>pop79f</t>
  </si>
  <si>
    <t>pop80f</t>
  </si>
  <si>
    <t>pop81f</t>
  </si>
  <si>
    <t>pop82f</t>
  </si>
  <si>
    <t>pop83f</t>
  </si>
  <si>
    <t>pop84f</t>
  </si>
  <si>
    <t>pop85f</t>
  </si>
  <si>
    <t>pop86f</t>
  </si>
  <si>
    <t>pop87f</t>
  </si>
  <si>
    <t>pop88f</t>
  </si>
  <si>
    <t>pop89f</t>
  </si>
  <si>
    <t>pop90f</t>
  </si>
  <si>
    <t>pop91f</t>
  </si>
  <si>
    <t>pop92f</t>
  </si>
  <si>
    <t>pop93f</t>
  </si>
  <si>
    <t>pop94f</t>
  </si>
  <si>
    <t>pop95f</t>
  </si>
  <si>
    <t>pop96f</t>
  </si>
  <si>
    <t>pop97f</t>
  </si>
  <si>
    <t>pop98f</t>
  </si>
  <si>
    <t>pop99f</t>
  </si>
  <si>
    <t>pop00f</t>
  </si>
  <si>
    <t>pop01f</t>
  </si>
  <si>
    <t>pop02f</t>
  </si>
  <si>
    <t>pop03f</t>
  </si>
  <si>
    <t>pop04f</t>
  </si>
  <si>
    <t>pop05f</t>
  </si>
  <si>
    <t>pop06f</t>
  </si>
  <si>
    <t>pop07f</t>
  </si>
  <si>
    <t>pop08f</t>
  </si>
  <si>
    <t>pop09f</t>
  </si>
  <si>
    <t>Lokalizacijos</t>
  </si>
  <si>
    <t>Amžiaus grupės</t>
  </si>
  <si>
    <t>atv/gyv*100000*st.pop (Pagal lokalizacijas)</t>
  </si>
  <si>
    <t>Suma</t>
  </si>
  <si>
    <t>Rodiklis</t>
  </si>
  <si>
    <t>Skaičiavimai</t>
  </si>
  <si>
    <t>metų =</t>
  </si>
  <si>
    <t>Gyventojų duomenys:</t>
  </si>
  <si>
    <t>Standartizuotas rodiklis</t>
  </si>
  <si>
    <t>pop10m</t>
  </si>
  <si>
    <t>pop11m</t>
  </si>
  <si>
    <t>pop12m</t>
  </si>
  <si>
    <t>pop13m</t>
  </si>
  <si>
    <t>pop14m</t>
  </si>
  <si>
    <t>pop15m</t>
  </si>
  <si>
    <t>pop16m</t>
  </si>
  <si>
    <t>pop17m</t>
  </si>
  <si>
    <t>pop18m</t>
  </si>
  <si>
    <t>pop19m</t>
  </si>
  <si>
    <t>pop20m</t>
  </si>
  <si>
    <t>pop21m</t>
  </si>
  <si>
    <t>pop22m</t>
  </si>
  <si>
    <t>pop23m</t>
  </si>
  <si>
    <t>pop24m</t>
  </si>
  <si>
    <t>pop25m</t>
  </si>
  <si>
    <t>pop26m</t>
  </si>
  <si>
    <t>pop27m</t>
  </si>
  <si>
    <t>pop28m</t>
  </si>
  <si>
    <t>pop29m</t>
  </si>
  <si>
    <t>pop30m</t>
  </si>
  <si>
    <t>pop10f</t>
  </si>
  <si>
    <t>pop11f</t>
  </si>
  <si>
    <t>pop12f</t>
  </si>
  <si>
    <t>pop13f</t>
  </si>
  <si>
    <t>pop14f</t>
  </si>
  <si>
    <t>pop15f</t>
  </si>
  <si>
    <t>pop16f</t>
  </si>
  <si>
    <t>pop17f</t>
  </si>
  <si>
    <t>pop18f</t>
  </si>
  <si>
    <t>pop19f</t>
  </si>
  <si>
    <t>pop20f</t>
  </si>
  <si>
    <t>pop21f</t>
  </si>
  <si>
    <t>pop22f</t>
  </si>
  <si>
    <t>pop23f</t>
  </si>
  <si>
    <t>pop24f</t>
  </si>
  <si>
    <t>pop25f</t>
  </si>
  <si>
    <t>pop26f</t>
  </si>
  <si>
    <t>pop27f</t>
  </si>
  <si>
    <t>pop28f</t>
  </si>
  <si>
    <t>pop29f</t>
  </si>
  <si>
    <t>pop30f</t>
  </si>
  <si>
    <t>Reikalingi Failai - "Data" ir "Populiacija"</t>
  </si>
  <si>
    <t>Reikalingi Failai - "Data"</t>
  </si>
  <si>
    <t>Reikalingi Failai - "Data" ir "Lent02v"</t>
  </si>
  <si>
    <t>Reikalingi Failai - "Data" ir "Lent02m"</t>
  </si>
  <si>
    <t>Metai</t>
  </si>
  <si>
    <t>Naudojami puslapiai: "Data", "Populiacija", "Lent02v", "Lent02m"</t>
  </si>
  <si>
    <t>Standartinė populiacija Europos</t>
  </si>
  <si>
    <t>Standartinė populiacija Pasaulio</t>
  </si>
  <si>
    <t>surv1_vyr</t>
  </si>
  <si>
    <t>surv5_vyr</t>
  </si>
  <si>
    <t>surv1_mot</t>
  </si>
  <si>
    <t>surv5_mot</t>
  </si>
  <si>
    <t>Skaičiavimai EASR</t>
  </si>
  <si>
    <t>Skaičiavimai WASR</t>
  </si>
  <si>
    <t>Gyventojų skaičius (vyrų)</t>
  </si>
  <si>
    <t>C60, C63</t>
  </si>
  <si>
    <t>C52, C57-C58</t>
  </si>
  <si>
    <t>Amžiaus grupė</t>
  </si>
  <si>
    <t>1-erių metų, %</t>
  </si>
  <si>
    <t>5-erių metų, %</t>
  </si>
  <si>
    <t>Mirtingumas</t>
  </si>
  <si>
    <t>Stemplės</t>
  </si>
  <si>
    <t xml:space="preserve">Vyrai - mirtingumas pagal amžiaus grupes 15m. </t>
  </si>
  <si>
    <t xml:space="preserve">Moterys - mirtingumas pagal amžiaus grupes 15m. </t>
  </si>
  <si>
    <t>Sergamumas</t>
  </si>
  <si>
    <t>EASR *</t>
  </si>
  <si>
    <t>WASR **</t>
  </si>
  <si>
    <t>Iš viso</t>
  </si>
  <si>
    <t>išgyveno   iš viso</t>
  </si>
  <si>
    <t xml:space="preserve"> Amžius</t>
  </si>
  <si>
    <t xml:space="preserve"> Moterys</t>
  </si>
  <si>
    <t xml:space="preserve"> 60-64</t>
  </si>
  <si>
    <t xml:space="preserve">  kiti nervų sistemos</t>
  </si>
  <si>
    <t xml:space="preserve">  krūties navikai in situ</t>
  </si>
  <si>
    <t xml:space="preserve">  gimdos kaklelio in situ</t>
  </si>
  <si>
    <t xml:space="preserve">  šlapimo pūslės in situ</t>
  </si>
  <si>
    <t>≥ 1 metai</t>
  </si>
  <si>
    <t>≥ 5 metai</t>
  </si>
  <si>
    <t>≥ 10 metų</t>
  </si>
  <si>
    <t>*</t>
  </si>
  <si>
    <t>atv</t>
  </si>
  <si>
    <t>Lūpos</t>
  </si>
  <si>
    <t>Kepenų</t>
  </si>
  <si>
    <t>Kitų kvėpavimo sistemos organų</t>
  </si>
  <si>
    <t>-</t>
  </si>
  <si>
    <t>Vidutinis gyventojų skaičius Lietuvoje</t>
  </si>
  <si>
    <t>2012 m.</t>
  </si>
  <si>
    <t>100,0*</t>
  </si>
  <si>
    <t>Gyventojų skaičius (moterų)</t>
  </si>
  <si>
    <t>Gyventojų skaičius (vyrų ir moterų)</t>
  </si>
  <si>
    <t>Vyrai ir moterys, 0-14 metų (12 atv.)</t>
  </si>
  <si>
    <t>Vyrai, visos amžiaus grupės (9569 atv.)</t>
  </si>
  <si>
    <t>Vyrai, 0-14 metų (43 atv.)</t>
  </si>
  <si>
    <t>Vyrai, 15-29 metų (61 atv.)</t>
  </si>
  <si>
    <t>Vyrai, 30-54 metų (1274 atv.)</t>
  </si>
  <si>
    <t>Vyrai, 55-74 metų (5713 atv.)</t>
  </si>
  <si>
    <t>Vyrai, 75 ir daugiau metų (2478 atv.)</t>
  </si>
  <si>
    <t>Moterys, visos amžiaus grupės (8277 atv.)</t>
  </si>
  <si>
    <t>Moterys, 0-14 metų (23 atv.)</t>
  </si>
  <si>
    <t>Kiti limfinio, kraujodaros audinių</t>
  </si>
  <si>
    <t>Moterys, 15-29 metų (131 atv.)</t>
  </si>
  <si>
    <t>Moterys, 30-54 metų (1698 atv.)</t>
  </si>
  <si>
    <t>Moterys, 55-74 metų (3683 atv.)</t>
  </si>
  <si>
    <t>Moterys, 75 ir daugiau metų (2742 atv.)</t>
  </si>
  <si>
    <t>Vyrai, visos amžiaus grupės (4519 atv.)</t>
  </si>
  <si>
    <t>Vyrai, 0-14 metų (7 atv.)</t>
  </si>
  <si>
    <t>Vyrai, 15-29 metų (14 atv.)</t>
  </si>
  <si>
    <t>Vyrai, 30-54 metų (480 atv.)</t>
  </si>
  <si>
    <t>Vyrai, 55-74 metų (2340 atv.)</t>
  </si>
  <si>
    <t>Vyrai, 75 ir daugiau metų (1678 atv.)</t>
  </si>
  <si>
    <t>Moterys, visos amžiaus grupės (3499 atv.)</t>
  </si>
  <si>
    <t>Moterys, 0-14 metų (5 atv.)</t>
  </si>
  <si>
    <t>Moterys, 15-29 metų (12 atv.)</t>
  </si>
  <si>
    <t>Mielominės ligos</t>
  </si>
  <si>
    <t>Moterys, 30-54 metų (402 atv.)</t>
  </si>
  <si>
    <t>Moterys, 55-74 metų (1428 atv.)</t>
  </si>
  <si>
    <t>Moterys, 75 ir daugiau metų (1652 atv.)</t>
  </si>
  <si>
    <t>Vyrai ir moterys, visos amžiaus grupės (17846 atv.)</t>
  </si>
  <si>
    <t>Vyrai ir moterys, 0-14 metų (66 atv.)</t>
  </si>
  <si>
    <t>Vyrai ir moterys, 15-29 metų (192 atv.)</t>
  </si>
  <si>
    <t>Vyrai ir moterys, 30-54 metų (2972 atv.)</t>
  </si>
  <si>
    <t>Vyrai ir moterys, 55-74 metų (9396 atv.)</t>
  </si>
  <si>
    <t>Vyrai ir moterys, 75 ir daugiau metų (5220 atv.)</t>
  </si>
  <si>
    <t>Vyrai ir moterys, visos amžiaus grupės (8018 atv.)</t>
  </si>
  <si>
    <t>Vyrai ir moterys, 15-29 metų (26 atv.)</t>
  </si>
  <si>
    <t>Vyrai ir moterys, 30-54 metų (882 atv.)</t>
  </si>
  <si>
    <t>Vyrai ir moterys, 55-74 metų (3768 atv.)</t>
  </si>
  <si>
    <t>Vyrai ir moterys, 75 ir daugiau metų (3330 atv.)</t>
  </si>
  <si>
    <t>46,6</t>
  </si>
  <si>
    <t>28,1</t>
  </si>
  <si>
    <t>65,5</t>
  </si>
  <si>
    <t>48,5</t>
  </si>
  <si>
    <t>71,7</t>
  </si>
  <si>
    <t>18,9</t>
  </si>
  <si>
    <t>4,5</t>
  </si>
  <si>
    <t>29,6</t>
  </si>
  <si>
    <t>12,5</t>
  </si>
  <si>
    <t>25,4</t>
  </si>
  <si>
    <t>8,4</t>
  </si>
  <si>
    <t>58,6</t>
  </si>
  <si>
    <t>27,7</t>
  </si>
  <si>
    <t>39,7</t>
  </si>
  <si>
    <t>16,9</t>
  </si>
  <si>
    <t>71,4</t>
  </si>
  <si>
    <t>77,4</t>
  </si>
  <si>
    <t>64,1</t>
  </si>
  <si>
    <t>95,1</t>
  </si>
  <si>
    <t>75,1</t>
  </si>
  <si>
    <t>91,6</t>
  </si>
  <si>
    <t>75,6</t>
  </si>
  <si>
    <t>84,3</t>
  </si>
  <si>
    <t>64,3</t>
  </si>
  <si>
    <t>89,4</t>
  </si>
  <si>
    <t>77,1</t>
  </si>
  <si>
    <t>39,5</t>
  </si>
  <si>
    <t>90,1</t>
  </si>
  <si>
    <t>80,9</t>
  </si>
  <si>
    <t>69,4</t>
  </si>
  <si>
    <t>49,6</t>
  </si>
  <si>
    <t>91,7</t>
  </si>
  <si>
    <t>43,3</t>
  </si>
  <si>
    <t>17,6</t>
  </si>
  <si>
    <t>97,6</t>
  </si>
  <si>
    <t>96,8</t>
  </si>
  <si>
    <t>22,5</t>
  </si>
  <si>
    <t>13,2</t>
  </si>
  <si>
    <t>72,2</t>
  </si>
  <si>
    <t>54,5</t>
  </si>
  <si>
    <t>59,3</t>
  </si>
  <si>
    <t>47,2</t>
  </si>
  <si>
    <t>50,0</t>
  </si>
  <si>
    <t>76,0</t>
  </si>
  <si>
    <t>44,0</t>
  </si>
  <si>
    <t>69,0</t>
  </si>
  <si>
    <t>* Į analizę įtraukta mažiau nei 50 atvejų</t>
  </si>
  <si>
    <t>42,6</t>
  </si>
  <si>
    <t>20,1</t>
  </si>
  <si>
    <t>17,8</t>
  </si>
  <si>
    <t>5,5</t>
  </si>
  <si>
    <t>38,6</t>
  </si>
  <si>
    <t>18,8</t>
  </si>
  <si>
    <t>66,4</t>
  </si>
  <si>
    <t>49,9</t>
  </si>
  <si>
    <t>69,9</t>
  </si>
  <si>
    <t>7,7</t>
  </si>
  <si>
    <t>21,9</t>
  </si>
  <si>
    <t>4,9</t>
  </si>
  <si>
    <t>66,7</t>
  </si>
  <si>
    <t>51,3</t>
  </si>
  <si>
    <t>28,5</t>
  </si>
  <si>
    <t>6,8</t>
  </si>
  <si>
    <t>85,6</t>
  </si>
  <si>
    <t>98,5</t>
  </si>
  <si>
    <t>69,3</t>
  </si>
  <si>
    <t>58,2</t>
  </si>
  <si>
    <t>69,5</t>
  </si>
  <si>
    <t>48,8</t>
  </si>
  <si>
    <t>39,6</t>
  </si>
  <si>
    <t>18,6</t>
  </si>
  <si>
    <t>12,3</t>
  </si>
  <si>
    <t>55,8</t>
  </si>
  <si>
    <t>54,2</t>
  </si>
  <si>
    <t>74,8</t>
  </si>
  <si>
    <t>42,4</t>
  </si>
  <si>
    <t>46,3</t>
  </si>
  <si>
    <t>50,2</t>
  </si>
  <si>
    <t>93,8*</t>
  </si>
  <si>
    <t>36,2*</t>
  </si>
  <si>
    <t>85,0*</t>
  </si>
  <si>
    <t>36,5*</t>
  </si>
  <si>
    <t>43,8*</t>
  </si>
  <si>
    <t>72,7*</t>
  </si>
  <si>
    <t>37,1*</t>
  </si>
  <si>
    <t>26,9*</t>
  </si>
  <si>
    <t>57,3*</t>
  </si>
  <si>
    <t>69,6*</t>
  </si>
  <si>
    <t>54,4*</t>
  </si>
  <si>
    <t>79,1*</t>
  </si>
  <si>
    <t>48,6*</t>
  </si>
  <si>
    <t>95,6*</t>
  </si>
  <si>
    <t>95,5*</t>
  </si>
  <si>
    <t>77,3*</t>
  </si>
  <si>
    <t>62,4*</t>
  </si>
  <si>
    <t>74,0*</t>
  </si>
  <si>
    <t>96,0*</t>
  </si>
  <si>
    <t>93,1*</t>
  </si>
  <si>
    <t>83,4*</t>
  </si>
  <si>
    <t>94,7*</t>
  </si>
  <si>
    <t>91,3*</t>
  </si>
  <si>
    <t>78,0*</t>
  </si>
  <si>
    <t>94,8*</t>
  </si>
  <si>
    <t>88,1*</t>
  </si>
  <si>
    <t>61,1*</t>
  </si>
  <si>
    <t>37,9*</t>
  </si>
  <si>
    <t>16,7*</t>
  </si>
  <si>
    <t>13,3*</t>
  </si>
  <si>
    <t>39,4*</t>
  </si>
  <si>
    <t>14,4*</t>
  </si>
  <si>
    <t>84,5*</t>
  </si>
  <si>
    <t>71,4*</t>
  </si>
  <si>
    <t>83,1*</t>
  </si>
  <si>
    <t>63,5*</t>
  </si>
  <si>
    <t>88,0*</t>
  </si>
  <si>
    <t>63,7*</t>
  </si>
  <si>
    <t>45,9*</t>
  </si>
  <si>
    <t>38,4*</t>
  </si>
  <si>
    <t>43,7*</t>
  </si>
  <si>
    <t>49,7*</t>
  </si>
  <si>
    <t>90,9*</t>
  </si>
  <si>
    <t>89,5*</t>
  </si>
  <si>
    <t>82,5*</t>
  </si>
  <si>
    <t>.</t>
  </si>
  <si>
    <t>Dažniausios piktybinių navikų lokalizacijos pagal amžių Lietuvoje 2014 metais</t>
  </si>
  <si>
    <t>Dažniausios piktybinių navikų lokalizacijos pagal amžių ir lytį Lietuvoje 2014 metais</t>
  </si>
  <si>
    <t>Diagnozuotų onkologinių susirgimų skaičius ir sergamumo rodikliai Lietuvoje 2014 metais. Vyrai ir moterys</t>
  </si>
  <si>
    <t>Diagnozuotų onkologinių susirgimų skaičius ir sergamumo rodikliai Lietuvoje 2014 metais. Vyrai</t>
  </si>
  <si>
    <t>Diagnozuotų onkologinių susirgimų skaičius ir sergamumo rodikliai Lietuvoje 2014 metais. Moterys</t>
  </si>
  <si>
    <t>Susirgimai piktybiniais navikais pagal diagnozuotos ligos stadijas (TNM sistema) 2014  m. Vyrai.</t>
  </si>
  <si>
    <t>Susirgimai piktybiniais navikais pagal diagnozuotos ligos stadijas (TNM sistema) 2014  m. Moterys.</t>
  </si>
  <si>
    <t>Susirgimų piktybiniais navikais pasiskirstymas pagal amžiaus grupes  2014 m. Vyrai</t>
  </si>
  <si>
    <t>Susirgimų piktybiniais navikais pasiskirstymas pagal amžiaus grupes  2014 m. Moterys.</t>
  </si>
  <si>
    <t>Sergamumo piktybiniais navikais rodiklis pagal amžių  2014 metais. Vyrai. (100 000 gyventojų)</t>
  </si>
  <si>
    <t>Sergamumo piktybiniais navikais rodiklis pagal amžių  2014 metais. Moterys. (100 000 gyventojų)</t>
  </si>
  <si>
    <t>Dažniausi piktybiniai navikai, sąlygoję mirtis nuo vėžio, pagal gyventojų amžiaus grupes Lietuvoje 2014 metais.</t>
  </si>
  <si>
    <t>Dažniausi piktybiniai navikai, sąlygoję mirtis nuo vėžio, pagal gyventojų amžiaus grupes ir lytį Lietuvoje 2014 metais.</t>
  </si>
  <si>
    <t>Mirčių nuo piktybinių navikų skaičius ir mirtingumo rodikliai Lietuvoje 2014 metais. Vyrai ir moterys</t>
  </si>
  <si>
    <t>Mirčių nuo piktybinių navikų skaičius ir mirtingumo rodikliai Lietuvoje 2014 metais. Vyrai</t>
  </si>
  <si>
    <t>Mirčių nuo piktybinių navikų skaičius ir mirtingumo rodikliai Lietuvoje 2014 metais. Moterys</t>
  </si>
  <si>
    <t>Mirčių nuo piktybinių navikų skaičius pagal amžiaus grupes 2014 metais. Vyrai</t>
  </si>
  <si>
    <t>Mirčių nuo piktybinių navikų skaičius pagal amžiaus grupes 2014 metais. Moterys</t>
  </si>
  <si>
    <t>Mirtingumo nuo piktybinių navikų rodikliai pagal amžiaus grupes 2014 metais. Vyrai</t>
  </si>
  <si>
    <t>Mirtingumo nuo piktybinių navikų rodikliai pagal amžiaus grupes 2014 metais. Moterys</t>
  </si>
  <si>
    <t>Gyvų asmenų skaičius 2014 m. gruodžio 31 d. praėjus tam tikram laikui nuo diagnozės nustatymo. Vyrai</t>
  </si>
  <si>
    <t>Gyvų asmenų skaičius 2014 m. gruodžio 31 d. praėjus tam tikram laikui nuo diagnozės nustatymo. Moterys</t>
  </si>
  <si>
    <t xml:space="preserve"> </t>
  </si>
  <si>
    <t>2009 m. susirgusiųjų piktybiniais navikais 1-erių ir 5-erių metų reliatyvus išgyvenamumas Lietuvoje. Vyrai</t>
  </si>
  <si>
    <t>2009 metų išgyvenamumo duomenys</t>
  </si>
  <si>
    <t>2009 m. susirgusiųjų piktybiniais navikais 1-erių ir 5-erių metų reliatyvus išgyvenamumas Lietuvoje. Moterys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</si>
</sst>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\ _L_t_-;\-* #,##0.00\ _L_t_-;_-* &quot;-&quot;??\ _L_t_-;_-@_-"/>
    <numFmt numFmtId="165" formatCode="_-* #,##0.0\ %;\-* #,##0.0\ %;_-* &quot;-&quot;;_-@_-"/>
    <numFmt numFmtId="166" formatCode="_-* ###0;\-* ###0;_-* &quot;-&quot;;_-@_-"/>
    <numFmt numFmtId="167" formatCode="_-* ###0.0;\-* ###0.0;_-* &quot;-&quot;;_-@_-"/>
    <numFmt numFmtId="168" formatCode="0.0"/>
    <numFmt numFmtId="169" formatCode="0.0;0.0;&quot;-&quot;;@"/>
  </numFmts>
  <fonts count="72">
    <font>
      <sz val="10"/>
      <name val="Arial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0"/>
      <name val="Arial"/>
      <family val="2"/>
      <charset val="186"/>
    </font>
    <font>
      <b/>
      <sz val="10"/>
      <name val="Arial"/>
      <family val="2"/>
      <charset val="186"/>
    </font>
    <font>
      <b/>
      <sz val="10"/>
      <color indexed="8"/>
      <name val="Arial"/>
      <family val="2"/>
      <charset val="186"/>
    </font>
    <font>
      <sz val="10"/>
      <color indexed="8"/>
      <name val="Arial"/>
      <family val="2"/>
      <charset val="186"/>
    </font>
    <font>
      <sz val="8"/>
      <name val="Arial"/>
      <family val="2"/>
      <charset val="186"/>
    </font>
    <font>
      <b/>
      <sz val="8"/>
      <color indexed="81"/>
      <name val="Tahoma"/>
      <family val="2"/>
      <charset val="186"/>
    </font>
    <font>
      <sz val="8"/>
      <color indexed="81"/>
      <name val="Tahoma"/>
      <family val="2"/>
      <charset val="186"/>
    </font>
    <font>
      <sz val="10"/>
      <name val="Arial"/>
      <family val="2"/>
      <charset val="186"/>
    </font>
    <font>
      <b/>
      <i/>
      <sz val="11"/>
      <name val="Times New Roman"/>
      <family val="1"/>
      <charset val="186"/>
    </font>
    <font>
      <sz val="12"/>
      <name val="TimesLT"/>
      <charset val="186"/>
    </font>
    <font>
      <sz val="10"/>
      <name val="Arial"/>
      <family val="2"/>
      <charset val="186"/>
    </font>
    <font>
      <b/>
      <i/>
      <sz val="8"/>
      <name val="Times New Roman"/>
      <family val="1"/>
      <charset val="186"/>
    </font>
    <font>
      <b/>
      <sz val="8"/>
      <name val="Arial"/>
      <family val="2"/>
      <charset val="186"/>
    </font>
    <font>
      <i/>
      <sz val="8"/>
      <name val="Times New Roman"/>
      <family val="1"/>
      <charset val="186"/>
    </font>
    <font>
      <sz val="8"/>
      <name val="Times New Roman"/>
      <family val="1"/>
      <charset val="186"/>
    </font>
    <font>
      <b/>
      <sz val="11"/>
      <color rgb="FFFF0000"/>
      <name val="Arial"/>
      <family val="2"/>
      <charset val="186"/>
    </font>
    <font>
      <b/>
      <sz val="11"/>
      <color rgb="FFC00000"/>
      <name val="Arial"/>
      <family val="2"/>
      <charset val="186"/>
    </font>
    <font>
      <b/>
      <sz val="11"/>
      <name val="Arial"/>
      <family val="2"/>
      <charset val="186"/>
    </font>
    <font>
      <sz val="11"/>
      <name val="Arial"/>
      <family val="2"/>
      <charset val="186"/>
    </font>
    <font>
      <b/>
      <sz val="11"/>
      <color rgb="FF000000"/>
      <name val="Arial"/>
      <family val="2"/>
      <charset val="186"/>
    </font>
    <font>
      <b/>
      <sz val="9"/>
      <name val="Arial"/>
      <family val="2"/>
      <charset val="186"/>
    </font>
    <font>
      <sz val="7"/>
      <name val="Verdana"/>
      <family val="2"/>
      <charset val="186"/>
    </font>
    <font>
      <b/>
      <i/>
      <sz val="9"/>
      <color rgb="FF000000"/>
      <name val="Arial"/>
      <family val="2"/>
      <charset val="186"/>
    </font>
    <font>
      <sz val="9"/>
      <color rgb="FF000000"/>
      <name val="Arial"/>
      <family val="2"/>
      <charset val="186"/>
    </font>
    <font>
      <b/>
      <sz val="9"/>
      <color rgb="FF000000"/>
      <name val="Arial"/>
      <family val="2"/>
      <charset val="186"/>
    </font>
    <font>
      <b/>
      <sz val="8.5"/>
      <name val="Verdana"/>
      <family val="2"/>
      <charset val="186"/>
    </font>
    <font>
      <sz val="8.5"/>
      <name val="Verdana"/>
      <family val="2"/>
      <charset val="186"/>
    </font>
    <font>
      <b/>
      <sz val="8"/>
      <name val="Verdana"/>
      <family val="2"/>
      <charset val="186"/>
    </font>
    <font>
      <sz val="10"/>
      <color indexed="8"/>
      <name val="Arial"/>
      <family val="2"/>
      <charset val="186"/>
    </font>
    <font>
      <sz val="11"/>
      <color rgb="FF000000"/>
      <name val="Calibri"/>
      <family val="2"/>
      <charset val="186"/>
    </font>
    <font>
      <b/>
      <sz val="12"/>
      <name val="TimesLT"/>
      <charset val="186"/>
    </font>
    <font>
      <sz val="8"/>
      <color theme="4" tint="0.79998168889431442"/>
      <name val="Arial"/>
      <family val="2"/>
      <charset val="186"/>
    </font>
    <font>
      <b/>
      <sz val="10"/>
      <color theme="4" tint="0.79998168889431442"/>
      <name val="Arial"/>
      <family val="2"/>
      <charset val="186"/>
    </font>
    <font>
      <sz val="10"/>
      <color theme="0"/>
      <name val="Arial"/>
      <family val="2"/>
      <charset val="186"/>
    </font>
    <font>
      <b/>
      <sz val="16"/>
      <color theme="0"/>
      <name val="Arial"/>
      <family val="2"/>
      <charset val="186"/>
    </font>
    <font>
      <b/>
      <sz val="10"/>
      <color theme="0"/>
      <name val="Arial"/>
      <family val="2"/>
      <charset val="186"/>
    </font>
    <font>
      <b/>
      <sz val="11"/>
      <color theme="0"/>
      <name val="Arial"/>
      <family val="2"/>
      <charset val="186"/>
    </font>
    <font>
      <sz val="8"/>
      <color theme="0"/>
      <name val="Arial"/>
      <family val="2"/>
      <charset val="186"/>
    </font>
    <font>
      <b/>
      <sz val="8"/>
      <color theme="0"/>
      <name val="Arial"/>
      <family val="2"/>
      <charset val="186"/>
    </font>
    <font>
      <b/>
      <sz val="16"/>
      <color theme="0" tint="-0.14999847407452621"/>
      <name val="Arial"/>
      <family val="2"/>
      <charset val="186"/>
    </font>
    <font>
      <sz val="10"/>
      <color theme="0" tint="-0.14999847407452621"/>
      <name val="Arial"/>
      <family val="2"/>
      <charset val="186"/>
    </font>
    <font>
      <b/>
      <sz val="10"/>
      <color theme="0" tint="-0.14999847407452621"/>
      <name val="Arial"/>
      <family val="2"/>
      <charset val="186"/>
    </font>
    <font>
      <b/>
      <sz val="11"/>
      <color theme="0" tint="-0.14999847407452621"/>
      <name val="Arial"/>
      <family val="2"/>
      <charset val="186"/>
    </font>
    <font>
      <sz val="8"/>
      <color theme="0" tint="-0.14999847407452621"/>
      <name val="Arial"/>
      <family val="2"/>
      <charset val="186"/>
    </font>
    <font>
      <b/>
      <sz val="8"/>
      <color theme="0" tint="-0.14999847407452621"/>
      <name val="Arial"/>
      <family val="2"/>
      <charset val="186"/>
    </font>
    <font>
      <sz val="7"/>
      <color theme="0"/>
      <name val="Verdana"/>
      <family val="2"/>
      <charset val="186"/>
    </font>
    <font>
      <sz val="10"/>
      <color theme="1"/>
      <name val="Arial"/>
      <family val="2"/>
      <charset val="186"/>
    </font>
    <font>
      <sz val="10"/>
      <color rgb="FF1C1C1C"/>
      <name val="SegoeUI"/>
      <family val="2"/>
    </font>
    <font>
      <sz val="11"/>
      <name val="Times New Roman"/>
      <family val="1"/>
      <charset val="186"/>
    </font>
    <font>
      <sz val="8.5"/>
      <name val="Arial"/>
      <family val="2"/>
      <charset val="186"/>
    </font>
    <font>
      <b/>
      <sz val="11"/>
      <color theme="2" tint="-9.9978637043366805E-2"/>
      <name val="Arial"/>
      <family val="2"/>
      <charset val="186"/>
    </font>
    <font>
      <sz val="10"/>
      <color theme="2" tint="-9.9978637043366805E-2"/>
      <name val="Arial"/>
      <family val="2"/>
      <charset val="186"/>
    </font>
    <font>
      <b/>
      <sz val="10"/>
      <color theme="2" tint="-9.9978637043366805E-2"/>
      <name val="Arial"/>
      <family val="2"/>
      <charset val="186"/>
    </font>
    <font>
      <b/>
      <sz val="11"/>
      <color rgb="FFCCECFF"/>
      <name val="Arial"/>
      <family val="2"/>
      <charset val="186"/>
    </font>
    <font>
      <sz val="10"/>
      <color rgb="FFCCECFF"/>
      <name val="Arial"/>
      <family val="2"/>
      <charset val="186"/>
    </font>
    <font>
      <b/>
      <sz val="10"/>
      <color rgb="FFCCECFF"/>
      <name val="Arial"/>
      <family val="2"/>
      <charset val="186"/>
    </font>
    <font>
      <b/>
      <sz val="11"/>
      <color theme="4" tint="0.79998168889431442"/>
      <name val="Arial"/>
      <family val="2"/>
      <charset val="186"/>
    </font>
    <font>
      <sz val="10"/>
      <color theme="4" tint="0.79998168889431442"/>
      <name val="Arial"/>
      <family val="2"/>
      <charset val="186"/>
    </font>
    <font>
      <b/>
      <sz val="11"/>
      <color rgb="FFFFCCCC"/>
      <name val="Arial"/>
      <family val="2"/>
      <charset val="186"/>
    </font>
    <font>
      <sz val="10"/>
      <color rgb="FFFFCCCC"/>
      <name val="Arial"/>
      <family val="2"/>
      <charset val="186"/>
    </font>
    <font>
      <b/>
      <sz val="10"/>
      <color rgb="FFFFCCCC"/>
      <name val="Arial"/>
      <family val="2"/>
      <charset val="186"/>
    </font>
    <font>
      <sz val="8"/>
      <color rgb="FFFFCCCC"/>
      <name val="Arial"/>
      <family val="2"/>
      <charset val="186"/>
    </font>
    <font>
      <sz val="8"/>
      <color rgb="FFCCECFF"/>
      <name val="Arial"/>
      <family val="2"/>
      <charset val="186"/>
    </font>
  </fonts>
  <fills count="20">
    <fill>
      <patternFill patternType="none"/>
    </fill>
    <fill>
      <patternFill patternType="gray125"/>
    </fill>
    <fill>
      <patternFill patternType="solid">
        <fgColor indexed="48"/>
        <bgColor indexed="0"/>
      </patternFill>
    </fill>
    <fill>
      <patternFill patternType="solid">
        <fgColor indexed="48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indexed="45"/>
        <bgColor indexed="0"/>
      </patternFill>
    </fill>
    <fill>
      <patternFill patternType="solid">
        <fgColor indexed="22"/>
        <bgColor indexed="64"/>
      </patternFill>
    </fill>
    <fill>
      <patternFill patternType="solid">
        <fgColor indexed="48"/>
        <bgColor indexed="8"/>
      </patternFill>
    </fill>
    <fill>
      <patternFill patternType="solid">
        <fgColor indexed="45"/>
        <bgColor indexed="8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FF"/>
      </patternFill>
    </fill>
  </fills>
  <borders count="4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/>
      <top/>
      <bottom style="thin">
        <color indexed="22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/>
      <diagonal/>
    </border>
    <border>
      <left/>
      <right style="medium">
        <color rgb="FFFF0000"/>
      </right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E3E3E3"/>
      </left>
      <right style="thin">
        <color rgb="FFE3E3E3"/>
      </right>
      <top style="thin">
        <color rgb="FFE3E3E3"/>
      </top>
      <bottom style="thin">
        <color rgb="FFE3E3E3"/>
      </bottom>
      <diagonal/>
    </border>
  </borders>
  <cellStyleXfs count="19">
    <xf numFmtId="0" fontId="0" fillId="0" borderId="0"/>
    <xf numFmtId="0" fontId="12" fillId="0" borderId="0"/>
    <xf numFmtId="0" fontId="12" fillId="0" borderId="0"/>
    <xf numFmtId="0" fontId="12" fillId="0" borderId="0"/>
    <xf numFmtId="9" fontId="9" fillId="0" borderId="0" applyFont="0" applyFill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0" fontId="9" fillId="0" borderId="0"/>
    <xf numFmtId="0" fontId="8" fillId="0" borderId="0"/>
    <xf numFmtId="0" fontId="9" fillId="0" borderId="0"/>
    <xf numFmtId="0" fontId="7" fillId="0" borderId="0"/>
    <xf numFmtId="0" fontId="37" fillId="0" borderId="0"/>
    <xf numFmtId="0" fontId="18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552">
    <xf numFmtId="0" fontId="0" fillId="0" borderId="0" xfId="0"/>
    <xf numFmtId="0" fontId="11" fillId="2" borderId="2" xfId="2" applyFont="1" applyFill="1" applyBorder="1" applyAlignment="1">
      <alignment horizontal="center"/>
    </xf>
    <xf numFmtId="0" fontId="12" fillId="0" borderId="1" xfId="3" applyFont="1" applyFill="1" applyBorder="1" applyAlignment="1">
      <alignment horizontal="right" wrapText="1"/>
    </xf>
    <xf numFmtId="0" fontId="12" fillId="0" borderId="1" xfId="3" applyFont="1" applyFill="1" applyBorder="1" applyAlignment="1">
      <alignment wrapText="1"/>
    </xf>
    <xf numFmtId="0" fontId="0" fillId="3" borderId="0" xfId="0" applyFill="1" applyBorder="1"/>
    <xf numFmtId="0" fontId="0" fillId="4" borderId="0" xfId="0" applyFill="1"/>
    <xf numFmtId="0" fontId="11" fillId="5" borderId="3" xfId="2" applyFont="1" applyFill="1" applyBorder="1" applyAlignment="1">
      <alignment horizontal="center"/>
    </xf>
    <xf numFmtId="0" fontId="11" fillId="0" borderId="3" xfId="2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1" fillId="0" borderId="3" xfId="0" applyNumberFormat="1" applyFont="1" applyBorder="1" applyAlignment="1">
      <alignment horizontal="center" wrapText="1"/>
    </xf>
    <xf numFmtId="0" fontId="11" fillId="0" borderId="3" xfId="0" quotePrefix="1" applyNumberFormat="1" applyFont="1" applyBorder="1" applyAlignment="1">
      <alignment horizontal="center" wrapText="1"/>
    </xf>
    <xf numFmtId="0" fontId="11" fillId="6" borderId="3" xfId="2" applyFont="1" applyFill="1" applyBorder="1" applyAlignment="1">
      <alignment horizontal="center"/>
    </xf>
    <xf numFmtId="0" fontId="12" fillId="0" borderId="4" xfId="3" applyFont="1" applyFill="1" applyBorder="1" applyAlignment="1">
      <alignment horizontal="right" wrapText="1"/>
    </xf>
    <xf numFmtId="0" fontId="12" fillId="0" borderId="4" xfId="3" applyFont="1" applyFill="1" applyBorder="1" applyAlignment="1">
      <alignment wrapText="1"/>
    </xf>
    <xf numFmtId="0" fontId="12" fillId="7" borderId="2" xfId="3" applyFont="1" applyFill="1" applyBorder="1" applyAlignment="1">
      <alignment horizontal="center"/>
    </xf>
    <xf numFmtId="0" fontId="0" fillId="3" borderId="2" xfId="0" applyFill="1" applyBorder="1"/>
    <xf numFmtId="0" fontId="0" fillId="4" borderId="2" xfId="0" applyFill="1" applyBorder="1"/>
    <xf numFmtId="0" fontId="0" fillId="0" borderId="2" xfId="0" applyFill="1" applyBorder="1"/>
    <xf numFmtId="0" fontId="12" fillId="7" borderId="5" xfId="3" applyFont="1" applyFill="1" applyBorder="1" applyAlignment="1">
      <alignment horizontal="center"/>
    </xf>
    <xf numFmtId="0" fontId="12" fillId="0" borderId="6" xfId="3" applyFont="1" applyFill="1" applyBorder="1" applyAlignment="1">
      <alignment wrapText="1"/>
    </xf>
    <xf numFmtId="0" fontId="11" fillId="3" borderId="3" xfId="0" applyNumberFormat="1" applyFont="1" applyFill="1" applyBorder="1" applyAlignment="1">
      <alignment horizontal="center" wrapText="1"/>
    </xf>
    <xf numFmtId="0" fontId="11" fillId="4" borderId="3" xfId="0" applyNumberFormat="1" applyFont="1" applyFill="1" applyBorder="1" applyAlignment="1">
      <alignment horizontal="center" wrapText="1"/>
    </xf>
    <xf numFmtId="0" fontId="12" fillId="2" borderId="7" xfId="1" applyFont="1" applyFill="1" applyBorder="1" applyAlignment="1">
      <alignment horizontal="center"/>
    </xf>
    <xf numFmtId="0" fontId="12" fillId="6" borderId="7" xfId="1" applyFont="1" applyFill="1" applyBorder="1" applyAlignment="1">
      <alignment horizontal="center"/>
    </xf>
    <xf numFmtId="0" fontId="12" fillId="8" borderId="1" xfId="1" applyFont="1" applyFill="1" applyBorder="1" applyAlignment="1">
      <alignment horizontal="right" wrapText="1"/>
    </xf>
    <xf numFmtId="0" fontId="12" fillId="9" borderId="1" xfId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0" fontId="13" fillId="0" borderId="0" xfId="0" applyFont="1"/>
    <xf numFmtId="9" fontId="0" fillId="0" borderId="0" xfId="4" applyFont="1"/>
    <xf numFmtId="0" fontId="13" fillId="10" borderId="0" xfId="0" applyFont="1" applyFill="1"/>
    <xf numFmtId="0" fontId="0" fillId="10" borderId="0" xfId="0" applyFill="1"/>
    <xf numFmtId="0" fontId="0" fillId="12" borderId="0" xfId="0" applyFill="1"/>
    <xf numFmtId="0" fontId="0" fillId="13" borderId="0" xfId="0" applyFill="1"/>
    <xf numFmtId="1" fontId="0" fillId="0" borderId="0" xfId="0" applyNumberFormat="1"/>
    <xf numFmtId="0" fontId="9" fillId="0" borderId="0" xfId="0" applyFont="1"/>
    <xf numFmtId="0" fontId="10" fillId="0" borderId="0" xfId="0" applyFont="1"/>
    <xf numFmtId="0" fontId="20" fillId="0" borderId="0" xfId="0" applyFont="1"/>
    <xf numFmtId="1" fontId="20" fillId="0" borderId="0" xfId="0" applyNumberFormat="1" applyFont="1"/>
    <xf numFmtId="1" fontId="20" fillId="0" borderId="0" xfId="5" applyNumberFormat="1" applyFont="1" applyFill="1"/>
    <xf numFmtId="1" fontId="20" fillId="0" borderId="0" xfId="5" applyNumberFormat="1" applyFont="1" applyFill="1" applyAlignment="1">
      <alignment horizontal="left"/>
    </xf>
    <xf numFmtId="0" fontId="20" fillId="0" borderId="0" xfId="0" applyFont="1" applyAlignment="1">
      <alignment horizontal="right"/>
    </xf>
    <xf numFmtId="1" fontId="13" fillId="0" borderId="0" xfId="0" applyNumberFormat="1" applyFont="1"/>
    <xf numFmtId="0" fontId="13" fillId="0" borderId="0" xfId="0" applyFont="1" applyFill="1"/>
    <xf numFmtId="1" fontId="13" fillId="0" borderId="0" xfId="5" applyNumberFormat="1" applyFont="1" applyFill="1"/>
    <xf numFmtId="1" fontId="21" fillId="0" borderId="0" xfId="0" applyNumberFormat="1" applyFont="1" applyBorder="1"/>
    <xf numFmtId="0" fontId="21" fillId="0" borderId="0" xfId="0" applyFont="1" applyFill="1"/>
    <xf numFmtId="1" fontId="21" fillId="0" borderId="0" xfId="5" applyNumberFormat="1" applyFont="1" applyFill="1" applyBorder="1"/>
    <xf numFmtId="1" fontId="21" fillId="0" borderId="0" xfId="0" applyNumberFormat="1" applyFont="1"/>
    <xf numFmtId="0" fontId="21" fillId="0" borderId="0" xfId="0" applyFont="1"/>
    <xf numFmtId="0" fontId="22" fillId="0" borderId="0" xfId="0" applyFont="1"/>
    <xf numFmtId="1" fontId="23" fillId="0" borderId="0" xfId="0" applyNumberFormat="1" applyFont="1"/>
    <xf numFmtId="0" fontId="23" fillId="0" borderId="0" xfId="5" applyFont="1" applyFill="1"/>
    <xf numFmtId="1" fontId="23" fillId="0" borderId="0" xfId="5" applyNumberFormat="1" applyFont="1" applyFill="1"/>
    <xf numFmtId="0" fontId="23" fillId="0" borderId="0" xfId="0" applyFont="1"/>
    <xf numFmtId="1" fontId="21" fillId="0" borderId="0" xfId="5" applyNumberFormat="1" applyFont="1" applyFill="1"/>
    <xf numFmtId="0" fontId="9" fillId="0" borderId="0" xfId="7" applyAlignment="1">
      <alignment horizontal="right"/>
    </xf>
    <xf numFmtId="0" fontId="9" fillId="0" borderId="0" xfId="0" applyFont="1" applyAlignment="1">
      <alignment horizontal="right"/>
    </xf>
    <xf numFmtId="0" fontId="9" fillId="10" borderId="0" xfId="0" applyFont="1" applyFill="1"/>
    <xf numFmtId="0" fontId="9" fillId="10" borderId="0" xfId="0" applyFont="1" applyFill="1" applyAlignment="1">
      <alignment horizontal="right"/>
    </xf>
    <xf numFmtId="0" fontId="10" fillId="10" borderId="0" xfId="0" applyFont="1" applyFill="1" applyAlignment="1">
      <alignment horizontal="left"/>
    </xf>
    <xf numFmtId="1" fontId="9" fillId="10" borderId="0" xfId="0" applyNumberFormat="1" applyFont="1" applyFill="1" applyAlignment="1">
      <alignment horizontal="right"/>
    </xf>
    <xf numFmtId="0" fontId="25" fillId="10" borderId="0" xfId="0" applyFont="1" applyFill="1"/>
    <xf numFmtId="0" fontId="9" fillId="0" borderId="0" xfId="0" applyFont="1" applyAlignment="1">
      <alignment horizontal="right"/>
    </xf>
    <xf numFmtId="0" fontId="10" fillId="10" borderId="0" xfId="0" applyFont="1" applyFill="1"/>
    <xf numFmtId="0" fontId="13" fillId="15" borderId="0" xfId="0" applyFont="1" applyFill="1"/>
    <xf numFmtId="0" fontId="25" fillId="15" borderId="0" xfId="0" applyFont="1" applyFill="1" applyAlignment="1">
      <alignment horizontal="center"/>
    </xf>
    <xf numFmtId="0" fontId="0" fillId="15" borderId="0" xfId="0" applyFill="1"/>
    <xf numFmtId="0" fontId="9" fillId="15" borderId="0" xfId="0" applyFont="1" applyFill="1"/>
    <xf numFmtId="0" fontId="10" fillId="15" borderId="0" xfId="0" applyFont="1" applyFill="1"/>
    <xf numFmtId="0" fontId="25" fillId="15" borderId="0" xfId="0" applyFont="1" applyFill="1"/>
    <xf numFmtId="0" fontId="9" fillId="15" borderId="0" xfId="0" applyFont="1" applyFill="1" applyAlignment="1">
      <alignment horizontal="right"/>
    </xf>
    <xf numFmtId="1" fontId="9" fillId="15" borderId="0" xfId="0" applyNumberFormat="1" applyFont="1" applyFill="1" applyAlignment="1">
      <alignment horizontal="right"/>
    </xf>
    <xf numFmtId="0" fontId="10" fillId="15" borderId="0" xfId="0" applyFont="1" applyFill="1" applyAlignment="1">
      <alignment horizontal="left"/>
    </xf>
    <xf numFmtId="0" fontId="9" fillId="0" borderId="0" xfId="0" applyFont="1" applyAlignment="1">
      <alignment horizontal="right"/>
    </xf>
    <xf numFmtId="167" fontId="13" fillId="10" borderId="0" xfId="0" applyNumberFormat="1" applyFont="1" applyFill="1" applyBorder="1"/>
    <xf numFmtId="0" fontId="0" fillId="14" borderId="0" xfId="0" applyFill="1"/>
    <xf numFmtId="0" fontId="28" fillId="14" borderId="0" xfId="0" applyFont="1" applyFill="1" applyAlignment="1">
      <alignment horizontal="center" vertical="top" readingOrder="1"/>
    </xf>
    <xf numFmtId="0" fontId="0" fillId="14" borderId="0" xfId="0" applyFill="1" applyAlignment="1">
      <alignment horizontal="right" vertical="center"/>
    </xf>
    <xf numFmtId="0" fontId="0" fillId="14" borderId="0" xfId="0" applyFill="1" applyAlignment="1">
      <alignment horizontal="center"/>
    </xf>
    <xf numFmtId="0" fontId="26" fillId="0" borderId="0" xfId="9" applyFont="1"/>
    <xf numFmtId="0" fontId="9" fillId="0" borderId="0" xfId="9"/>
    <xf numFmtId="0" fontId="9" fillId="0" borderId="0" xfId="9" applyFont="1"/>
    <xf numFmtId="0" fontId="9" fillId="14" borderId="0" xfId="9" applyFill="1"/>
    <xf numFmtId="0" fontId="28" fillId="14" borderId="0" xfId="9" applyFont="1" applyFill="1" applyAlignment="1">
      <alignment horizontal="center" vertical="top" readingOrder="1"/>
    </xf>
    <xf numFmtId="0" fontId="9" fillId="14" borderId="0" xfId="9" applyFill="1" applyAlignment="1">
      <alignment horizontal="right" vertical="center"/>
    </xf>
    <xf numFmtId="0" fontId="9" fillId="0" borderId="0" xfId="9" applyFont="1" applyAlignment="1">
      <alignment horizontal="right"/>
    </xf>
    <xf numFmtId="0" fontId="9" fillId="0" borderId="0" xfId="4" applyNumberFormat="1" applyFont="1"/>
    <xf numFmtId="0" fontId="9" fillId="14" borderId="0" xfId="9" applyFill="1" applyAlignment="1">
      <alignment horizontal="center"/>
    </xf>
    <xf numFmtId="0" fontId="10" fillId="3" borderId="2" xfId="9" applyFont="1" applyFill="1" applyBorder="1" applyAlignment="1">
      <alignment horizontal="center"/>
    </xf>
    <xf numFmtId="0" fontId="12" fillId="2" borderId="36" xfId="1" applyFont="1" applyFill="1" applyBorder="1" applyAlignment="1">
      <alignment horizontal="center"/>
    </xf>
    <xf numFmtId="0" fontId="12" fillId="3" borderId="1" xfId="1" applyFont="1" applyFill="1" applyBorder="1" applyAlignment="1">
      <alignment horizontal="right" wrapText="1"/>
    </xf>
    <xf numFmtId="0" fontId="12" fillId="4" borderId="1" xfId="1" applyFont="1" applyFill="1" applyBorder="1" applyAlignment="1">
      <alignment horizontal="right" wrapText="1"/>
    </xf>
    <xf numFmtId="10" fontId="0" fillId="0" borderId="0" xfId="4" applyNumberFormat="1" applyFont="1"/>
    <xf numFmtId="0" fontId="30" fillId="14" borderId="10" xfId="0" applyFont="1" applyFill="1" applyBorder="1"/>
    <xf numFmtId="167" fontId="30" fillId="14" borderId="10" xfId="0" applyNumberFormat="1" applyFont="1" applyFill="1" applyBorder="1"/>
    <xf numFmtId="0" fontId="30" fillId="10" borderId="10" xfId="0" applyFont="1" applyFill="1" applyBorder="1"/>
    <xf numFmtId="0" fontId="30" fillId="10" borderId="8" xfId="0" applyFont="1" applyFill="1" applyBorder="1"/>
    <xf numFmtId="166" fontId="30" fillId="14" borderId="10" xfId="0" applyNumberFormat="1" applyFont="1" applyFill="1" applyBorder="1" applyAlignment="1">
      <alignment horizontal="right"/>
    </xf>
    <xf numFmtId="167" fontId="30" fillId="14" borderId="10" xfId="0" applyNumberFormat="1" applyFont="1" applyFill="1" applyBorder="1" applyAlignment="1">
      <alignment horizontal="right"/>
    </xf>
    <xf numFmtId="0" fontId="30" fillId="14" borderId="2" xfId="0" applyFont="1" applyFill="1" applyBorder="1"/>
    <xf numFmtId="0" fontId="30" fillId="15" borderId="2" xfId="0" applyFont="1" applyFill="1" applyBorder="1"/>
    <xf numFmtId="0" fontId="30" fillId="15" borderId="10" xfId="0" applyFont="1" applyFill="1" applyBorder="1"/>
    <xf numFmtId="166" fontId="30" fillId="15" borderId="2" xfId="0" applyNumberFormat="1" applyFont="1" applyFill="1" applyBorder="1" applyAlignment="1">
      <alignment horizontal="right"/>
    </xf>
    <xf numFmtId="167" fontId="30" fillId="15" borderId="2" xfId="0" applyNumberFormat="1" applyFont="1" applyFill="1" applyBorder="1" applyAlignment="1">
      <alignment horizontal="right"/>
    </xf>
    <xf numFmtId="167" fontId="30" fillId="15" borderId="2" xfId="0" applyNumberFormat="1" applyFont="1" applyFill="1" applyBorder="1"/>
    <xf numFmtId="0" fontId="30" fillId="15" borderId="10" xfId="0" applyFont="1" applyFill="1" applyBorder="1" applyAlignment="1">
      <alignment wrapText="1"/>
    </xf>
    <xf numFmtId="0" fontId="30" fillId="15" borderId="8" xfId="0" applyFont="1" applyFill="1" applyBorder="1"/>
    <xf numFmtId="166" fontId="30" fillId="15" borderId="8" xfId="0" applyNumberFormat="1" applyFont="1" applyFill="1" applyBorder="1" applyAlignment="1">
      <alignment horizontal="right"/>
    </xf>
    <xf numFmtId="167" fontId="30" fillId="15" borderId="8" xfId="0" applyNumberFormat="1" applyFont="1" applyFill="1" applyBorder="1" applyAlignment="1">
      <alignment horizontal="right"/>
    </xf>
    <xf numFmtId="167" fontId="30" fillId="15" borderId="8" xfId="0" applyNumberFormat="1" applyFont="1" applyFill="1" applyBorder="1"/>
    <xf numFmtId="166" fontId="30" fillId="14" borderId="10" xfId="0" applyNumberFormat="1" applyFont="1" applyFill="1" applyBorder="1"/>
    <xf numFmtId="0" fontId="30" fillId="10" borderId="10" xfId="0" applyFont="1" applyFill="1" applyBorder="1" applyAlignment="1">
      <alignment wrapText="1"/>
    </xf>
    <xf numFmtId="166" fontId="30" fillId="10" borderId="10" xfId="0" applyNumberFormat="1" applyFont="1" applyFill="1" applyBorder="1"/>
    <xf numFmtId="0" fontId="30" fillId="10" borderId="8" xfId="0" applyFont="1" applyFill="1" applyBorder="1" applyAlignment="1">
      <alignment wrapText="1"/>
    </xf>
    <xf numFmtId="166" fontId="30" fillId="10" borderId="8" xfId="0" applyNumberFormat="1" applyFont="1" applyFill="1" applyBorder="1"/>
    <xf numFmtId="166" fontId="30" fillId="15" borderId="10" xfId="0" applyNumberFormat="1" applyFont="1" applyFill="1" applyBorder="1"/>
    <xf numFmtId="0" fontId="30" fillId="15" borderId="8" xfId="0" applyFont="1" applyFill="1" applyBorder="1" applyAlignment="1">
      <alignment wrapText="1"/>
    </xf>
    <xf numFmtId="166" fontId="30" fillId="15" borderId="8" xfId="0" applyNumberFormat="1" applyFont="1" applyFill="1" applyBorder="1"/>
    <xf numFmtId="166" fontId="30" fillId="14" borderId="2" xfId="0" applyNumberFormat="1" applyFont="1" applyFill="1" applyBorder="1"/>
    <xf numFmtId="166" fontId="30" fillId="10" borderId="2" xfId="0" applyNumberFormat="1" applyFont="1" applyFill="1" applyBorder="1"/>
    <xf numFmtId="0" fontId="30" fillId="15" borderId="2" xfId="0" applyFont="1" applyFill="1" applyBorder="1" applyAlignment="1">
      <alignment wrapText="1"/>
    </xf>
    <xf numFmtId="166" fontId="30" fillId="15" borderId="2" xfId="0" applyNumberFormat="1" applyFont="1" applyFill="1" applyBorder="1"/>
    <xf numFmtId="0" fontId="0" fillId="0" borderId="0" xfId="0" applyFill="1" applyBorder="1"/>
    <xf numFmtId="0" fontId="30" fillId="0" borderId="0" xfId="0" applyFont="1" applyFill="1" applyBorder="1" applyAlignment="1">
      <alignment wrapText="1"/>
    </xf>
    <xf numFmtId="168" fontId="30" fillId="0" borderId="0" xfId="0" applyNumberFormat="1" applyFont="1" applyFill="1" applyBorder="1" applyAlignment="1">
      <alignment horizontal="right"/>
    </xf>
    <xf numFmtId="0" fontId="35" fillId="14" borderId="10" xfId="0" applyFont="1" applyFill="1" applyBorder="1"/>
    <xf numFmtId="166" fontId="35" fillId="14" borderId="2" xfId="0" applyNumberFormat="1" applyFont="1" applyFill="1" applyBorder="1" applyAlignment="1">
      <alignment horizontal="right"/>
    </xf>
    <xf numFmtId="167" fontId="35" fillId="14" borderId="2" xfId="0" applyNumberFormat="1" applyFont="1" applyFill="1" applyBorder="1" applyAlignment="1">
      <alignment horizontal="right"/>
    </xf>
    <xf numFmtId="167" fontId="35" fillId="14" borderId="2" xfId="0" applyNumberFormat="1" applyFont="1" applyFill="1" applyBorder="1"/>
    <xf numFmtId="167" fontId="35" fillId="14" borderId="10" xfId="0" applyNumberFormat="1" applyFont="1" applyFill="1" applyBorder="1"/>
    <xf numFmtId="0" fontId="35" fillId="10" borderId="10" xfId="0" applyFont="1" applyFill="1" applyBorder="1"/>
    <xf numFmtId="166" fontId="35" fillId="10" borderId="10" xfId="0" applyNumberFormat="1" applyFont="1" applyFill="1" applyBorder="1" applyAlignment="1">
      <alignment horizontal="right"/>
    </xf>
    <xf numFmtId="167" fontId="35" fillId="10" borderId="10" xfId="0" applyNumberFormat="1" applyFont="1" applyFill="1" applyBorder="1" applyAlignment="1">
      <alignment horizontal="right"/>
    </xf>
    <xf numFmtId="167" fontId="35" fillId="10" borderId="10" xfId="0" applyNumberFormat="1" applyFont="1" applyFill="1" applyBorder="1"/>
    <xf numFmtId="0" fontId="35" fillId="10" borderId="8" xfId="0" applyFont="1" applyFill="1" applyBorder="1"/>
    <xf numFmtId="166" fontId="35" fillId="10" borderId="8" xfId="0" applyNumberFormat="1" applyFont="1" applyFill="1" applyBorder="1" applyAlignment="1">
      <alignment horizontal="right"/>
    </xf>
    <xf numFmtId="167" fontId="35" fillId="10" borderId="8" xfId="0" applyNumberFormat="1" applyFont="1" applyFill="1" applyBorder="1" applyAlignment="1">
      <alignment horizontal="right"/>
    </xf>
    <xf numFmtId="167" fontId="35" fillId="10" borderId="8" xfId="0" applyNumberFormat="1" applyFont="1" applyFill="1" applyBorder="1"/>
    <xf numFmtId="166" fontId="35" fillId="14" borderId="10" xfId="0" applyNumberFormat="1" applyFont="1" applyFill="1" applyBorder="1" applyAlignment="1">
      <alignment horizontal="right"/>
    </xf>
    <xf numFmtId="167" fontId="35" fillId="14" borderId="10" xfId="0" applyNumberFormat="1" applyFont="1" applyFill="1" applyBorder="1" applyAlignment="1">
      <alignment horizontal="right"/>
    </xf>
    <xf numFmtId="0" fontId="34" fillId="12" borderId="11" xfId="0" applyFont="1" applyFill="1" applyBorder="1" applyAlignment="1">
      <alignment horizontal="center"/>
    </xf>
    <xf numFmtId="0" fontId="35" fillId="0" borderId="10" xfId="0" applyFont="1" applyFill="1" applyBorder="1"/>
    <xf numFmtId="166" fontId="35" fillId="0" borderId="10" xfId="0" applyNumberFormat="1" applyFont="1" applyFill="1" applyBorder="1" applyAlignment="1">
      <alignment horizontal="right"/>
    </xf>
    <xf numFmtId="167" fontId="35" fillId="0" borderId="10" xfId="0" applyNumberFormat="1" applyFont="1" applyFill="1" applyBorder="1" applyAlignment="1">
      <alignment horizontal="right"/>
    </xf>
    <xf numFmtId="167" fontId="35" fillId="0" borderId="10" xfId="0" applyNumberFormat="1" applyFont="1" applyFill="1" applyBorder="1"/>
    <xf numFmtId="0" fontId="35" fillId="0" borderId="8" xfId="0" applyFont="1" applyFill="1" applyBorder="1"/>
    <xf numFmtId="0" fontId="35" fillId="14" borderId="2" xfId="0" applyFont="1" applyFill="1" applyBorder="1"/>
    <xf numFmtId="0" fontId="35" fillId="0" borderId="2" xfId="0" applyFont="1" applyFill="1" applyBorder="1"/>
    <xf numFmtId="166" fontId="35" fillId="0" borderId="2" xfId="0" applyNumberFormat="1" applyFont="1" applyFill="1" applyBorder="1" applyAlignment="1">
      <alignment horizontal="right"/>
    </xf>
    <xf numFmtId="167" fontId="35" fillId="0" borderId="2" xfId="0" applyNumberFormat="1" applyFont="1" applyFill="1" applyBorder="1" applyAlignment="1">
      <alignment horizontal="right"/>
    </xf>
    <xf numFmtId="167" fontId="35" fillId="0" borderId="2" xfId="0" applyNumberFormat="1" applyFont="1" applyFill="1" applyBorder="1"/>
    <xf numFmtId="166" fontId="35" fillId="14" borderId="20" xfId="0" applyNumberFormat="1" applyFont="1" applyFill="1" applyBorder="1"/>
    <xf numFmtId="165" fontId="35" fillId="14" borderId="21" xfId="0" applyNumberFormat="1" applyFont="1" applyFill="1" applyBorder="1"/>
    <xf numFmtId="166" fontId="35" fillId="14" borderId="15" xfId="0" applyNumberFormat="1" applyFont="1" applyFill="1" applyBorder="1"/>
    <xf numFmtId="165" fontId="35" fillId="14" borderId="13" xfId="0" applyNumberFormat="1" applyFont="1" applyFill="1" applyBorder="1"/>
    <xf numFmtId="165" fontId="35" fillId="14" borderId="10" xfId="0" applyNumberFormat="1" applyFont="1" applyFill="1" applyBorder="1"/>
    <xf numFmtId="0" fontId="34" fillId="12" borderId="18" xfId="0" applyFont="1" applyFill="1" applyBorder="1" applyAlignment="1">
      <alignment horizontal="center"/>
    </xf>
    <xf numFmtId="0" fontId="34" fillId="12" borderId="19" xfId="0" applyFont="1" applyFill="1" applyBorder="1" applyAlignment="1">
      <alignment horizontal="center"/>
    </xf>
    <xf numFmtId="0" fontId="34" fillId="12" borderId="14" xfId="0" applyFont="1" applyFill="1" applyBorder="1" applyAlignment="1">
      <alignment horizontal="center"/>
    </xf>
    <xf numFmtId="0" fontId="34" fillId="12" borderId="12" xfId="0" applyFont="1" applyFill="1" applyBorder="1" applyAlignment="1">
      <alignment horizontal="center"/>
    </xf>
    <xf numFmtId="166" fontId="35" fillId="0" borderId="20" xfId="0" applyNumberFormat="1" applyFont="1" applyFill="1" applyBorder="1"/>
    <xf numFmtId="165" fontId="35" fillId="0" borderId="21" xfId="0" applyNumberFormat="1" applyFont="1" applyFill="1" applyBorder="1"/>
    <xf numFmtId="166" fontId="35" fillId="0" borderId="15" xfId="0" applyNumberFormat="1" applyFont="1" applyFill="1" applyBorder="1"/>
    <xf numFmtId="165" fontId="35" fillId="0" borderId="13" xfId="0" applyNumberFormat="1" applyFont="1" applyFill="1" applyBorder="1"/>
    <xf numFmtId="165" fontId="35" fillId="0" borderId="10" xfId="0" applyNumberFormat="1" applyFont="1" applyFill="1" applyBorder="1"/>
    <xf numFmtId="166" fontId="35" fillId="14" borderId="2" xfId="0" applyNumberFormat="1" applyFont="1" applyFill="1" applyBorder="1"/>
    <xf numFmtId="0" fontId="34" fillId="12" borderId="11" xfId="0" applyFont="1" applyFill="1" applyBorder="1" applyAlignment="1">
      <alignment horizontal="left"/>
    </xf>
    <xf numFmtId="166" fontId="35" fillId="0" borderId="2" xfId="0" applyNumberFormat="1" applyFont="1" applyFill="1" applyBorder="1"/>
    <xf numFmtId="166" fontId="35" fillId="0" borderId="8" xfId="0" applyNumberFormat="1" applyFont="1" applyFill="1" applyBorder="1"/>
    <xf numFmtId="0" fontId="34" fillId="12" borderId="11" xfId="0" applyFont="1" applyFill="1" applyBorder="1"/>
    <xf numFmtId="0" fontId="35" fillId="0" borderId="10" xfId="0" applyFont="1" applyFill="1" applyBorder="1" applyAlignment="1">
      <alignment wrapText="1"/>
    </xf>
    <xf numFmtId="166" fontId="35" fillId="0" borderId="10" xfId="0" applyNumberFormat="1" applyFont="1" applyFill="1" applyBorder="1"/>
    <xf numFmtId="0" fontId="35" fillId="0" borderId="8" xfId="0" applyFont="1" applyFill="1" applyBorder="1" applyAlignment="1">
      <alignment wrapText="1"/>
    </xf>
    <xf numFmtId="0" fontId="35" fillId="0" borderId="2" xfId="0" applyFont="1" applyFill="1" applyBorder="1" applyAlignment="1">
      <alignment wrapText="1"/>
    </xf>
    <xf numFmtId="0" fontId="34" fillId="12" borderId="11" xfId="0" applyFont="1" applyFill="1" applyBorder="1" applyAlignment="1">
      <alignment vertical="center"/>
    </xf>
    <xf numFmtId="0" fontId="36" fillId="12" borderId="11" xfId="0" applyFont="1" applyFill="1" applyBorder="1" applyAlignment="1">
      <alignment vertical="center"/>
    </xf>
    <xf numFmtId="0" fontId="34" fillId="12" borderId="11" xfId="0" applyFont="1" applyFill="1" applyBorder="1" applyAlignment="1">
      <alignment horizontal="center" vertical="center" wrapText="1"/>
    </xf>
    <xf numFmtId="0" fontId="35" fillId="14" borderId="10" xfId="0" applyFont="1" applyFill="1" applyBorder="1" applyAlignment="1">
      <alignment wrapText="1"/>
    </xf>
    <xf numFmtId="0" fontId="13" fillId="10" borderId="0" xfId="9" applyFont="1" applyFill="1"/>
    <xf numFmtId="0" fontId="13" fillId="0" borderId="0" xfId="9" applyFont="1"/>
    <xf numFmtId="0" fontId="9" fillId="10" borderId="0" xfId="9" applyFont="1" applyFill="1"/>
    <xf numFmtId="0" fontId="10" fillId="10" borderId="0" xfId="9" applyFont="1" applyFill="1"/>
    <xf numFmtId="1" fontId="13" fillId="10" borderId="0" xfId="9" applyNumberFormat="1" applyFont="1" applyFill="1"/>
    <xf numFmtId="0" fontId="35" fillId="14" borderId="10" xfId="9" applyFont="1" applyFill="1" applyBorder="1"/>
    <xf numFmtId="0" fontId="35" fillId="14" borderId="2" xfId="9" applyFont="1" applyFill="1" applyBorder="1"/>
    <xf numFmtId="0" fontId="35" fillId="10" borderId="8" xfId="9" applyFont="1" applyFill="1" applyBorder="1"/>
    <xf numFmtId="0" fontId="35" fillId="10" borderId="8" xfId="9" applyFont="1" applyFill="1" applyBorder="1" applyAlignment="1">
      <alignment wrapText="1"/>
    </xf>
    <xf numFmtId="167" fontId="35" fillId="10" borderId="8" xfId="9" applyNumberFormat="1" applyFont="1" applyFill="1" applyBorder="1"/>
    <xf numFmtId="0" fontId="13" fillId="15" borderId="0" xfId="9" applyFont="1" applyFill="1"/>
    <xf numFmtId="0" fontId="9" fillId="15" borderId="0" xfId="9" applyFont="1" applyFill="1"/>
    <xf numFmtId="0" fontId="10" fillId="15" borderId="0" xfId="9" applyFont="1" applyFill="1"/>
    <xf numFmtId="1" fontId="13" fillId="15" borderId="0" xfId="9" applyNumberFormat="1" applyFont="1" applyFill="1"/>
    <xf numFmtId="0" fontId="35" fillId="15" borderId="8" xfId="9" applyFont="1" applyFill="1" applyBorder="1"/>
    <xf numFmtId="0" fontId="35" fillId="15" borderId="8" xfId="9" applyFont="1" applyFill="1" applyBorder="1" applyAlignment="1">
      <alignment wrapText="1"/>
    </xf>
    <xf numFmtId="167" fontId="35" fillId="15" borderId="8" xfId="9" applyNumberFormat="1" applyFont="1" applyFill="1" applyBorder="1"/>
    <xf numFmtId="0" fontId="34" fillId="12" borderId="11" xfId="9" applyFont="1" applyFill="1" applyBorder="1"/>
    <xf numFmtId="0" fontId="34" fillId="12" borderId="11" xfId="9" applyFont="1" applyFill="1" applyBorder="1" applyAlignment="1"/>
    <xf numFmtId="0" fontId="35" fillId="0" borderId="10" xfId="9" applyFont="1" applyFill="1" applyBorder="1"/>
    <xf numFmtId="0" fontId="35" fillId="0" borderId="10" xfId="9" applyFont="1" applyFill="1" applyBorder="1" applyAlignment="1">
      <alignment wrapText="1"/>
    </xf>
    <xf numFmtId="0" fontId="35" fillId="0" borderId="8" xfId="9" applyFont="1" applyFill="1" applyBorder="1"/>
    <xf numFmtId="0" fontId="35" fillId="0" borderId="8" xfId="9" applyFont="1" applyFill="1" applyBorder="1" applyAlignment="1">
      <alignment wrapText="1"/>
    </xf>
    <xf numFmtId="169" fontId="35" fillId="14" borderId="2" xfId="9" applyNumberFormat="1" applyFont="1" applyFill="1" applyBorder="1"/>
    <xf numFmtId="169" fontId="35" fillId="0" borderId="2" xfId="9" applyNumberFormat="1" applyFont="1" applyFill="1" applyBorder="1"/>
    <xf numFmtId="169" fontId="35" fillId="0" borderId="10" xfId="9" applyNumberFormat="1" applyFont="1" applyFill="1" applyBorder="1"/>
    <xf numFmtId="169" fontId="35" fillId="0" borderId="8" xfId="9" applyNumberFormat="1" applyFont="1" applyFill="1" applyBorder="1"/>
    <xf numFmtId="169" fontId="35" fillId="14" borderId="10" xfId="9" applyNumberFormat="1" applyFont="1" applyFill="1" applyBorder="1"/>
    <xf numFmtId="0" fontId="28" fillId="14" borderId="0" xfId="0" applyFont="1" applyFill="1" applyAlignment="1">
      <alignment horizontal="center" vertical="top" readingOrder="1"/>
    </xf>
    <xf numFmtId="0" fontId="9" fillId="0" borderId="0" xfId="0" applyFont="1" applyAlignment="1">
      <alignment horizontal="right"/>
    </xf>
    <xf numFmtId="0" fontId="28" fillId="14" borderId="0" xfId="9" applyFont="1" applyFill="1" applyAlignment="1">
      <alignment horizontal="center" vertical="top" readingOrder="1"/>
    </xf>
    <xf numFmtId="0" fontId="0" fillId="16" borderId="0" xfId="0" applyFill="1"/>
    <xf numFmtId="0" fontId="0" fillId="17" borderId="0" xfId="0" applyFill="1"/>
    <xf numFmtId="0" fontId="21" fillId="10" borderId="0" xfId="0" applyFont="1" applyFill="1" applyBorder="1" applyAlignment="1">
      <alignment horizontal="center"/>
    </xf>
    <xf numFmtId="0" fontId="0" fillId="0" borderId="0" xfId="0" applyFill="1"/>
    <xf numFmtId="0" fontId="37" fillId="5" borderId="7" xfId="11" applyFont="1" applyFill="1" applyBorder="1" applyAlignment="1">
      <alignment horizontal="center"/>
    </xf>
    <xf numFmtId="0" fontId="12" fillId="5" borderId="7" xfId="1" applyFont="1" applyFill="1" applyBorder="1" applyAlignment="1">
      <alignment horizontal="center"/>
    </xf>
    <xf numFmtId="0" fontId="9" fillId="0" borderId="0" xfId="0" applyFont="1" applyFill="1" applyBorder="1"/>
    <xf numFmtId="0" fontId="10" fillId="12" borderId="0" xfId="0" applyFont="1" applyFill="1" applyAlignment="1">
      <alignment horizontal="center"/>
    </xf>
    <xf numFmtId="0" fontId="0" fillId="14" borderId="22" xfId="0" applyFill="1" applyBorder="1"/>
    <xf numFmtId="0" fontId="29" fillId="14" borderId="23" xfId="0" applyFont="1" applyFill="1" applyBorder="1"/>
    <xf numFmtId="0" fontId="26" fillId="14" borderId="23" xfId="0" applyFont="1" applyFill="1" applyBorder="1"/>
    <xf numFmtId="0" fontId="24" fillId="14" borderId="23" xfId="0" applyFont="1" applyFill="1" applyBorder="1"/>
    <xf numFmtId="0" fontId="27" fillId="14" borderId="23" xfId="0" applyFont="1" applyFill="1" applyBorder="1"/>
    <xf numFmtId="0" fontId="24" fillId="14" borderId="23" xfId="0" applyFont="1" applyFill="1" applyBorder="1" applyAlignment="1">
      <alignment horizontal="right"/>
    </xf>
    <xf numFmtId="0" fontId="24" fillId="14" borderId="24" xfId="0" applyFont="1" applyFill="1" applyBorder="1"/>
    <xf numFmtId="0" fontId="24" fillId="14" borderId="0" xfId="0" applyFont="1" applyFill="1" applyBorder="1"/>
    <xf numFmtId="0" fontId="0" fillId="14" borderId="25" xfId="0" applyFill="1" applyBorder="1"/>
    <xf numFmtId="0" fontId="0" fillId="14" borderId="0" xfId="0" applyFill="1" applyBorder="1"/>
    <xf numFmtId="0" fontId="0" fillId="14" borderId="26" xfId="0" applyFill="1" applyBorder="1"/>
    <xf numFmtId="1" fontId="17" fillId="14" borderId="0" xfId="5" applyNumberFormat="1" applyFont="1" applyFill="1" applyBorder="1"/>
    <xf numFmtId="1" fontId="17" fillId="14" borderId="0" xfId="0" applyNumberFormat="1" applyFont="1" applyFill="1" applyBorder="1"/>
    <xf numFmtId="1" fontId="16" fillId="14" borderId="0" xfId="0" applyNumberFormat="1" applyFont="1" applyFill="1" applyBorder="1"/>
    <xf numFmtId="0" fontId="0" fillId="14" borderId="27" xfId="0" applyFill="1" applyBorder="1"/>
    <xf numFmtId="0" fontId="0" fillId="14" borderId="28" xfId="0" applyFill="1" applyBorder="1"/>
    <xf numFmtId="1" fontId="16" fillId="14" borderId="28" xfId="0" applyNumberFormat="1" applyFont="1" applyFill="1" applyBorder="1"/>
    <xf numFmtId="0" fontId="0" fillId="14" borderId="29" xfId="0" applyFill="1" applyBorder="1"/>
    <xf numFmtId="1" fontId="10" fillId="14" borderId="0" xfId="0" applyNumberFormat="1" applyFont="1" applyFill="1" applyBorder="1"/>
    <xf numFmtId="0" fontId="26" fillId="14" borderId="0" xfId="0" applyFont="1" applyFill="1"/>
    <xf numFmtId="0" fontId="24" fillId="14" borderId="0" xfId="0" applyFont="1" applyFill="1"/>
    <xf numFmtId="0" fontId="10" fillId="14" borderId="0" xfId="0" applyFont="1" applyFill="1"/>
    <xf numFmtId="0" fontId="33" fillId="14" borderId="37" xfId="0" applyFont="1" applyFill="1" applyBorder="1" applyAlignment="1">
      <alignment horizontal="right" vertical="center" wrapText="1"/>
    </xf>
    <xf numFmtId="0" fontId="32" fillId="14" borderId="37" xfId="0" applyFont="1" applyFill="1" applyBorder="1" applyAlignment="1">
      <alignment horizontal="left" vertical="center" wrapText="1"/>
    </xf>
    <xf numFmtId="0" fontId="32" fillId="14" borderId="37" xfId="0" applyFont="1" applyFill="1" applyBorder="1" applyAlignment="1">
      <alignment horizontal="right" vertical="center" wrapText="1"/>
    </xf>
    <xf numFmtId="0" fontId="0" fillId="12" borderId="0" xfId="0" applyFill="1" applyBorder="1"/>
    <xf numFmtId="0" fontId="9" fillId="12" borderId="0" xfId="0" applyFont="1" applyFill="1"/>
    <xf numFmtId="0" fontId="26" fillId="12" borderId="0" xfId="0" applyFont="1" applyFill="1"/>
    <xf numFmtId="0" fontId="24" fillId="12" borderId="0" xfId="0" applyFont="1" applyFill="1"/>
    <xf numFmtId="0" fontId="10" fillId="12" borderId="0" xfId="0" applyFont="1" applyFill="1"/>
    <xf numFmtId="0" fontId="0" fillId="12" borderId="42" xfId="0" applyFill="1" applyBorder="1"/>
    <xf numFmtId="0" fontId="0" fillId="12" borderId="34" xfId="0" applyFill="1" applyBorder="1"/>
    <xf numFmtId="0" fontId="0" fillId="12" borderId="35" xfId="0" applyFill="1" applyBorder="1"/>
    <xf numFmtId="9" fontId="0" fillId="12" borderId="0" xfId="4" applyFont="1" applyFill="1" applyBorder="1"/>
    <xf numFmtId="1" fontId="16" fillId="12" borderId="0" xfId="0" applyNumberFormat="1" applyFont="1" applyFill="1" applyBorder="1"/>
    <xf numFmtId="1" fontId="16" fillId="12" borderId="35" xfId="0" applyNumberFormat="1" applyFont="1" applyFill="1" applyBorder="1"/>
    <xf numFmtId="0" fontId="0" fillId="12" borderId="13" xfId="0" applyFill="1" applyBorder="1"/>
    <xf numFmtId="0" fontId="0" fillId="12" borderId="33" xfId="0" applyFill="1" applyBorder="1"/>
    <xf numFmtId="1" fontId="10" fillId="12" borderId="33" xfId="0" applyNumberFormat="1" applyFont="1" applyFill="1" applyBorder="1"/>
    <xf numFmtId="1" fontId="10" fillId="12" borderId="15" xfId="0" applyNumberFormat="1" applyFont="1" applyFill="1" applyBorder="1"/>
    <xf numFmtId="0" fontId="16" fillId="12" borderId="34" xfId="0" applyFont="1" applyFill="1" applyBorder="1"/>
    <xf numFmtId="0" fontId="16" fillId="12" borderId="0" xfId="0" applyFont="1" applyFill="1" applyBorder="1"/>
    <xf numFmtId="9" fontId="0" fillId="12" borderId="34" xfId="4" applyFont="1" applyFill="1" applyBorder="1"/>
    <xf numFmtId="9" fontId="9" fillId="12" borderId="0" xfId="4" applyFont="1" applyFill="1"/>
    <xf numFmtId="0" fontId="9" fillId="12" borderId="0" xfId="0" applyFont="1" applyFill="1" applyAlignment="1">
      <alignment horizontal="right"/>
    </xf>
    <xf numFmtId="9" fontId="9" fillId="12" borderId="0" xfId="0" applyNumberFormat="1" applyFont="1" applyFill="1"/>
    <xf numFmtId="0" fontId="9" fillId="12" borderId="0" xfId="4" applyNumberFormat="1" applyFont="1" applyFill="1"/>
    <xf numFmtId="0" fontId="24" fillId="12" borderId="0" xfId="0" applyFont="1" applyFill="1" applyAlignment="1">
      <alignment horizontal="right"/>
    </xf>
    <xf numFmtId="0" fontId="9" fillId="12" borderId="0" xfId="0" applyFont="1" applyFill="1" applyBorder="1" applyAlignment="1">
      <alignment horizontal="right"/>
    </xf>
    <xf numFmtId="1" fontId="9" fillId="12" borderId="0" xfId="0" applyNumberFormat="1" applyFont="1" applyFill="1" applyBorder="1" applyAlignment="1">
      <alignment horizontal="right"/>
    </xf>
    <xf numFmtId="0" fontId="10" fillId="12" borderId="0" xfId="0" applyFont="1" applyFill="1" applyAlignment="1">
      <alignment horizontal="right"/>
    </xf>
    <xf numFmtId="0" fontId="9" fillId="18" borderId="0" xfId="0" applyFont="1" applyFill="1"/>
    <xf numFmtId="0" fontId="0" fillId="18" borderId="0" xfId="0" applyFill="1"/>
    <xf numFmtId="0" fontId="9" fillId="18" borderId="0" xfId="0" applyFont="1" applyFill="1" applyAlignment="1">
      <alignment horizontal="right"/>
    </xf>
    <xf numFmtId="0" fontId="10" fillId="18" borderId="0" xfId="0" applyFont="1" applyFill="1"/>
    <xf numFmtId="0" fontId="21" fillId="18" borderId="0" xfId="0" applyFont="1" applyFill="1" applyBorder="1" applyAlignment="1">
      <alignment horizontal="center"/>
    </xf>
    <xf numFmtId="1" fontId="9" fillId="18" borderId="0" xfId="0" applyNumberFormat="1" applyFont="1" applyFill="1" applyAlignment="1">
      <alignment horizontal="right"/>
    </xf>
    <xf numFmtId="167" fontId="13" fillId="18" borderId="0" xfId="0" applyNumberFormat="1" applyFont="1" applyFill="1" applyBorder="1"/>
    <xf numFmtId="0" fontId="34" fillId="11" borderId="11" xfId="0" applyFont="1" applyFill="1" applyBorder="1" applyAlignment="1">
      <alignment horizontal="center"/>
    </xf>
    <xf numFmtId="0" fontId="35" fillId="18" borderId="10" xfId="0" applyFont="1" applyFill="1" applyBorder="1"/>
    <xf numFmtId="166" fontId="35" fillId="18" borderId="2" xfId="0" applyNumberFormat="1" applyFont="1" applyFill="1" applyBorder="1" applyAlignment="1">
      <alignment horizontal="right"/>
    </xf>
    <xf numFmtId="167" fontId="35" fillId="18" borderId="10" xfId="0" applyNumberFormat="1" applyFont="1" applyFill="1" applyBorder="1" applyAlignment="1">
      <alignment horizontal="right"/>
    </xf>
    <xf numFmtId="167" fontId="35" fillId="18" borderId="10" xfId="0" applyNumberFormat="1" applyFont="1" applyFill="1" applyBorder="1"/>
    <xf numFmtId="167" fontId="35" fillId="18" borderId="2" xfId="0" applyNumberFormat="1" applyFont="1" applyFill="1" applyBorder="1" applyAlignment="1">
      <alignment horizontal="right"/>
    </xf>
    <xf numFmtId="167" fontId="35" fillId="18" borderId="2" xfId="0" applyNumberFormat="1" applyFont="1" applyFill="1" applyBorder="1"/>
    <xf numFmtId="0" fontId="35" fillId="18" borderId="8" xfId="0" applyFont="1" applyFill="1" applyBorder="1"/>
    <xf numFmtId="166" fontId="35" fillId="18" borderId="8" xfId="0" applyNumberFormat="1" applyFont="1" applyFill="1" applyBorder="1" applyAlignment="1">
      <alignment horizontal="right"/>
    </xf>
    <xf numFmtId="167" fontId="35" fillId="18" borderId="8" xfId="0" applyNumberFormat="1" applyFont="1" applyFill="1" applyBorder="1" applyAlignment="1">
      <alignment horizontal="right"/>
    </xf>
    <xf numFmtId="167" fontId="35" fillId="18" borderId="8" xfId="0" applyNumberFormat="1" applyFont="1" applyFill="1" applyBorder="1"/>
    <xf numFmtId="0" fontId="35" fillId="15" borderId="2" xfId="0" applyFont="1" applyFill="1" applyBorder="1"/>
    <xf numFmtId="0" fontId="35" fillId="15" borderId="10" xfId="0" applyFont="1" applyFill="1" applyBorder="1"/>
    <xf numFmtId="166" fontId="35" fillId="15" borderId="2" xfId="0" applyNumberFormat="1" applyFont="1" applyFill="1" applyBorder="1" applyAlignment="1">
      <alignment horizontal="right"/>
    </xf>
    <xf numFmtId="167" fontId="35" fillId="15" borderId="2" xfId="0" applyNumberFormat="1" applyFont="1" applyFill="1" applyBorder="1" applyAlignment="1">
      <alignment horizontal="right"/>
    </xf>
    <xf numFmtId="167" fontId="35" fillId="15" borderId="2" xfId="0" applyNumberFormat="1" applyFont="1" applyFill="1" applyBorder="1"/>
    <xf numFmtId="0" fontId="35" fillId="15" borderId="8" xfId="0" applyFont="1" applyFill="1" applyBorder="1"/>
    <xf numFmtId="166" fontId="35" fillId="15" borderId="8" xfId="0" applyNumberFormat="1" applyFont="1" applyFill="1" applyBorder="1" applyAlignment="1">
      <alignment horizontal="right"/>
    </xf>
    <xf numFmtId="167" fontId="35" fillId="15" borderId="8" xfId="0" applyNumberFormat="1" applyFont="1" applyFill="1" applyBorder="1" applyAlignment="1">
      <alignment horizontal="right"/>
    </xf>
    <xf numFmtId="167" fontId="35" fillId="15" borderId="8" xfId="0" applyNumberFormat="1" applyFont="1" applyFill="1" applyBorder="1"/>
    <xf numFmtId="1" fontId="9" fillId="0" borderId="0" xfId="12" applyNumberFormat="1" applyFont="1"/>
    <xf numFmtId="1" fontId="10" fillId="0" borderId="0" xfId="12" applyNumberFormat="1" applyFont="1"/>
    <xf numFmtId="1" fontId="9" fillId="0" borderId="0" xfId="12" applyNumberFormat="1" applyFont="1"/>
    <xf numFmtId="1" fontId="10" fillId="0" borderId="0" xfId="12" applyNumberFormat="1" applyFont="1"/>
    <xf numFmtId="0" fontId="38" fillId="0" borderId="0" xfId="0" applyFont="1"/>
    <xf numFmtId="0" fontId="5" fillId="0" borderId="0" xfId="14"/>
    <xf numFmtId="0" fontId="4" fillId="0" borderId="0" xfId="15"/>
    <xf numFmtId="0" fontId="4" fillId="0" borderId="0" xfId="15"/>
    <xf numFmtId="0" fontId="3" fillId="0" borderId="0" xfId="16"/>
    <xf numFmtId="0" fontId="0" fillId="0" borderId="0" xfId="0" applyAlignment="1" applyProtection="1">
      <alignment horizontal="right"/>
      <protection locked="0"/>
    </xf>
    <xf numFmtId="0" fontId="3" fillId="0" borderId="0" xfId="16"/>
    <xf numFmtId="0" fontId="39" fillId="0" borderId="0" xfId="0" applyFont="1" applyAlignment="1" applyProtection="1">
      <alignment horizontal="right"/>
      <protection locked="0"/>
    </xf>
    <xf numFmtId="0" fontId="9" fillId="12" borderId="0" xfId="0" applyFont="1" applyFill="1" applyAlignment="1">
      <alignment horizontal="right"/>
    </xf>
    <xf numFmtId="0" fontId="9" fillId="14" borderId="0" xfId="0" applyFont="1" applyFill="1"/>
    <xf numFmtId="1" fontId="40" fillId="10" borderId="0" xfId="9" applyNumberFormat="1" applyFont="1" applyFill="1"/>
    <xf numFmtId="0" fontId="41" fillId="10" borderId="0" xfId="9" applyFont="1" applyFill="1"/>
    <xf numFmtId="0" fontId="42" fillId="0" borderId="0" xfId="0" applyFont="1" applyAlignment="1">
      <alignment horizontal="right"/>
    </xf>
    <xf numFmtId="0" fontId="42" fillId="0" borderId="0" xfId="0" applyFont="1"/>
    <xf numFmtId="0" fontId="44" fillId="0" borderId="0" xfId="0" applyFont="1"/>
    <xf numFmtId="0" fontId="42" fillId="0" borderId="0" xfId="0" applyFont="1" applyAlignment="1">
      <alignment horizontal="right"/>
    </xf>
    <xf numFmtId="0" fontId="45" fillId="0" borderId="0" xfId="0" applyFont="1"/>
    <xf numFmtId="0" fontId="43" fillId="0" borderId="0" xfId="0" applyFont="1"/>
    <xf numFmtId="0" fontId="45" fillId="0" borderId="0" xfId="0" applyFont="1" applyAlignment="1">
      <alignment horizontal="right"/>
    </xf>
    <xf numFmtId="0" fontId="42" fillId="0" borderId="0" xfId="0" applyFont="1" applyAlignment="1">
      <alignment horizontal="left"/>
    </xf>
    <xf numFmtId="1" fontId="42" fillId="0" borderId="0" xfId="0" applyNumberFormat="1" applyFont="1"/>
    <xf numFmtId="0" fontId="42" fillId="0" borderId="0" xfId="7" applyFont="1" applyAlignment="1">
      <alignment horizontal="right"/>
    </xf>
    <xf numFmtId="0" fontId="42" fillId="0" borderId="0" xfId="0" applyFont="1" applyBorder="1" applyAlignment="1">
      <alignment horizontal="right"/>
    </xf>
    <xf numFmtId="1" fontId="42" fillId="0" borderId="0" xfId="0" applyNumberFormat="1" applyFont="1" applyAlignment="1">
      <alignment horizontal="right"/>
    </xf>
    <xf numFmtId="1" fontId="42" fillId="0" borderId="0" xfId="0" applyNumberFormat="1" applyFont="1" applyBorder="1" applyAlignment="1">
      <alignment horizontal="right"/>
    </xf>
    <xf numFmtId="0" fontId="44" fillId="0" borderId="3" xfId="0" applyNumberFormat="1" applyFont="1" applyBorder="1" applyAlignment="1">
      <alignment horizontal="center" wrapText="1"/>
    </xf>
    <xf numFmtId="0" fontId="44" fillId="0" borderId="3" xfId="0" quotePrefix="1" applyNumberFormat="1" applyFont="1" applyBorder="1" applyAlignment="1">
      <alignment horizontal="center" wrapText="1"/>
    </xf>
    <xf numFmtId="0" fontId="44" fillId="0" borderId="0" xfId="0" applyFont="1" applyAlignment="1">
      <alignment horizontal="right"/>
    </xf>
    <xf numFmtId="164" fontId="42" fillId="0" borderId="0" xfId="6" applyFont="1" applyAlignment="1">
      <alignment horizontal="center"/>
    </xf>
    <xf numFmtId="0" fontId="46" fillId="0" borderId="0" xfId="0" applyFont="1"/>
    <xf numFmtId="0" fontId="46" fillId="0" borderId="0" xfId="0" applyFont="1" applyAlignment="1">
      <alignment horizontal="left"/>
    </xf>
    <xf numFmtId="1" fontId="46" fillId="0" borderId="0" xfId="0" applyNumberFormat="1" applyFont="1"/>
    <xf numFmtId="0" fontId="46" fillId="0" borderId="0" xfId="7" applyFont="1" applyAlignment="1">
      <alignment horizontal="right"/>
    </xf>
    <xf numFmtId="1" fontId="46" fillId="0" borderId="0" xfId="0" applyNumberFormat="1" applyFont="1" applyAlignment="1">
      <alignment horizontal="right"/>
    </xf>
    <xf numFmtId="0" fontId="47" fillId="0" borderId="0" xfId="0" applyFont="1"/>
    <xf numFmtId="0" fontId="47" fillId="0" borderId="3" xfId="0" applyNumberFormat="1" applyFont="1" applyBorder="1" applyAlignment="1">
      <alignment horizontal="center" wrapText="1"/>
    </xf>
    <xf numFmtId="0" fontId="47" fillId="0" borderId="3" xfId="0" quotePrefix="1" applyNumberFormat="1" applyFont="1" applyBorder="1" applyAlignment="1">
      <alignment horizontal="center" wrapText="1"/>
    </xf>
    <xf numFmtId="164" fontId="46" fillId="0" borderId="0" xfId="6" applyFont="1" applyAlignment="1">
      <alignment horizontal="center"/>
    </xf>
    <xf numFmtId="0" fontId="42" fillId="0" borderId="0" xfId="0" applyFont="1" applyFill="1" applyAlignment="1">
      <alignment horizontal="right"/>
    </xf>
    <xf numFmtId="0" fontId="42" fillId="14" borderId="0" xfId="0" applyFont="1" applyFill="1" applyAlignment="1">
      <alignment horizontal="right"/>
    </xf>
    <xf numFmtId="164" fontId="46" fillId="14" borderId="0" xfId="6" applyFont="1" applyFill="1" applyAlignment="1">
      <alignment horizontal="center"/>
    </xf>
    <xf numFmtId="1" fontId="46" fillId="14" borderId="0" xfId="0" applyNumberFormat="1" applyFont="1" applyFill="1"/>
    <xf numFmtId="0" fontId="42" fillId="0" borderId="0" xfId="9" applyFont="1"/>
    <xf numFmtId="9" fontId="42" fillId="0" borderId="0" xfId="4" applyFont="1"/>
    <xf numFmtId="0" fontId="42" fillId="0" borderId="0" xfId="9" applyFont="1" applyAlignment="1">
      <alignment horizontal="right"/>
    </xf>
    <xf numFmtId="0" fontId="42" fillId="0" borderId="0" xfId="4" applyNumberFormat="1" applyFont="1"/>
    <xf numFmtId="0" fontId="42" fillId="0" borderId="0" xfId="9" applyFont="1" applyFill="1"/>
    <xf numFmtId="9" fontId="42" fillId="0" borderId="0" xfId="9" applyNumberFormat="1" applyFont="1"/>
    <xf numFmtId="0" fontId="42" fillId="14" borderId="0" xfId="9" applyFont="1" applyFill="1"/>
    <xf numFmtId="0" fontId="42" fillId="14" borderId="0" xfId="9" applyFont="1" applyFill="1" applyAlignment="1">
      <alignment horizontal="center"/>
    </xf>
    <xf numFmtId="0" fontId="42" fillId="14" borderId="0" xfId="9" applyFont="1" applyFill="1" applyAlignment="1">
      <alignment horizontal="right" vertical="center"/>
    </xf>
    <xf numFmtId="0" fontId="49" fillId="12" borderId="0" xfId="0" applyFont="1" applyFill="1"/>
    <xf numFmtId="0" fontId="50" fillId="12" borderId="0" xfId="0" applyFont="1" applyFill="1"/>
    <xf numFmtId="0" fontId="51" fillId="12" borderId="0" xfId="0" applyFont="1" applyFill="1"/>
    <xf numFmtId="0" fontId="48" fillId="12" borderId="0" xfId="0" applyFont="1" applyFill="1"/>
    <xf numFmtId="0" fontId="49" fillId="12" borderId="0" xfId="0" applyFont="1" applyFill="1" applyAlignment="1">
      <alignment horizontal="left"/>
    </xf>
    <xf numFmtId="1" fontId="49" fillId="12" borderId="0" xfId="0" applyNumberFormat="1" applyFont="1" applyFill="1"/>
    <xf numFmtId="0" fontId="49" fillId="12" borderId="0" xfId="7" applyFont="1" applyFill="1" applyAlignment="1">
      <alignment horizontal="right"/>
    </xf>
    <xf numFmtId="164" fontId="49" fillId="12" borderId="0" xfId="6" applyFont="1" applyFill="1" applyAlignment="1">
      <alignment horizontal="center"/>
    </xf>
    <xf numFmtId="0" fontId="49" fillId="0" borderId="0" xfId="0" applyFont="1"/>
    <xf numFmtId="0" fontId="49" fillId="14" borderId="0" xfId="0" applyFont="1" applyFill="1" applyAlignment="1">
      <alignment horizontal="right"/>
    </xf>
    <xf numFmtId="0" fontId="51" fillId="14" borderId="0" xfId="0" applyFont="1" applyFill="1" applyAlignment="1">
      <alignment horizontal="right"/>
    </xf>
    <xf numFmtId="0" fontId="49" fillId="14" borderId="0" xfId="0" applyFont="1" applyFill="1" applyBorder="1" applyAlignment="1">
      <alignment horizontal="right"/>
    </xf>
    <xf numFmtId="1" fontId="49" fillId="14" borderId="0" xfId="0" applyNumberFormat="1" applyFont="1" applyFill="1" applyBorder="1" applyAlignment="1">
      <alignment horizontal="right"/>
    </xf>
    <xf numFmtId="0" fontId="50" fillId="14" borderId="0" xfId="0" applyFont="1" applyFill="1" applyBorder="1" applyAlignment="1">
      <alignment horizontal="right"/>
    </xf>
    <xf numFmtId="0" fontId="50" fillId="14" borderId="0" xfId="0" applyFont="1" applyFill="1" applyAlignment="1">
      <alignment horizontal="right"/>
    </xf>
    <xf numFmtId="0" fontId="49" fillId="12" borderId="0" xfId="0" applyFont="1" applyFill="1" applyAlignment="1">
      <alignment horizontal="right"/>
    </xf>
    <xf numFmtId="9" fontId="49" fillId="12" borderId="0" xfId="4" applyFont="1" applyFill="1"/>
    <xf numFmtId="0" fontId="49" fillId="12" borderId="0" xfId="4" applyNumberFormat="1" applyFont="1" applyFill="1"/>
    <xf numFmtId="0" fontId="42" fillId="0" borderId="0" xfId="0" applyFont="1" applyFill="1" applyBorder="1"/>
    <xf numFmtId="0" fontId="54" fillId="0" borderId="0" xfId="0" applyFont="1" applyFill="1" applyBorder="1" applyAlignment="1">
      <alignment wrapText="1"/>
    </xf>
    <xf numFmtId="0" fontId="17" fillId="0" borderId="0" xfId="0" applyFont="1"/>
    <xf numFmtId="0" fontId="56" fillId="19" borderId="45" xfId="8" applyNumberFormat="1" applyFont="1" applyFill="1" applyBorder="1" applyAlignment="1" applyProtection="1">
      <alignment horizontal="right" vertical="center" wrapText="1"/>
    </xf>
    <xf numFmtId="0" fontId="56" fillId="19" borderId="45" xfId="0" applyNumberFormat="1" applyFont="1" applyFill="1" applyBorder="1" applyAlignment="1" applyProtection="1">
      <alignment horizontal="right" vertical="center" wrapText="1"/>
    </xf>
    <xf numFmtId="0" fontId="57" fillId="0" borderId="0" xfId="0" applyFont="1"/>
    <xf numFmtId="0" fontId="55" fillId="0" borderId="0" xfId="0" applyFont="1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0" fontId="1" fillId="0" borderId="0" xfId="18"/>
    <xf numFmtId="168" fontId="0" fillId="0" borderId="0" xfId="0" applyNumberFormat="1"/>
    <xf numFmtId="0" fontId="34" fillId="12" borderId="3" xfId="0" applyFont="1" applyFill="1" applyBorder="1" applyAlignment="1">
      <alignment horizontal="center" vertical="center" wrapText="1"/>
    </xf>
    <xf numFmtId="168" fontId="35" fillId="0" borderId="2" xfId="0" applyNumberFormat="1" applyFont="1" applyBorder="1" applyAlignment="1">
      <alignment horizontal="right"/>
    </xf>
    <xf numFmtId="0" fontId="58" fillId="0" borderId="2" xfId="0" applyFont="1" applyBorder="1" applyAlignment="1">
      <alignment horizontal="right"/>
    </xf>
    <xf numFmtId="0" fontId="58" fillId="0" borderId="2" xfId="0" quotePrefix="1" applyFont="1" applyBorder="1" applyAlignment="1">
      <alignment horizontal="right"/>
    </xf>
    <xf numFmtId="0" fontId="10" fillId="7" borderId="2" xfId="0" applyFont="1" applyFill="1" applyBorder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5" xfId="9" applyFont="1" applyFill="1" applyBorder="1" applyAlignment="1">
      <alignment horizontal="center"/>
    </xf>
    <xf numFmtId="0" fontId="10" fillId="3" borderId="8" xfId="9" applyFont="1" applyFill="1" applyBorder="1" applyAlignment="1">
      <alignment horizontal="center"/>
    </xf>
    <xf numFmtId="0" fontId="10" fillId="3" borderId="9" xfId="9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8" xfId="0" applyFont="1" applyFill="1" applyBorder="1" applyAlignment="1">
      <alignment horizontal="center"/>
    </xf>
    <xf numFmtId="0" fontId="10" fillId="4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0" fillId="12" borderId="43" xfId="0" applyFont="1" applyFill="1" applyBorder="1" applyAlignment="1">
      <alignment horizontal="center"/>
    </xf>
    <xf numFmtId="0" fontId="10" fillId="12" borderId="44" xfId="0" applyFont="1" applyFill="1" applyBorder="1" applyAlignment="1">
      <alignment horizontal="center"/>
    </xf>
    <xf numFmtId="0" fontId="10" fillId="12" borderId="42" xfId="0" applyFont="1" applyFill="1" applyBorder="1" applyAlignment="1">
      <alignment horizontal="center"/>
    </xf>
    <xf numFmtId="0" fontId="31" fillId="14" borderId="38" xfId="0" applyFont="1" applyFill="1" applyBorder="1" applyAlignment="1">
      <alignment horizontal="center" vertical="center" wrapText="1"/>
    </xf>
    <xf numFmtId="0" fontId="31" fillId="14" borderId="39" xfId="0" applyFont="1" applyFill="1" applyBorder="1" applyAlignment="1">
      <alignment horizontal="center" vertical="center" wrapText="1"/>
    </xf>
    <xf numFmtId="0" fontId="33" fillId="14" borderId="40" xfId="0" applyFont="1" applyFill="1" applyBorder="1" applyAlignment="1">
      <alignment horizontal="center" vertical="center" wrapText="1"/>
    </xf>
    <xf numFmtId="0" fontId="33" fillId="14" borderId="41" xfId="0" applyFont="1" applyFill="1" applyBorder="1" applyAlignment="1">
      <alignment horizontal="center" vertical="center" wrapText="1"/>
    </xf>
    <xf numFmtId="0" fontId="10" fillId="12" borderId="0" xfId="0" applyFont="1" applyFill="1" applyAlignment="1">
      <alignment horizontal="center"/>
    </xf>
    <xf numFmtId="0" fontId="28" fillId="14" borderId="0" xfId="0" applyFont="1" applyFill="1" applyAlignment="1">
      <alignment horizontal="center" vertical="top" readingOrder="1"/>
    </xf>
    <xf numFmtId="0" fontId="50" fillId="12" borderId="0" xfId="0" applyFont="1" applyFill="1" applyAlignment="1">
      <alignment horizontal="center"/>
    </xf>
    <xf numFmtId="9" fontId="50" fillId="12" borderId="0" xfId="0" applyNumberFormat="1" applyFont="1" applyFill="1" applyAlignment="1">
      <alignment horizontal="center"/>
    </xf>
    <xf numFmtId="0" fontId="48" fillId="12" borderId="0" xfId="0" applyFont="1" applyFill="1" applyAlignment="1">
      <alignment horizontal="center"/>
    </xf>
    <xf numFmtId="0" fontId="34" fillId="11" borderId="3" xfId="0" applyFont="1" applyFill="1" applyBorder="1" applyAlignment="1">
      <alignment horizontal="left" vertical="center"/>
    </xf>
    <xf numFmtId="0" fontId="34" fillId="11" borderId="30" xfId="0" applyFont="1" applyFill="1" applyBorder="1" applyAlignment="1">
      <alignment horizontal="left" vertical="center"/>
    </xf>
    <xf numFmtId="0" fontId="34" fillId="11" borderId="2" xfId="0" applyFont="1" applyFill="1" applyBorder="1" applyAlignment="1">
      <alignment horizontal="center"/>
    </xf>
    <xf numFmtId="0" fontId="34" fillId="11" borderId="3" xfId="0" applyNumberFormat="1" applyFont="1" applyFill="1" applyBorder="1" applyAlignment="1">
      <alignment horizontal="center" vertical="center"/>
    </xf>
    <xf numFmtId="0" fontId="34" fillId="11" borderId="30" xfId="0" applyNumberFormat="1" applyFont="1" applyFill="1" applyBorder="1" applyAlignment="1">
      <alignment horizontal="center" vertical="center"/>
    </xf>
    <xf numFmtId="0" fontId="34" fillId="11" borderId="3" xfId="0" applyFont="1" applyFill="1" applyBorder="1" applyAlignment="1">
      <alignment horizontal="center" vertical="center"/>
    </xf>
    <xf numFmtId="0" fontId="34" fillId="11" borderId="30" xfId="0" applyFont="1" applyFill="1" applyBorder="1" applyAlignment="1">
      <alignment horizontal="center" vertical="center"/>
    </xf>
    <xf numFmtId="0" fontId="49" fillId="12" borderId="0" xfId="0" applyFont="1" applyFill="1" applyAlignment="1">
      <alignment horizontal="right"/>
    </xf>
    <xf numFmtId="0" fontId="34" fillId="11" borderId="5" xfId="0" applyFont="1" applyFill="1" applyBorder="1" applyAlignment="1">
      <alignment horizontal="center"/>
    </xf>
    <xf numFmtId="0" fontId="34" fillId="11" borderId="9" xfId="0" applyFont="1" applyFill="1" applyBorder="1" applyAlignment="1">
      <alignment horizontal="center"/>
    </xf>
    <xf numFmtId="0" fontId="34" fillId="12" borderId="3" xfId="0" applyFont="1" applyFill="1" applyBorder="1" applyAlignment="1">
      <alignment horizontal="left" vertical="center"/>
    </xf>
    <xf numFmtId="0" fontId="34" fillId="12" borderId="30" xfId="0" applyFont="1" applyFill="1" applyBorder="1" applyAlignment="1">
      <alignment horizontal="left" vertical="center"/>
    </xf>
    <xf numFmtId="0" fontId="34" fillId="12" borderId="31" xfId="0" applyFont="1" applyFill="1" applyBorder="1" applyAlignment="1">
      <alignment horizontal="left" vertical="center"/>
    </xf>
    <xf numFmtId="0" fontId="34" fillId="12" borderId="32" xfId="0" applyFont="1" applyFill="1" applyBorder="1" applyAlignment="1">
      <alignment horizontal="left" vertical="center"/>
    </xf>
    <xf numFmtId="0" fontId="34" fillId="12" borderId="9" xfId="0" applyFont="1" applyFill="1" applyBorder="1" applyAlignment="1">
      <alignment horizontal="center"/>
    </xf>
    <xf numFmtId="0" fontId="34" fillId="12" borderId="5" xfId="0" applyFont="1" applyFill="1" applyBorder="1" applyAlignment="1">
      <alignment horizontal="center"/>
    </xf>
    <xf numFmtId="0" fontId="34" fillId="12" borderId="16" xfId="0" applyFont="1" applyFill="1" applyBorder="1" applyAlignment="1">
      <alignment horizontal="center"/>
    </xf>
    <xf numFmtId="0" fontId="34" fillId="12" borderId="2" xfId="0" applyFont="1" applyFill="1" applyBorder="1" applyAlignment="1">
      <alignment horizontal="center"/>
    </xf>
    <xf numFmtId="0" fontId="34" fillId="12" borderId="17" xfId="0" applyFont="1" applyFill="1" applyBorder="1" applyAlignment="1">
      <alignment horizontal="center"/>
    </xf>
    <xf numFmtId="0" fontId="34" fillId="12" borderId="8" xfId="0" applyFont="1" applyFill="1" applyBorder="1" applyAlignment="1">
      <alignment horizontal="center"/>
    </xf>
    <xf numFmtId="0" fontId="36" fillId="12" borderId="3" xfId="0" applyFont="1" applyFill="1" applyBorder="1" applyAlignment="1">
      <alignment horizontal="center" vertical="center"/>
    </xf>
    <xf numFmtId="0" fontId="36" fillId="12" borderId="30" xfId="0" applyFont="1" applyFill="1" applyBorder="1" applyAlignment="1">
      <alignment horizontal="center" vertical="center"/>
    </xf>
    <xf numFmtId="0" fontId="34" fillId="12" borderId="3" xfId="9" applyFont="1" applyFill="1" applyBorder="1" applyAlignment="1">
      <alignment horizontal="left" vertical="center"/>
    </xf>
    <xf numFmtId="0" fontId="34" fillId="12" borderId="30" xfId="9" applyFont="1" applyFill="1" applyBorder="1" applyAlignment="1">
      <alignment horizontal="left" vertical="center"/>
    </xf>
    <xf numFmtId="0" fontId="34" fillId="12" borderId="5" xfId="9" applyFont="1" applyFill="1" applyBorder="1" applyAlignment="1">
      <alignment horizontal="center"/>
    </xf>
    <xf numFmtId="0" fontId="34" fillId="12" borderId="8" xfId="9" applyFont="1" applyFill="1" applyBorder="1" applyAlignment="1">
      <alignment horizontal="center"/>
    </xf>
    <xf numFmtId="0" fontId="34" fillId="12" borderId="9" xfId="9" applyFont="1" applyFill="1" applyBorder="1" applyAlignment="1">
      <alignment horizontal="center"/>
    </xf>
    <xf numFmtId="0" fontId="36" fillId="12" borderId="3" xfId="9" applyFont="1" applyFill="1" applyBorder="1" applyAlignment="1">
      <alignment horizontal="center" vertical="center"/>
    </xf>
    <xf numFmtId="0" fontId="36" fillId="12" borderId="30" xfId="9" applyFont="1" applyFill="1" applyBorder="1" applyAlignment="1">
      <alignment horizontal="center" vertical="center"/>
    </xf>
    <xf numFmtId="0" fontId="45" fillId="14" borderId="0" xfId="9" applyFont="1" applyFill="1" applyAlignment="1">
      <alignment horizontal="center" vertical="top" readingOrder="1"/>
    </xf>
    <xf numFmtId="0" fontId="44" fillId="0" borderId="0" xfId="9" applyFont="1" applyAlignment="1">
      <alignment horizontal="center"/>
    </xf>
    <xf numFmtId="0" fontId="28" fillId="14" borderId="0" xfId="9" applyFont="1" applyFill="1" applyAlignment="1">
      <alignment horizontal="center" vertical="top" readingOrder="1"/>
    </xf>
    <xf numFmtId="0" fontId="43" fillId="0" borderId="0" xfId="0" applyFont="1" applyAlignment="1">
      <alignment horizontal="center"/>
    </xf>
    <xf numFmtId="0" fontId="42" fillId="0" borderId="0" xfId="0" applyFont="1" applyAlignment="1">
      <alignment horizontal="right"/>
    </xf>
    <xf numFmtId="0" fontId="34" fillId="12" borderId="2" xfId="0" applyFont="1" applyFill="1" applyBorder="1" applyAlignment="1">
      <alignment horizontal="left" vertical="center"/>
    </xf>
    <xf numFmtId="0" fontId="34" fillId="12" borderId="11" xfId="0" applyFont="1" applyFill="1" applyBorder="1" applyAlignment="1">
      <alignment horizontal="left" vertical="center"/>
    </xf>
    <xf numFmtId="0" fontId="34" fillId="12" borderId="2" xfId="0" applyNumberFormat="1" applyFont="1" applyFill="1" applyBorder="1" applyAlignment="1">
      <alignment horizontal="center" vertical="center"/>
    </xf>
    <xf numFmtId="0" fontId="34" fillId="12" borderId="11" xfId="0" applyNumberFormat="1" applyFont="1" applyFill="1" applyBorder="1" applyAlignment="1">
      <alignment horizontal="center" vertical="center"/>
    </xf>
    <xf numFmtId="0" fontId="34" fillId="12" borderId="2" xfId="0" applyFont="1" applyFill="1" applyBorder="1" applyAlignment="1">
      <alignment horizontal="center" vertical="center"/>
    </xf>
    <xf numFmtId="0" fontId="34" fillId="12" borderId="11" xfId="0" applyFont="1" applyFill="1" applyBorder="1" applyAlignment="1">
      <alignment horizontal="center" vertical="center"/>
    </xf>
    <xf numFmtId="0" fontId="34" fillId="12" borderId="3" xfId="0" applyNumberFormat="1" applyFont="1" applyFill="1" applyBorder="1" applyAlignment="1">
      <alignment horizontal="center" vertical="center"/>
    </xf>
    <xf numFmtId="0" fontId="34" fillId="12" borderId="30" xfId="0" applyNumberFormat="1" applyFont="1" applyFill="1" applyBorder="1" applyAlignment="1">
      <alignment horizontal="center" vertical="center"/>
    </xf>
    <xf numFmtId="0" fontId="34" fillId="12" borderId="3" xfId="0" applyFont="1" applyFill="1" applyBorder="1" applyAlignment="1">
      <alignment horizontal="center" vertical="center"/>
    </xf>
    <xf numFmtId="0" fontId="34" fillId="12" borderId="30" xfId="0" applyFont="1" applyFill="1" applyBorder="1" applyAlignment="1">
      <alignment horizontal="center" vertical="center"/>
    </xf>
    <xf numFmtId="0" fontId="55" fillId="12" borderId="0" xfId="0" applyFont="1" applyFill="1" applyBorder="1"/>
    <xf numFmtId="0" fontId="49" fillId="12" borderId="0" xfId="0" applyFont="1" applyFill="1" applyBorder="1"/>
    <xf numFmtId="0" fontId="48" fillId="12" borderId="0" xfId="0" applyFont="1" applyFill="1" applyBorder="1" applyAlignment="1">
      <alignment horizontal="center"/>
    </xf>
    <xf numFmtId="0" fontId="50" fillId="12" borderId="0" xfId="0" applyFont="1" applyFill="1" applyBorder="1"/>
    <xf numFmtId="0" fontId="49" fillId="12" borderId="0" xfId="0" applyFont="1" applyFill="1" applyBorder="1" applyAlignment="1">
      <alignment horizontal="center"/>
    </xf>
    <xf numFmtId="0" fontId="51" fillId="12" borderId="0" xfId="0" applyFont="1" applyFill="1" applyBorder="1"/>
    <xf numFmtId="0" fontId="52" fillId="12" borderId="0" xfId="0" applyFont="1" applyFill="1" applyBorder="1"/>
    <xf numFmtId="0" fontId="52" fillId="12" borderId="0" xfId="7" applyFont="1" applyFill="1" applyBorder="1" applyAlignment="1">
      <alignment horizontal="right"/>
    </xf>
    <xf numFmtId="0" fontId="52" fillId="12" borderId="0" xfId="0" applyFont="1" applyFill="1" applyBorder="1" applyAlignment="1">
      <alignment horizontal="left"/>
    </xf>
    <xf numFmtId="1" fontId="52" fillId="12" borderId="0" xfId="0" applyNumberFormat="1" applyFont="1" applyFill="1" applyBorder="1"/>
    <xf numFmtId="1" fontId="52" fillId="12" borderId="0" xfId="0" applyNumberFormat="1" applyFont="1" applyFill="1" applyBorder="1" applyAlignment="1">
      <alignment horizontal="right"/>
    </xf>
    <xf numFmtId="0" fontId="53" fillId="12" borderId="0" xfId="0" applyNumberFormat="1" applyFont="1" applyFill="1" applyBorder="1" applyAlignment="1">
      <alignment horizontal="center" wrapText="1"/>
    </xf>
    <xf numFmtId="0" fontId="53" fillId="12" borderId="0" xfId="0" applyFont="1" applyFill="1" applyBorder="1"/>
    <xf numFmtId="0" fontId="53" fillId="12" borderId="0" xfId="0" applyFont="1" applyFill="1" applyBorder="1" applyAlignment="1">
      <alignment horizontal="center" wrapText="1"/>
    </xf>
    <xf numFmtId="0" fontId="53" fillId="12" borderId="0" xfId="0" quotePrefix="1" applyFont="1" applyFill="1" applyBorder="1" applyAlignment="1">
      <alignment horizontal="center" wrapText="1"/>
    </xf>
    <xf numFmtId="164" fontId="52" fillId="12" borderId="0" xfId="6" applyFont="1" applyFill="1" applyBorder="1" applyAlignment="1">
      <alignment horizontal="center"/>
    </xf>
    <xf numFmtId="0" fontId="49" fillId="12" borderId="0" xfId="0" applyFont="1" applyFill="1" applyBorder="1" applyAlignment="1">
      <alignment horizontal="right"/>
    </xf>
    <xf numFmtId="0" fontId="55" fillId="0" borderId="0" xfId="0" applyFont="1" applyBorder="1"/>
    <xf numFmtId="0" fontId="0" fillId="0" borderId="0" xfId="0" applyBorder="1"/>
    <xf numFmtId="0" fontId="53" fillId="12" borderId="0" xfId="0" quotePrefix="1" applyNumberFormat="1" applyFont="1" applyFill="1" applyBorder="1" applyAlignment="1">
      <alignment horizontal="center" wrapText="1"/>
    </xf>
    <xf numFmtId="0" fontId="59" fillId="18" borderId="0" xfId="0" applyFont="1" applyFill="1" applyAlignment="1">
      <alignment horizontal="center"/>
    </xf>
    <xf numFmtId="0" fontId="59" fillId="18" borderId="0" xfId="0" applyFont="1" applyFill="1"/>
    <xf numFmtId="0" fontId="60" fillId="18" borderId="0" xfId="0" applyFont="1" applyFill="1"/>
    <xf numFmtId="0" fontId="60" fillId="18" borderId="0" xfId="0" applyFont="1" applyFill="1" applyAlignment="1">
      <alignment horizontal="left"/>
    </xf>
    <xf numFmtId="0" fontId="61" fillId="18" borderId="0" xfId="0" applyFont="1" applyFill="1"/>
    <xf numFmtId="0" fontId="42" fillId="14" borderId="0" xfId="0" applyFont="1" applyFill="1" applyBorder="1" applyAlignment="1">
      <alignment horizontal="right"/>
    </xf>
    <xf numFmtId="1" fontId="42" fillId="14" borderId="0" xfId="0" applyNumberFormat="1" applyFont="1" applyFill="1" applyBorder="1" applyAlignment="1">
      <alignment horizontal="right"/>
    </xf>
    <xf numFmtId="0" fontId="44" fillId="14" borderId="0" xfId="0" applyFont="1" applyFill="1" applyBorder="1" applyAlignment="1">
      <alignment horizontal="right"/>
    </xf>
    <xf numFmtId="0" fontId="43" fillId="14" borderId="0" xfId="0" applyFont="1" applyFill="1" applyBorder="1" applyAlignment="1">
      <alignment horizontal="center"/>
    </xf>
    <xf numFmtId="0" fontId="42" fillId="14" borderId="0" xfId="0" applyFont="1" applyFill="1" applyBorder="1"/>
    <xf numFmtId="0" fontId="44" fillId="14" borderId="0" xfId="0" applyFont="1" applyFill="1" applyBorder="1"/>
    <xf numFmtId="0" fontId="42" fillId="14" borderId="0" xfId="0" applyFont="1" applyFill="1" applyBorder="1" applyAlignment="1"/>
    <xf numFmtId="0" fontId="45" fillId="14" borderId="0" xfId="0" applyFont="1" applyFill="1" applyBorder="1"/>
    <xf numFmtId="0" fontId="45" fillId="14" borderId="0" xfId="0" applyFont="1" applyFill="1" applyBorder="1" applyAlignment="1">
      <alignment horizontal="right"/>
    </xf>
    <xf numFmtId="0" fontId="42" fillId="14" borderId="0" xfId="0" applyFont="1" applyFill="1" applyBorder="1" applyAlignment="1">
      <alignment horizontal="left"/>
    </xf>
    <xf numFmtId="1" fontId="42" fillId="14" borderId="0" xfId="0" applyNumberFormat="1" applyFont="1" applyFill="1" applyBorder="1"/>
    <xf numFmtId="0" fontId="42" fillId="14" borderId="0" xfId="7" applyFont="1" applyFill="1" applyBorder="1" applyAlignment="1">
      <alignment horizontal="right"/>
    </xf>
    <xf numFmtId="0" fontId="44" fillId="14" borderId="0" xfId="0" applyNumberFormat="1" applyFont="1" applyFill="1" applyBorder="1" applyAlignment="1">
      <alignment horizontal="center" wrapText="1"/>
    </xf>
    <xf numFmtId="0" fontId="44" fillId="14" borderId="0" xfId="0" quotePrefix="1" applyNumberFormat="1" applyFont="1" applyFill="1" applyBorder="1" applyAlignment="1">
      <alignment horizontal="center" wrapText="1"/>
    </xf>
    <xf numFmtId="0" fontId="44" fillId="14" borderId="0" xfId="0" applyFont="1" applyFill="1" applyBorder="1" applyAlignment="1">
      <alignment horizontal="center" wrapText="1"/>
    </xf>
    <xf numFmtId="0" fontId="44" fillId="14" borderId="0" xfId="0" quotePrefix="1" applyFont="1" applyFill="1" applyBorder="1" applyAlignment="1">
      <alignment horizontal="center" wrapText="1"/>
    </xf>
    <xf numFmtId="164" fontId="42" fillId="14" borderId="0" xfId="6" applyFont="1" applyFill="1" applyBorder="1" applyAlignment="1">
      <alignment horizontal="center"/>
    </xf>
    <xf numFmtId="0" fontId="62" fillId="10" borderId="0" xfId="0" applyFont="1" applyFill="1" applyAlignment="1">
      <alignment horizontal="center"/>
    </xf>
    <xf numFmtId="0" fontId="62" fillId="10" borderId="0" xfId="0" applyFont="1" applyFill="1"/>
    <xf numFmtId="0" fontId="63" fillId="10" borderId="0" xfId="0" applyFont="1" applyFill="1"/>
    <xf numFmtId="0" fontId="63" fillId="10" borderId="0" xfId="0" applyFont="1" applyFill="1" applyAlignment="1">
      <alignment horizontal="left"/>
    </xf>
    <xf numFmtId="0" fontId="64" fillId="10" borderId="0" xfId="0" applyFont="1" applyFill="1"/>
    <xf numFmtId="0" fontId="67" fillId="15" borderId="0" xfId="0" applyFont="1" applyFill="1" applyAlignment="1">
      <alignment horizontal="center"/>
    </xf>
    <xf numFmtId="0" fontId="67" fillId="15" borderId="0" xfId="0" applyFont="1" applyFill="1"/>
    <xf numFmtId="0" fontId="68" fillId="15" borderId="0" xfId="0" applyFont="1" applyFill="1"/>
    <xf numFmtId="0" fontId="68" fillId="15" borderId="0" xfId="0" applyFont="1" applyFill="1" applyAlignment="1">
      <alignment horizontal="right"/>
    </xf>
    <xf numFmtId="0" fontId="69" fillId="15" borderId="0" xfId="0" applyFont="1" applyFill="1"/>
    <xf numFmtId="1" fontId="49" fillId="12" borderId="0" xfId="0" applyNumberFormat="1" applyFont="1" applyFill="1" applyBorder="1"/>
    <xf numFmtId="1" fontId="49" fillId="12" borderId="0" xfId="0" applyNumberFormat="1" applyFont="1" applyFill="1" applyBorder="1" applyAlignment="1">
      <alignment horizontal="right"/>
    </xf>
    <xf numFmtId="0" fontId="50" fillId="12" borderId="0" xfId="0" applyNumberFormat="1" applyFont="1" applyFill="1" applyBorder="1" applyAlignment="1">
      <alignment horizontal="center" wrapText="1"/>
    </xf>
    <xf numFmtId="0" fontId="50" fillId="12" borderId="0" xfId="0" quotePrefix="1" applyNumberFormat="1" applyFont="1" applyFill="1" applyBorder="1" applyAlignment="1">
      <alignment horizontal="center" wrapText="1"/>
    </xf>
    <xf numFmtId="164" fontId="49" fillId="12" borderId="0" xfId="6" applyFont="1" applyFill="1" applyBorder="1" applyAlignment="1">
      <alignment horizontal="center"/>
    </xf>
    <xf numFmtId="0" fontId="66" fillId="10" borderId="0" xfId="0" applyFont="1" applyFill="1"/>
    <xf numFmtId="0" fontId="41" fillId="10" borderId="0" xfId="0" applyFont="1" applyFill="1"/>
    <xf numFmtId="0" fontId="40" fillId="10" borderId="0" xfId="0" applyFont="1" applyFill="1"/>
    <xf numFmtId="0" fontId="65" fillId="10" borderId="0" xfId="0" applyFont="1" applyFill="1"/>
    <xf numFmtId="0" fontId="70" fillId="15" borderId="0" xfId="0" applyFont="1" applyFill="1"/>
    <xf numFmtId="0" fontId="41" fillId="10" borderId="0" xfId="0" applyFont="1" applyFill="1" applyAlignment="1">
      <alignment horizontal="center"/>
    </xf>
    <xf numFmtId="0" fontId="67" fillId="15" borderId="0" xfId="0" applyFont="1" applyFill="1" applyAlignment="1">
      <alignment horizontal="center"/>
    </xf>
    <xf numFmtId="0" fontId="69" fillId="15" borderId="0" xfId="0" applyFont="1" applyFill="1" applyAlignment="1">
      <alignment horizontal="center"/>
    </xf>
    <xf numFmtId="0" fontId="65" fillId="10" borderId="0" xfId="9" applyFont="1" applyFill="1"/>
    <xf numFmtId="0" fontId="40" fillId="10" borderId="0" xfId="9" applyFont="1" applyFill="1"/>
    <xf numFmtId="0" fontId="66" fillId="10" borderId="0" xfId="9" applyFont="1" applyFill="1"/>
    <xf numFmtId="0" fontId="62" fillId="10" borderId="0" xfId="9" applyFont="1" applyFill="1"/>
    <xf numFmtId="0" fontId="71" fillId="10" borderId="0" xfId="9" applyFont="1" applyFill="1"/>
    <xf numFmtId="0" fontId="64" fillId="10" borderId="0" xfId="9" applyFont="1" applyFill="1"/>
    <xf numFmtId="1" fontId="71" fillId="10" borderId="0" xfId="9" applyNumberFormat="1" applyFont="1" applyFill="1"/>
    <xf numFmtId="0" fontId="63" fillId="10" borderId="0" xfId="9" applyFont="1" applyFill="1"/>
    <xf numFmtId="0" fontId="67" fillId="15" borderId="0" xfId="9" applyFont="1" applyFill="1"/>
    <xf numFmtId="0" fontId="70" fillId="15" borderId="0" xfId="9" applyFont="1" applyFill="1"/>
    <xf numFmtId="0" fontId="68" fillId="15" borderId="0" xfId="9" applyFont="1" applyFill="1"/>
    <xf numFmtId="0" fontId="69" fillId="15" borderId="0" xfId="9" applyFont="1" applyFill="1"/>
    <xf numFmtId="1" fontId="70" fillId="15" borderId="0" xfId="9" applyNumberFormat="1" applyFont="1" applyFill="1"/>
    <xf numFmtId="0" fontId="45" fillId="0" borderId="0" xfId="9" applyFont="1"/>
    <xf numFmtId="0" fontId="44" fillId="0" borderId="0" xfId="9" applyFont="1"/>
    <xf numFmtId="0" fontId="65" fillId="10" borderId="0" xfId="0" applyFont="1" applyFill="1" applyAlignment="1">
      <alignment horizontal="center"/>
    </xf>
    <xf numFmtId="0" fontId="10" fillId="15" borderId="33" xfId="9" applyFont="1" applyFill="1" applyBorder="1" applyAlignment="1">
      <alignment horizontal="center"/>
    </xf>
    <xf numFmtId="0" fontId="65" fillId="10" borderId="0" xfId="0" applyFont="1" applyFill="1" applyAlignment="1"/>
    <xf numFmtId="0" fontId="67" fillId="15" borderId="0" xfId="0" applyFont="1" applyFill="1" applyAlignment="1"/>
    <xf numFmtId="0" fontId="9" fillId="0" borderId="0" xfId="0" applyFont="1" applyFill="1"/>
    <xf numFmtId="1" fontId="42" fillId="0" borderId="0" xfId="0" applyNumberFormat="1" applyFont="1" applyBorder="1"/>
    <xf numFmtId="0" fontId="42" fillId="0" borderId="0" xfId="7" applyFont="1" applyBorder="1" applyAlignment="1">
      <alignment horizontal="right"/>
    </xf>
    <xf numFmtId="0" fontId="42" fillId="0" borderId="0" xfId="0" applyFont="1" applyBorder="1" applyAlignment="1">
      <alignment horizontal="left"/>
    </xf>
    <xf numFmtId="0" fontId="42" fillId="0" borderId="0" xfId="0" applyFont="1" applyBorder="1"/>
    <xf numFmtId="0" fontId="44" fillId="0" borderId="0" xfId="0" applyFont="1" applyBorder="1"/>
    <xf numFmtId="0" fontId="44" fillId="0" borderId="0" xfId="0" applyNumberFormat="1" applyFont="1" applyBorder="1" applyAlignment="1">
      <alignment horizontal="center" wrapText="1"/>
    </xf>
    <xf numFmtId="0" fontId="44" fillId="0" borderId="0" xfId="0" quotePrefix="1" applyNumberFormat="1" applyFont="1" applyBorder="1" applyAlignment="1">
      <alignment horizontal="center" wrapText="1"/>
    </xf>
    <xf numFmtId="164" fontId="42" fillId="0" borderId="0" xfId="6" applyFont="1" applyBorder="1" applyAlignment="1">
      <alignment horizontal="center"/>
    </xf>
  </cellXfs>
  <cellStyles count="19">
    <cellStyle name="Comma" xfId="6" builtinId="3"/>
    <cellStyle name="Normal" xfId="0" builtinId="0"/>
    <cellStyle name="Normal 10" xfId="17"/>
    <cellStyle name="Normal 11" xfId="18"/>
    <cellStyle name="Normal 2" xfId="8"/>
    <cellStyle name="Normal 3" xfId="9"/>
    <cellStyle name="Normal 4" xfId="10"/>
    <cellStyle name="Normal 5" xfId="12"/>
    <cellStyle name="Normal 6" xfId="13"/>
    <cellStyle name="Normal 7" xfId="14"/>
    <cellStyle name="Normal 8" xfId="15"/>
    <cellStyle name="Normal 9" xfId="16"/>
    <cellStyle name="Normal_Data" xfId="1"/>
    <cellStyle name="Normal_Data_2" xfId="11"/>
    <cellStyle name="Normal_LOK" xfId="2"/>
    <cellStyle name="Normal_LOK-Data" xfId="3"/>
    <cellStyle name="Normal_Lt7801pop" xfId="5"/>
    <cellStyle name="Normal_mot_ASR" xfId="7"/>
    <cellStyle name="Percent" xfId="4" builtinId="5"/>
  </cellStyles>
  <dxfs count="0"/>
  <tableStyles count="0" defaultTableStyle="TableStyleMedium2" defaultPivotStyle="PivotStyleLight16"/>
  <colors>
    <mruColors>
      <color rgb="FFFFCCCC"/>
      <color rgb="FFCCECFF"/>
      <color rgb="FFF2DCDB"/>
      <color rgb="FF020232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20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2.xml"/></Relationships>
</file>

<file path=xl/charts/_rels/chart32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3.xml"/></Relationships>
</file>

<file path=xl/charts/_rels/chart44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ctr">
              <a:defRPr sz="800"/>
            </a:pPr>
            <a:r>
              <a:rPr lang="lt-LT" sz="800" b="0">
                <a:solidFill>
                  <a:schemeClr val="accent1"/>
                </a:solidFill>
              </a:rPr>
              <a:t>1978</a:t>
            </a:r>
            <a:br>
              <a:rPr lang="lt-LT" sz="800" b="0">
                <a:solidFill>
                  <a:schemeClr val="accent1"/>
                </a:solidFill>
              </a:rPr>
            </a:br>
            <a:r>
              <a:rPr lang="en-US" sz="800" b="0">
                <a:solidFill>
                  <a:schemeClr val="accent1"/>
                </a:solidFill>
              </a:rPr>
              <a:t>Vyrai    </a:t>
            </a:r>
            <a:r>
              <a:rPr lang="en-US" sz="800" b="0"/>
              <a:t>                                                                  </a:t>
            </a:r>
            <a:r>
              <a:rPr lang="en-US" sz="800" b="0" baseline="0"/>
              <a:t> </a:t>
            </a:r>
            <a:r>
              <a:rPr lang="en-US" sz="800" b="0"/>
              <a:t>                    </a:t>
            </a:r>
            <a:r>
              <a:rPr lang="en-US" sz="800" b="0">
                <a:solidFill>
                  <a:schemeClr val="accent2"/>
                </a:solidFill>
              </a:rPr>
              <a:t>Moterys</a:t>
            </a:r>
            <a:endParaRPr lang="lt-LT" sz="800" b="0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300569823138305"/>
          <c:y val="2.1505376344086023E-2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9951881014874"/>
          <c:y val="0.12502525252525254"/>
          <c:w val="0.85922003499562549"/>
          <c:h val="0.78214292929292928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'Kiti grafikai'!$X$4</c:f>
              <c:strCache>
                <c:ptCount val="1"/>
                <c:pt idx="0">
                  <c:v>Vyrai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grafikai'!$X$5:$X$22</c:f>
              <c:numCache>
                <c:formatCode>0%</c:formatCode>
                <c:ptCount val="18"/>
                <c:pt idx="0">
                  <c:v>-8.2632851090317663E-2</c:v>
                </c:pt>
                <c:pt idx="1">
                  <c:v>-8.7398598449861448E-2</c:v>
                </c:pt>
                <c:pt idx="2">
                  <c:v>-8.7034657242681016E-2</c:v>
                </c:pt>
                <c:pt idx="3">
                  <c:v>-9.7385019677924581E-2</c:v>
                </c:pt>
                <c:pt idx="4">
                  <c:v>-8.4350904582145295E-2</c:v>
                </c:pt>
                <c:pt idx="5">
                  <c:v>-7.6778417533432397E-2</c:v>
                </c:pt>
                <c:pt idx="6">
                  <c:v>-6.6259889161077862E-2</c:v>
                </c:pt>
                <c:pt idx="7">
                  <c:v>-7.2633880165455203E-2</c:v>
                </c:pt>
                <c:pt idx="8">
                  <c:v>-6.9465709208465523E-2</c:v>
                </c:pt>
                <c:pt idx="9">
                  <c:v>-6.7709379141399947E-2</c:v>
                </c:pt>
                <c:pt idx="10">
                  <c:v>-5.2772102526002972E-2</c:v>
                </c:pt>
                <c:pt idx="11">
                  <c:v>-3.8180570057427414E-2</c:v>
                </c:pt>
                <c:pt idx="12">
                  <c:v>-2.6195609614071726E-2</c:v>
                </c:pt>
                <c:pt idx="13">
                  <c:v>-2.9547633629171521E-2</c:v>
                </c:pt>
                <c:pt idx="14">
                  <c:v>-3.1029125336331873E-2</c:v>
                </c:pt>
                <c:pt idx="15">
                  <c:v>-1.6705528894421912E-2</c:v>
                </c:pt>
                <c:pt idx="16">
                  <c:v>-8.6065820649773098E-3</c:v>
                </c:pt>
                <c:pt idx="17">
                  <c:v>-5.3135416248343437E-3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04-483F-BC6D-423232D095B6}"/>
            </c:ext>
          </c:extLst>
        </c:ser>
        <c:ser>
          <c:idx val="1"/>
          <c:order val="1"/>
          <c:tx>
            <c:strRef>
              <c:f>'Kiti grafikai'!$Y$4</c:f>
              <c:strCache>
                <c:ptCount val="1"/>
                <c:pt idx="0">
                  <c:v>Moterys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grafikai'!$Y$5:$Y$22</c:f>
              <c:numCache>
                <c:formatCode>0%</c:formatCode>
                <c:ptCount val="18"/>
                <c:pt idx="0">
                  <c:v>7.1721005088609679E-2</c:v>
                </c:pt>
                <c:pt idx="1">
                  <c:v>7.5527802557240564E-2</c:v>
                </c:pt>
                <c:pt idx="2">
                  <c:v>7.5403485252439728E-2</c:v>
                </c:pt>
                <c:pt idx="3">
                  <c:v>8.0916005740995542E-2</c:v>
                </c:pt>
                <c:pt idx="4">
                  <c:v>7.2295552632418936E-2</c:v>
                </c:pt>
                <c:pt idx="5">
                  <c:v>6.8426596511387633E-2</c:v>
                </c:pt>
                <c:pt idx="6">
                  <c:v>6.1934097268771214E-2</c:v>
                </c:pt>
                <c:pt idx="7">
                  <c:v>6.8853867248158063E-2</c:v>
                </c:pt>
                <c:pt idx="8">
                  <c:v>6.9882004958132501E-2</c:v>
                </c:pt>
                <c:pt idx="9">
                  <c:v>6.9309137377901647E-2</c:v>
                </c:pt>
                <c:pt idx="10">
                  <c:v>6.5330423636415558E-2</c:v>
                </c:pt>
                <c:pt idx="11">
                  <c:v>5.0318269099925914E-2</c:v>
                </c:pt>
                <c:pt idx="12">
                  <c:v>3.6549287611444582E-2</c:v>
                </c:pt>
                <c:pt idx="13">
                  <c:v>4.3674573135254427E-2</c:v>
                </c:pt>
                <c:pt idx="14">
                  <c:v>3.7367429874120332E-2</c:v>
                </c:pt>
                <c:pt idx="15">
                  <c:v>2.7591721811471126E-2</c:v>
                </c:pt>
                <c:pt idx="16">
                  <c:v>1.4568084163935326E-2</c:v>
                </c:pt>
                <c:pt idx="17">
                  <c:v>1.033065603137724E-2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604-483F-BC6D-423232D095B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7360256"/>
        <c:axId val="47263744"/>
      </c:barChart>
      <c:catAx>
        <c:axId val="47360256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47263744"/>
        <c:crosses val="autoZero"/>
        <c:auto val="1"/>
        <c:lblAlgn val="ctr"/>
        <c:lblOffset val="100"/>
        <c:tickLblSkip val="1"/>
        <c:noMultiLvlLbl val="0"/>
      </c:catAx>
      <c:valAx>
        <c:axId val="47263744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crossAx val="47360256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GrafikaiSerg!$W$28:$W$38</c:f>
              <c:strCache>
                <c:ptCount val="11"/>
                <c:pt idx="0">
                  <c:v>Kiti</c:v>
                </c:pt>
                <c:pt idx="1">
                  <c:v>Burnos ertmės ir ryklės</c:v>
                </c:pt>
                <c:pt idx="2">
                  <c:v>Odos melanoma</c:v>
                </c:pt>
                <c:pt idx="3">
                  <c:v>Kaulų ir jungiamojo audinio</c:v>
                </c:pt>
                <c:pt idx="4">
                  <c:v>Smegenų</c:v>
                </c:pt>
                <c:pt idx="5">
                  <c:v>Skydliaukės</c:v>
                </c:pt>
                <c:pt idx="6">
                  <c:v>Ne Hodžkino limfomos</c:v>
                </c:pt>
                <c:pt idx="7">
                  <c:v>Leukemijos</c:v>
                </c:pt>
                <c:pt idx="8">
                  <c:v>Kiti odos piktybiniai navikai</c:v>
                </c:pt>
                <c:pt idx="9">
                  <c:v>Hodžkino limfomos</c:v>
                </c:pt>
                <c:pt idx="10">
                  <c:v>Sėklidžių</c:v>
                </c:pt>
              </c:strCache>
            </c:strRef>
          </c:cat>
          <c:val>
            <c:numRef>
              <c:f>GrafikaiSerg!$Y$28:$Y$38</c:f>
              <c:numCache>
                <c:formatCode>0%</c:formatCode>
                <c:ptCount val="11"/>
                <c:pt idx="0">
                  <c:v>0.11475409836065574</c:v>
                </c:pt>
                <c:pt idx="1">
                  <c:v>3.2786885245901641E-2</c:v>
                </c:pt>
                <c:pt idx="2">
                  <c:v>3.2786885245901641E-2</c:v>
                </c:pt>
                <c:pt idx="3">
                  <c:v>6.5573770491803282E-2</c:v>
                </c:pt>
                <c:pt idx="4">
                  <c:v>6.5573770491803282E-2</c:v>
                </c:pt>
                <c:pt idx="5">
                  <c:v>6.5573770491803282E-2</c:v>
                </c:pt>
                <c:pt idx="6">
                  <c:v>6.5573770491803282E-2</c:v>
                </c:pt>
                <c:pt idx="7">
                  <c:v>8.1967213114754092E-2</c:v>
                </c:pt>
                <c:pt idx="8">
                  <c:v>0.11475409836065574</c:v>
                </c:pt>
                <c:pt idx="9">
                  <c:v>0.13114754098360656</c:v>
                </c:pt>
                <c:pt idx="10">
                  <c:v>0.22950819672131148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6E-4C1E-BD9F-518D5638E2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68640"/>
        <c:axId val="69970176"/>
      </c:barChart>
      <c:catAx>
        <c:axId val="69968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699701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70176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68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GrafikaiSerg!$W$41:$W$51</c:f>
              <c:strCache>
                <c:ptCount val="11"/>
                <c:pt idx="0">
                  <c:v>Kiti</c:v>
                </c:pt>
                <c:pt idx="1">
                  <c:v>Gerklų</c:v>
                </c:pt>
                <c:pt idx="2">
                  <c:v>Stemplės</c:v>
                </c:pt>
                <c:pt idx="3">
                  <c:v>Kasos</c:v>
                </c:pt>
                <c:pt idx="4">
                  <c:v>Smegenų</c:v>
                </c:pt>
                <c:pt idx="5">
                  <c:v>Skrandžio</c:v>
                </c:pt>
                <c:pt idx="6">
                  <c:v>Burnos ertmės ir ryklės</c:v>
                </c:pt>
                <c:pt idx="7">
                  <c:v>Inkstų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GrafikaiSerg!$Y$41:$Y$51</c:f>
              <c:numCache>
                <c:formatCode>0%</c:formatCode>
                <c:ptCount val="11"/>
                <c:pt idx="0">
                  <c:v>0.27551020408163263</c:v>
                </c:pt>
                <c:pt idx="1">
                  <c:v>2.9042386185243328E-2</c:v>
                </c:pt>
                <c:pt idx="2">
                  <c:v>2.9827315541601257E-2</c:v>
                </c:pt>
                <c:pt idx="3">
                  <c:v>3.2967032967032968E-2</c:v>
                </c:pt>
                <c:pt idx="4">
                  <c:v>3.453689167974882E-2</c:v>
                </c:pt>
                <c:pt idx="5">
                  <c:v>5.6514913657770803E-2</c:v>
                </c:pt>
                <c:pt idx="6">
                  <c:v>5.8084772370486655E-2</c:v>
                </c:pt>
                <c:pt idx="7">
                  <c:v>5.8084772370486655E-2</c:v>
                </c:pt>
                <c:pt idx="8">
                  <c:v>7.6138147566718994E-2</c:v>
                </c:pt>
                <c:pt idx="9">
                  <c:v>9.3406593406593408E-2</c:v>
                </c:pt>
                <c:pt idx="10">
                  <c:v>0.25588697017268447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D1-433B-982A-76D70334085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86176"/>
        <c:axId val="69987712"/>
      </c:barChart>
      <c:catAx>
        <c:axId val="69986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99877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8771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86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GrafikaiSerg!$W$54:$W$64</c:f>
              <c:strCache>
                <c:ptCount val="11"/>
                <c:pt idx="0">
                  <c:v>Kiti</c:v>
                </c:pt>
                <c:pt idx="1">
                  <c:v>Šlapimo pūslės</c:v>
                </c:pt>
                <c:pt idx="2">
                  <c:v>Kasos</c:v>
                </c:pt>
                <c:pt idx="3">
                  <c:v>Burnos ertmės ir ryklės</c:v>
                </c:pt>
                <c:pt idx="4">
                  <c:v>Tiesiosios žarnos, išangės</c:v>
                </c:pt>
                <c:pt idx="5">
                  <c:v>Gaubtinės žarnos</c:v>
                </c:pt>
                <c:pt idx="6">
                  <c:v>Skrandžio</c:v>
                </c:pt>
                <c:pt idx="7">
                  <c:v>Inkstų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GrafikaiSerg!$Y$54:$Y$64</c:f>
              <c:numCache>
                <c:formatCode>0%</c:formatCode>
                <c:ptCount val="11"/>
                <c:pt idx="0">
                  <c:v>0.15228426395939088</c:v>
                </c:pt>
                <c:pt idx="1">
                  <c:v>2.3980395589007528E-2</c:v>
                </c:pt>
                <c:pt idx="2">
                  <c:v>2.8006301417819009E-2</c:v>
                </c:pt>
                <c:pt idx="3">
                  <c:v>2.8531419569403117E-2</c:v>
                </c:pt>
                <c:pt idx="4">
                  <c:v>3.1857167862769126E-2</c:v>
                </c:pt>
                <c:pt idx="5">
                  <c:v>3.8508664449501136E-2</c:v>
                </c:pt>
                <c:pt idx="6">
                  <c:v>4.2359530894451249E-2</c:v>
                </c:pt>
                <c:pt idx="7">
                  <c:v>4.5510239803955889E-2</c:v>
                </c:pt>
                <c:pt idx="8">
                  <c:v>7.4041659373359006E-2</c:v>
                </c:pt>
                <c:pt idx="9">
                  <c:v>0.13162961666374934</c:v>
                </c:pt>
                <c:pt idx="10">
                  <c:v>0.40329074041659374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49-4129-BC16-FB021D36DC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70040576"/>
        <c:axId val="70042368"/>
      </c:barChart>
      <c:catAx>
        <c:axId val="70040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70042368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70042368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70040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GrafikaiSerg!$AA$2:$AA$12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Skydliaukės</c:v>
                </c:pt>
                <c:pt idx="3">
                  <c:v>Tiesiosios žarnos, išangės</c:v>
                </c:pt>
                <c:pt idx="4">
                  <c:v>Skrandžio</c:v>
                </c:pt>
                <c:pt idx="5">
                  <c:v>Gimdos kaklelio</c:v>
                </c:pt>
                <c:pt idx="6">
                  <c:v>Kiaušidžių</c:v>
                </c:pt>
                <c:pt idx="7">
                  <c:v>Gaubtinės žarnos</c:v>
                </c:pt>
                <c:pt idx="8">
                  <c:v>Gimdos kūno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GrafikaiSerg!$AC$2:$AC$12</c:f>
              <c:numCache>
                <c:formatCode>0%</c:formatCode>
                <c:ptCount val="11"/>
                <c:pt idx="0">
                  <c:v>0.26011840038661349</c:v>
                </c:pt>
                <c:pt idx="1">
                  <c:v>3.2137247795094838E-2</c:v>
                </c:pt>
                <c:pt idx="2">
                  <c:v>3.5520115984052192E-2</c:v>
                </c:pt>
                <c:pt idx="3">
                  <c:v>3.9507067778180499E-2</c:v>
                </c:pt>
                <c:pt idx="4">
                  <c:v>4.2648302525069473E-2</c:v>
                </c:pt>
                <c:pt idx="5">
                  <c:v>4.4218919898513953E-2</c:v>
                </c:pt>
                <c:pt idx="6">
                  <c:v>4.8809955297813221E-2</c:v>
                </c:pt>
                <c:pt idx="7">
                  <c:v>5.6542225444001448E-2</c:v>
                </c:pt>
                <c:pt idx="8">
                  <c:v>7.4423100157061731E-2</c:v>
                </c:pt>
                <c:pt idx="9">
                  <c:v>0.16612299142201281</c:v>
                </c:pt>
                <c:pt idx="10">
                  <c:v>0.19995167331158634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56-4500-93A6-CF99E19671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052736"/>
        <c:axId val="94054272"/>
      </c:barChart>
      <c:catAx>
        <c:axId val="940527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05427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05427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0527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GrafikaiSerg!$AA$15:$AA$25</c:f>
              <c:strCache>
                <c:ptCount val="11"/>
                <c:pt idx="4">
                  <c:v>Kiti</c:v>
                </c:pt>
                <c:pt idx="5">
                  <c:v>Kitų kvėpavimo sistemos organų</c:v>
                </c:pt>
                <c:pt idx="6">
                  <c:v>Kiti limfinio, kraujodaros audinių</c:v>
                </c:pt>
                <c:pt idx="7">
                  <c:v>Kaulų ir jungiamojo audinio</c:v>
                </c:pt>
                <c:pt idx="8">
                  <c:v>Kitų virškinimo sistemos organų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GrafikaiSerg!$AC$15:$AC$25</c:f>
              <c:numCache>
                <c:formatCode>General</c:formatCode>
                <c:ptCount val="11"/>
                <c:pt idx="4" formatCode="0%">
                  <c:v>1.0000000000000001E-5</c:v>
                </c:pt>
                <c:pt idx="5" formatCode="0%">
                  <c:v>4.3478260869565216E-2</c:v>
                </c:pt>
                <c:pt idx="6" formatCode="0%">
                  <c:v>4.3478260869565216E-2</c:v>
                </c:pt>
                <c:pt idx="7" formatCode="0%">
                  <c:v>8.6956521739130432E-2</c:v>
                </c:pt>
                <c:pt idx="8" formatCode="0%">
                  <c:v>0.13043478260869565</c:v>
                </c:pt>
                <c:pt idx="9" formatCode="0%">
                  <c:v>0.21739130434782608</c:v>
                </c:pt>
                <c:pt idx="10" formatCode="0%">
                  <c:v>0.47826086956521741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C5-458E-9F59-900B250B2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095232"/>
        <c:axId val="94096768"/>
      </c:barChart>
      <c:catAx>
        <c:axId val="940952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0967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096768"/>
        <c:scaling>
          <c:orientation val="minMax"/>
          <c:max val="0.5600000000000000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0952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GrafikaiSerg!$AA$28:$AA$38</c:f>
              <c:strCache>
                <c:ptCount val="11"/>
                <c:pt idx="0">
                  <c:v>Kiti</c:v>
                </c:pt>
                <c:pt idx="1">
                  <c:v>Kaulų ir jungiamojo audinio</c:v>
                </c:pt>
                <c:pt idx="2">
                  <c:v>Odos melanoma</c:v>
                </c:pt>
                <c:pt idx="3">
                  <c:v>Kiti odos piktybiniai navikai</c:v>
                </c:pt>
                <c:pt idx="4">
                  <c:v>Krūties</c:v>
                </c:pt>
                <c:pt idx="5">
                  <c:v>Leukemijos</c:v>
                </c:pt>
                <c:pt idx="6">
                  <c:v>Smegenų</c:v>
                </c:pt>
                <c:pt idx="7">
                  <c:v>Kiaušidžių</c:v>
                </c:pt>
                <c:pt idx="8">
                  <c:v>Hodžkino limfomos</c:v>
                </c:pt>
                <c:pt idx="9">
                  <c:v>Gimdos kaklelio</c:v>
                </c:pt>
                <c:pt idx="10">
                  <c:v>Skydliaukės</c:v>
                </c:pt>
              </c:strCache>
            </c:strRef>
          </c:cat>
          <c:val>
            <c:numRef>
              <c:f>GrafikaiSerg!$AC$28:$AC$38</c:f>
              <c:numCache>
                <c:formatCode>0%</c:formatCode>
                <c:ptCount val="11"/>
                <c:pt idx="0">
                  <c:v>0.15267175572519084</c:v>
                </c:pt>
                <c:pt idx="1">
                  <c:v>5.3435114503816793E-2</c:v>
                </c:pt>
                <c:pt idx="2">
                  <c:v>5.3435114503816793E-2</c:v>
                </c:pt>
                <c:pt idx="3">
                  <c:v>5.3435114503816793E-2</c:v>
                </c:pt>
                <c:pt idx="4">
                  <c:v>5.3435114503816793E-2</c:v>
                </c:pt>
                <c:pt idx="5">
                  <c:v>6.1068702290076333E-2</c:v>
                </c:pt>
                <c:pt idx="6">
                  <c:v>6.8702290076335881E-2</c:v>
                </c:pt>
                <c:pt idx="7">
                  <c:v>8.3969465648854963E-2</c:v>
                </c:pt>
                <c:pt idx="8">
                  <c:v>0.11450381679389313</c:v>
                </c:pt>
                <c:pt idx="9">
                  <c:v>0.12977099236641221</c:v>
                </c:pt>
                <c:pt idx="10">
                  <c:v>0.17557251908396945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31-4BAB-B890-C8F0E50587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748800"/>
        <c:axId val="92762880"/>
      </c:barChart>
      <c:catAx>
        <c:axId val="9274880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76288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76288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748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GrafikaiSerg!$AA$41:$AA$51</c:f>
              <c:strCache>
                <c:ptCount val="11"/>
                <c:pt idx="0">
                  <c:v>Kiti</c:v>
                </c:pt>
                <c:pt idx="1">
                  <c:v>Gaubtinės žarnos</c:v>
                </c:pt>
                <c:pt idx="2">
                  <c:v>Odos melanoma</c:v>
                </c:pt>
                <c:pt idx="3">
                  <c:v>Skrandžio</c:v>
                </c:pt>
                <c:pt idx="4">
                  <c:v>Tiesiosios žarnos, išangės</c:v>
                </c:pt>
                <c:pt idx="5">
                  <c:v>Kiaušidžių</c:v>
                </c:pt>
                <c:pt idx="6">
                  <c:v>Skydliaukės</c:v>
                </c:pt>
                <c:pt idx="7">
                  <c:v>Gimdos kūno</c:v>
                </c:pt>
                <c:pt idx="8">
                  <c:v>Gimdos kaklelio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GrafikaiSerg!$AC$41:$AC$51</c:f>
              <c:numCache>
                <c:formatCode>0%</c:formatCode>
                <c:ptCount val="11"/>
                <c:pt idx="0">
                  <c:v>0.16313309776207302</c:v>
                </c:pt>
                <c:pt idx="1">
                  <c:v>2.3557126030624265E-2</c:v>
                </c:pt>
                <c:pt idx="2">
                  <c:v>2.7679623085983509E-2</c:v>
                </c:pt>
                <c:pt idx="3">
                  <c:v>3.2391048292108364E-2</c:v>
                </c:pt>
                <c:pt idx="4">
                  <c:v>3.4157832744405182E-2</c:v>
                </c:pt>
                <c:pt idx="5">
                  <c:v>7.0082449941107183E-2</c:v>
                </c:pt>
                <c:pt idx="6">
                  <c:v>7.0082449941107183E-2</c:v>
                </c:pt>
                <c:pt idx="7">
                  <c:v>7.9505300353356886E-2</c:v>
                </c:pt>
                <c:pt idx="8">
                  <c:v>0.10011778563015312</c:v>
                </c:pt>
                <c:pt idx="9">
                  <c:v>0.10482921083627797</c:v>
                </c:pt>
                <c:pt idx="10">
                  <c:v>0.29446407538280328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DD-4520-A31B-7854FAE35F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795264"/>
        <c:axId val="92796800"/>
      </c:barChart>
      <c:catAx>
        <c:axId val="927952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7968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79680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7952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GrafikaiSerg!$AA$54:$AA$64</c:f>
              <c:strCache>
                <c:ptCount val="11"/>
                <c:pt idx="0">
                  <c:v>Kiti</c:v>
                </c:pt>
                <c:pt idx="1">
                  <c:v>Skydliaukės</c:v>
                </c:pt>
                <c:pt idx="2">
                  <c:v>Tiesiosios žarnos, išangės</c:v>
                </c:pt>
                <c:pt idx="3">
                  <c:v>Skrandžio</c:v>
                </c:pt>
                <c:pt idx="4">
                  <c:v>Plaučių, trachėjos, bronchų</c:v>
                </c:pt>
                <c:pt idx="5">
                  <c:v>Inkstų</c:v>
                </c:pt>
                <c:pt idx="6">
                  <c:v>Kiaušidžių</c:v>
                </c:pt>
                <c:pt idx="7">
                  <c:v>Gaubtinės žarnos</c:v>
                </c:pt>
                <c:pt idx="8">
                  <c:v>Gimdos kūno</c:v>
                </c:pt>
                <c:pt idx="9">
                  <c:v>Kiti odos piktybiniai navikai</c:v>
                </c:pt>
                <c:pt idx="10">
                  <c:v>Krūties</c:v>
                </c:pt>
              </c:strCache>
            </c:strRef>
          </c:cat>
          <c:val>
            <c:numRef>
              <c:f>GrafikaiSerg!$AC$54:$AC$64</c:f>
              <c:numCache>
                <c:formatCode>0%</c:formatCode>
                <c:ptCount val="11"/>
                <c:pt idx="0">
                  <c:v>0.24572359489546566</c:v>
                </c:pt>
                <c:pt idx="1">
                  <c:v>3.2310616345370621E-2</c:v>
                </c:pt>
                <c:pt idx="2">
                  <c:v>3.5568829758349171E-2</c:v>
                </c:pt>
                <c:pt idx="3">
                  <c:v>3.6383383111593809E-2</c:v>
                </c:pt>
                <c:pt idx="4">
                  <c:v>3.6926418680423567E-2</c:v>
                </c:pt>
                <c:pt idx="5">
                  <c:v>3.6926418680423567E-2</c:v>
                </c:pt>
                <c:pt idx="6">
                  <c:v>4.7515612272603855E-2</c:v>
                </c:pt>
                <c:pt idx="7">
                  <c:v>6.0276948140103176E-2</c:v>
                </c:pt>
                <c:pt idx="8">
                  <c:v>9.2859082269888676E-2</c:v>
                </c:pt>
                <c:pt idx="9">
                  <c:v>0.15992397502036385</c:v>
                </c:pt>
                <c:pt idx="10">
                  <c:v>0.21558512082541406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B7-4969-8BB7-6BB3119826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08704"/>
        <c:axId val="92810240"/>
      </c:barChart>
      <c:catAx>
        <c:axId val="928087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102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1024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087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FFCCCC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GrafikaiSerg!$AA$67:$AA$77</c:f>
              <c:strCache>
                <c:ptCount val="11"/>
                <c:pt idx="0">
                  <c:v>Kiti</c:v>
                </c:pt>
                <c:pt idx="1">
                  <c:v>Kiaušidžių</c:v>
                </c:pt>
                <c:pt idx="2">
                  <c:v>Nepatikslintos lokalizacijos</c:v>
                </c:pt>
                <c:pt idx="3">
                  <c:v>Leukemijos</c:v>
                </c:pt>
                <c:pt idx="4">
                  <c:v>Kasos</c:v>
                </c:pt>
                <c:pt idx="5">
                  <c:v>Tiesiosios žarnos, išangės</c:v>
                </c:pt>
                <c:pt idx="6">
                  <c:v>Gimdos kūno</c:v>
                </c:pt>
                <c:pt idx="7">
                  <c:v>Skrandžio</c:v>
                </c:pt>
                <c:pt idx="8">
                  <c:v>Gaubtinės žarnos</c:v>
                </c:pt>
                <c:pt idx="9">
                  <c:v>Krūties</c:v>
                </c:pt>
                <c:pt idx="10">
                  <c:v>Kiti odos piktybiniai navikai</c:v>
                </c:pt>
              </c:strCache>
            </c:strRef>
          </c:cat>
          <c:val>
            <c:numRef>
              <c:f>GrafikaiSerg!$AC$67:$AC$77</c:f>
              <c:numCache>
                <c:formatCode>0%</c:formatCode>
                <c:ptCount val="11"/>
                <c:pt idx="0">
                  <c:v>0.25893508388037928</c:v>
                </c:pt>
                <c:pt idx="1">
                  <c:v>3.6105032822757115E-2</c:v>
                </c:pt>
                <c:pt idx="2">
                  <c:v>3.8657913931436909E-2</c:v>
                </c:pt>
                <c:pt idx="3">
                  <c:v>3.8657913931436909E-2</c:v>
                </c:pt>
                <c:pt idx="4">
                  <c:v>4.5951859956236324E-2</c:v>
                </c:pt>
                <c:pt idx="5">
                  <c:v>5.0328227571115977E-2</c:v>
                </c:pt>
                <c:pt idx="6">
                  <c:v>5.0692924872355945E-2</c:v>
                </c:pt>
                <c:pt idx="7">
                  <c:v>5.798687089715536E-2</c:v>
                </c:pt>
                <c:pt idx="8">
                  <c:v>7.4398249452954049E-2</c:v>
                </c:pt>
                <c:pt idx="9">
                  <c:v>0.12910284463894967</c:v>
                </c:pt>
                <c:pt idx="10">
                  <c:v>0.21918307804522247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1EB-4346-80AF-D2E283A3D2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30336"/>
        <c:axId val="92840320"/>
      </c:barChart>
      <c:catAx>
        <c:axId val="92830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403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40320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GrafikaiSerg!$W$67:$W$77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Leukemijos</c:v>
                </c:pt>
                <c:pt idx="3">
                  <c:v>Nepatikslintos lokalizacijos</c:v>
                </c:pt>
                <c:pt idx="4">
                  <c:v>Šlapimo pūslės</c:v>
                </c:pt>
                <c:pt idx="5">
                  <c:v>Tiesiosios žarnos, išangės</c:v>
                </c:pt>
                <c:pt idx="6">
                  <c:v>Skrandžio</c:v>
                </c:pt>
                <c:pt idx="7">
                  <c:v>Gaubtinės žarnos</c:v>
                </c:pt>
                <c:pt idx="8">
                  <c:v>Plaučių, trachėjos, bronchų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GrafikaiSerg!$Y$67:$Y$77</c:f>
              <c:numCache>
                <c:formatCode>0%</c:formatCode>
                <c:ptCount val="11"/>
                <c:pt idx="0">
                  <c:v>0.17029862792574657</c:v>
                </c:pt>
                <c:pt idx="1">
                  <c:v>3.4301856335754638E-2</c:v>
                </c:pt>
                <c:pt idx="2">
                  <c:v>3.4301856335754638E-2</c:v>
                </c:pt>
                <c:pt idx="3">
                  <c:v>3.7126715092816787E-2</c:v>
                </c:pt>
                <c:pt idx="4">
                  <c:v>4.4390637610976592E-2</c:v>
                </c:pt>
                <c:pt idx="5">
                  <c:v>5.3672316384180789E-2</c:v>
                </c:pt>
                <c:pt idx="6">
                  <c:v>6.1339790153349477E-2</c:v>
                </c:pt>
                <c:pt idx="7">
                  <c:v>6.255044390637611E-2</c:v>
                </c:pt>
                <c:pt idx="8">
                  <c:v>0.12267958030669895</c:v>
                </c:pt>
                <c:pt idx="9">
                  <c:v>0.13720742534301855</c:v>
                </c:pt>
                <c:pt idx="10">
                  <c:v>0.24213075060532688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AD-420E-94DD-F43384281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2860416"/>
        <c:axId val="92861952"/>
      </c:barChart>
      <c:catAx>
        <c:axId val="9286041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28619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286195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286041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/>
            </a:pPr>
            <a:r>
              <a:rPr lang="en-US" sz="1000" b="1">
                <a:solidFill>
                  <a:schemeClr val="accent1"/>
                </a:solidFill>
              </a:rPr>
              <a:t>Vyrai  </a:t>
            </a:r>
            <a:r>
              <a:rPr lang="en-US" sz="1000" b="1"/>
              <a:t>                                                </a:t>
            </a:r>
            <a:r>
              <a:rPr lang="en-US" sz="1000" b="1" baseline="0"/>
              <a:t> </a:t>
            </a:r>
            <a:r>
              <a:rPr lang="en-US" sz="1000" b="1"/>
              <a:t>                    </a:t>
            </a:r>
            <a:r>
              <a:rPr lang="en-US" sz="1000" b="1">
                <a:solidFill>
                  <a:schemeClr val="accent2"/>
                </a:solidFill>
              </a:rPr>
              <a:t>Moterys</a:t>
            </a:r>
            <a:endParaRPr lang="lt-LT" sz="1000" b="1">
              <a:solidFill>
                <a:schemeClr val="accent2"/>
              </a:solidFill>
            </a:endParaRPr>
          </a:p>
        </c:rich>
      </c:tx>
      <c:layout>
        <c:manualLayout>
          <c:xMode val="edge"/>
          <c:yMode val="edge"/>
          <c:x val="0.13005707619880849"/>
          <c:y val="8.0142156143525438E-4"/>
        </c:manualLayout>
      </c:layout>
      <c:overlay val="1"/>
    </c:title>
    <c:autoTitleDeleted val="0"/>
    <c:plotArea>
      <c:layout>
        <c:manualLayout>
          <c:layoutTarget val="inner"/>
          <c:xMode val="edge"/>
          <c:yMode val="edge"/>
          <c:x val="0.10009951881014874"/>
          <c:y val="7.4005966645473653E-2"/>
          <c:w val="0.82123179047063566"/>
          <c:h val="0.8331624851241420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'Kiti grafikai'!$AB$4</c:f>
              <c:strCache>
                <c:ptCount val="1"/>
                <c:pt idx="0">
                  <c:v>Vyrai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grafikai'!$AB$5:$AB$22</c:f>
              <c:numCache>
                <c:formatCode>0%</c:formatCode>
                <c:ptCount val="18"/>
                <c:pt idx="0">
                  <c:v>-5.6132062104300169E-2</c:v>
                </c:pt>
                <c:pt idx="1">
                  <c:v>-5.0815251551190557E-2</c:v>
                </c:pt>
                <c:pt idx="2">
                  <c:v>-5.2319392298072739E-2</c:v>
                </c:pt>
                <c:pt idx="3">
                  <c:v>-6.487787757747597E-2</c:v>
                </c:pt>
                <c:pt idx="4">
                  <c:v>-7.8636042264175074E-2</c:v>
                </c:pt>
                <c:pt idx="5">
                  <c:v>-7.2604946515806915E-2</c:v>
                </c:pt>
                <c:pt idx="6">
                  <c:v>-6.4947634829505288E-2</c:v>
                </c:pt>
                <c:pt idx="7">
                  <c:v>-6.481829325803426E-2</c:v>
                </c:pt>
                <c:pt idx="8">
                  <c:v>-7.1577480324458417E-2</c:v>
                </c:pt>
                <c:pt idx="9">
                  <c:v>-7.3029303132318604E-2</c:v>
                </c:pt>
                <c:pt idx="10">
                  <c:v>-7.8874379541941916E-2</c:v>
                </c:pt>
                <c:pt idx="11">
                  <c:v>-6.7357893214726627E-2</c:v>
                </c:pt>
                <c:pt idx="12">
                  <c:v>-5.268634450926863E-2</c:v>
                </c:pt>
                <c:pt idx="13">
                  <c:v>-4.0096613794060605E-2</c:v>
                </c:pt>
                <c:pt idx="14">
                  <c:v>-3.5773844082368784E-2</c:v>
                </c:pt>
                <c:pt idx="15">
                  <c:v>-2.8660057651462251E-2</c:v>
                </c:pt>
                <c:pt idx="16">
                  <c:v>-1.814342527000053E-2</c:v>
                </c:pt>
                <c:pt idx="17">
                  <c:v>-1.04287091783831E-2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29A-4259-A646-CDCB0696F375}"/>
            </c:ext>
          </c:extLst>
        </c:ser>
        <c:ser>
          <c:idx val="1"/>
          <c:order val="1"/>
          <c:tx>
            <c:strRef>
              <c:f>'Kiti grafikai'!$AC$4</c:f>
              <c:strCache>
                <c:ptCount val="1"/>
                <c:pt idx="0">
                  <c:v>Moterys</c:v>
                </c:pt>
              </c:strCache>
            </c:strRef>
          </c:tx>
          <c:spPr>
            <a:ln>
              <a:solidFill>
                <a:schemeClr val="tx1">
                  <a:alpha val="70000"/>
                </a:schemeClr>
              </a:solidFill>
            </a:ln>
          </c:spPr>
          <c:invertIfNegative val="0"/>
          <c:cat>
            <c:strRef>
              <c:f>'Kiti grafikai'!$W$5:$W$22</c:f>
              <c:strCache>
                <c:ptCount val="18"/>
                <c:pt idx="0">
                  <c:v>0–4</c:v>
                </c:pt>
                <c:pt idx="1">
                  <c:v>5–9</c:v>
                </c:pt>
                <c:pt idx="2">
                  <c:v>10–14</c:v>
                </c:pt>
                <c:pt idx="3">
                  <c:v>15–19</c:v>
                </c:pt>
                <c:pt idx="4">
                  <c:v>20–24</c:v>
                </c:pt>
                <c:pt idx="5">
                  <c:v>25–29</c:v>
                </c:pt>
                <c:pt idx="6">
                  <c:v>30–34</c:v>
                </c:pt>
                <c:pt idx="7">
                  <c:v>35–39</c:v>
                </c:pt>
                <c:pt idx="8">
                  <c:v>40–44</c:v>
                </c:pt>
                <c:pt idx="9">
                  <c:v>45–49</c:v>
                </c:pt>
                <c:pt idx="10">
                  <c:v>50–54</c:v>
                </c:pt>
                <c:pt idx="11">
                  <c:v>55–59</c:v>
                </c:pt>
                <c:pt idx="12">
                  <c:v>60–64</c:v>
                </c:pt>
                <c:pt idx="13">
                  <c:v>65–69</c:v>
                </c:pt>
                <c:pt idx="14">
                  <c:v>70–74</c:v>
                </c:pt>
                <c:pt idx="15">
                  <c:v>75–79</c:v>
                </c:pt>
                <c:pt idx="16">
                  <c:v>80–84</c:v>
                </c:pt>
                <c:pt idx="17">
                  <c:v>85+</c:v>
                </c:pt>
              </c:strCache>
            </c:strRef>
          </c:cat>
          <c:val>
            <c:numRef>
              <c:f>'Kiti grafikai'!$AC$5:$AC$22</c:f>
              <c:numCache>
                <c:formatCode>0%</c:formatCode>
                <c:ptCount val="18"/>
                <c:pt idx="0">
                  <c:v>4.5633083721980772E-2</c:v>
                </c:pt>
                <c:pt idx="1">
                  <c:v>4.1513503585319182E-2</c:v>
                </c:pt>
                <c:pt idx="2">
                  <c:v>4.2287282231262394E-2</c:v>
                </c:pt>
                <c:pt idx="3">
                  <c:v>5.2440722474701718E-2</c:v>
                </c:pt>
                <c:pt idx="4">
                  <c:v>6.3226464594817983E-2</c:v>
                </c:pt>
                <c:pt idx="5">
                  <c:v>5.893127952086534E-2</c:v>
                </c:pt>
                <c:pt idx="6">
                  <c:v>5.4115484756498626E-2</c:v>
                </c:pt>
                <c:pt idx="7">
                  <c:v>5.7304917186449006E-2</c:v>
                </c:pt>
                <c:pt idx="8">
                  <c:v>6.5514913388914672E-2</c:v>
                </c:pt>
                <c:pt idx="9">
                  <c:v>6.8410843573852118E-2</c:v>
                </c:pt>
                <c:pt idx="10">
                  <c:v>7.6517214247951687E-2</c:v>
                </c:pt>
                <c:pt idx="11">
                  <c:v>6.9964605987197587E-2</c:v>
                </c:pt>
                <c:pt idx="12">
                  <c:v>6.0848041539565093E-2</c:v>
                </c:pt>
                <c:pt idx="13">
                  <c:v>5.2905486071984371E-2</c:v>
                </c:pt>
                <c:pt idx="14">
                  <c:v>5.4017443837445674E-2</c:v>
                </c:pt>
                <c:pt idx="15">
                  <c:v>5.0288165840558161E-2</c:v>
                </c:pt>
                <c:pt idx="16">
                  <c:v>3.7693630815129574E-2</c:v>
                </c:pt>
                <c:pt idx="17">
                  <c:v>2.956616272806924E-2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29A-4259-A646-CDCB0696F37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overlap val="100"/>
        <c:axId val="46412160"/>
        <c:axId val="46413696"/>
      </c:barChart>
      <c:catAx>
        <c:axId val="4641216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low"/>
        <c:crossAx val="46413696"/>
        <c:crosses val="autoZero"/>
        <c:auto val="1"/>
        <c:lblAlgn val="ctr"/>
        <c:lblOffset val="100"/>
        <c:tickLblSkip val="1"/>
        <c:noMultiLvlLbl val="0"/>
      </c:catAx>
      <c:valAx>
        <c:axId val="46413696"/>
        <c:scaling>
          <c:orientation val="minMax"/>
          <c:max val="0.1"/>
          <c:min val="-0.1"/>
        </c:scaling>
        <c:delete val="0"/>
        <c:axPos val="b"/>
        <c:numFmt formatCode="0%;0%" sourceLinked="0"/>
        <c:majorTickMark val="out"/>
        <c:minorTickMark val="none"/>
        <c:tickLblPos val="nextTo"/>
        <c:crossAx val="46412160"/>
        <c:crosses val="autoZero"/>
        <c:crossBetween val="between"/>
        <c:majorUnit val="2.0000000000000004E-2"/>
      </c:valAx>
    </c:plotArea>
    <c:plotVisOnly val="1"/>
    <c:dispBlanksAs val="gap"/>
    <c:showDLblsOverMax val="0"/>
  </c:chart>
  <c:spPr>
    <a:ln>
      <a:noFill/>
    </a:ln>
  </c:sp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GrafikaiSerg!$W$2:$W$12</c:f>
              <c:strCache>
                <c:ptCount val="11"/>
                <c:pt idx="0">
                  <c:v>Kiti</c:v>
                </c:pt>
                <c:pt idx="1">
                  <c:v>Burnos ertmės ir ryklės</c:v>
                </c:pt>
                <c:pt idx="2">
                  <c:v>Šlapimo pūslės</c:v>
                </c:pt>
                <c:pt idx="3">
                  <c:v>Kasos</c:v>
                </c:pt>
                <c:pt idx="4">
                  <c:v>Tiesiosios žarnos, išangės</c:v>
                </c:pt>
                <c:pt idx="5">
                  <c:v>Gaubtinės žarnos</c:v>
                </c:pt>
                <c:pt idx="6">
                  <c:v>Inkstų</c:v>
                </c:pt>
                <c:pt idx="7">
                  <c:v>Skrandžio</c:v>
                </c:pt>
                <c:pt idx="8">
                  <c:v>Kiti odos piktybiniai navikai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GrafikaiSerg!$Y$2:$Y$12</c:f>
              <c:numCache>
                <c:formatCode>0%</c:formatCode>
                <c:ptCount val="11"/>
                <c:pt idx="0">
                  <c:v>0.19197408297627755</c:v>
                </c:pt>
                <c:pt idx="1">
                  <c:v>2.8425122792350297E-2</c:v>
                </c:pt>
                <c:pt idx="2">
                  <c:v>2.8425122792350297E-2</c:v>
                </c:pt>
                <c:pt idx="3">
                  <c:v>2.8529626920263351E-2</c:v>
                </c:pt>
                <c:pt idx="4">
                  <c:v>3.6680948897481448E-2</c:v>
                </c:pt>
                <c:pt idx="5">
                  <c:v>4.2115163548960187E-2</c:v>
                </c:pt>
                <c:pt idx="6">
                  <c:v>4.3996237851395129E-2</c:v>
                </c:pt>
                <c:pt idx="7">
                  <c:v>4.8803427735395546E-2</c:v>
                </c:pt>
                <c:pt idx="8">
                  <c:v>9.0605078900616573E-2</c:v>
                </c:pt>
                <c:pt idx="9">
                  <c:v>0.12289685442574981</c:v>
                </c:pt>
                <c:pt idx="10">
                  <c:v>0.33754833315915977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971-4C51-BDE7-5BC6422AE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151808"/>
        <c:axId val="94153344"/>
      </c:barChart>
      <c:catAx>
        <c:axId val="9415180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15334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153344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15180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GrafikaiMirtVM!$W$15:$W$25</c:f>
              <c:strCache>
                <c:ptCount val="11"/>
                <c:pt idx="5">
                  <c:v>Kiti</c:v>
                </c:pt>
                <c:pt idx="6">
                  <c:v>Kitų virškinimo sistemos organų</c:v>
                </c:pt>
                <c:pt idx="7">
                  <c:v>Kaulų ir jungiamojo audinio</c:v>
                </c:pt>
                <c:pt idx="8">
                  <c:v>Inkstų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GrafikaiMirtVM!$Y$15:$Y$25</c:f>
              <c:numCache>
                <c:formatCode>General</c:formatCode>
                <c:ptCount val="11"/>
                <c:pt idx="5" formatCode="0%">
                  <c:v>1.0000000000000001E-5</c:v>
                </c:pt>
                <c:pt idx="6" formatCode="0%">
                  <c:v>8.3333333333333329E-2</c:v>
                </c:pt>
                <c:pt idx="7" formatCode="0%">
                  <c:v>8.3333333333333329E-2</c:v>
                </c:pt>
                <c:pt idx="8" formatCode="0%">
                  <c:v>8.3333333333333329E-2</c:v>
                </c:pt>
                <c:pt idx="9" formatCode="0%">
                  <c:v>0.25</c:v>
                </c:pt>
                <c:pt idx="10" formatCode="0%">
                  <c:v>0.5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A9-4C9D-8795-604668E333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326144"/>
        <c:axId val="94352512"/>
      </c:barChart>
      <c:catAx>
        <c:axId val="9432614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3525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352512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32614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GrafikaiMirtVM!$W$28:$W$38</c:f>
              <c:strCache>
                <c:ptCount val="11"/>
                <c:pt idx="0">
                  <c:v>Kiti</c:v>
                </c:pt>
                <c:pt idx="1">
                  <c:v>Burnos ertmės ir ryklės</c:v>
                </c:pt>
                <c:pt idx="2">
                  <c:v>Gaubtinės žarnos</c:v>
                </c:pt>
                <c:pt idx="3">
                  <c:v>Kepenų</c:v>
                </c:pt>
                <c:pt idx="4">
                  <c:v>Kitų virškinimo sistemos organų</c:v>
                </c:pt>
                <c:pt idx="5">
                  <c:v>Kitų kvėpavimo sistemos organų</c:v>
                </c:pt>
                <c:pt idx="6">
                  <c:v>Ne Hodžkino limfomos</c:v>
                </c:pt>
                <c:pt idx="7">
                  <c:v>Skrandžio</c:v>
                </c:pt>
                <c:pt idx="8">
                  <c:v>Smegenų</c:v>
                </c:pt>
                <c:pt idx="9">
                  <c:v>Kaulų ir jungiamojo audinio</c:v>
                </c:pt>
                <c:pt idx="10">
                  <c:v>Leukemijos</c:v>
                </c:pt>
              </c:strCache>
            </c:strRef>
          </c:cat>
          <c:val>
            <c:numRef>
              <c:f>GrafikaiMirtVM!$Y$28:$Y$38</c:f>
              <c:numCache>
                <c:formatCode>0%</c:formatCode>
                <c:ptCount val="11"/>
                <c:pt idx="0">
                  <c:v>0.15384615384615385</c:v>
                </c:pt>
                <c:pt idx="1">
                  <c:v>3.8461538461538464E-2</c:v>
                </c:pt>
                <c:pt idx="2">
                  <c:v>3.8461538461538464E-2</c:v>
                </c:pt>
                <c:pt idx="3">
                  <c:v>3.8461538461538464E-2</c:v>
                </c:pt>
                <c:pt idx="4">
                  <c:v>3.8461538461538464E-2</c:v>
                </c:pt>
                <c:pt idx="5">
                  <c:v>3.8461538461538464E-2</c:v>
                </c:pt>
                <c:pt idx="6">
                  <c:v>7.6923076923076927E-2</c:v>
                </c:pt>
                <c:pt idx="7">
                  <c:v>0.11538461538461539</c:v>
                </c:pt>
                <c:pt idx="8">
                  <c:v>0.11538461538461539</c:v>
                </c:pt>
                <c:pt idx="9">
                  <c:v>0.15384615384615385</c:v>
                </c:pt>
                <c:pt idx="10">
                  <c:v>0.19230769230769232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CF-4FB2-BD20-4722B32D4D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823168"/>
        <c:axId val="94824704"/>
      </c:barChart>
      <c:catAx>
        <c:axId val="94823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48247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82470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GrafikaiMirtVM!$W$41:$W$51</c:f>
              <c:numCache>
                <c:formatCode>General</c:formatCode>
                <c:ptCount val="11"/>
              </c:numCache>
            </c:numRef>
          </c:cat>
          <c:val>
            <c:numRef>
              <c:f>GrafikaiMirtVM!$Y$41:$Y$51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EEBC-4FC9-B7B9-43AD60AA9C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394240"/>
        <c:axId val="94395776"/>
      </c:barChart>
      <c:catAx>
        <c:axId val="943942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395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395776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3942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GrafikaiMirtVM!$W$54:$W$64</c:f>
              <c:numCache>
                <c:formatCode>General</c:formatCode>
                <c:ptCount val="11"/>
              </c:numCache>
            </c:numRef>
          </c:cat>
          <c:val>
            <c:numRef>
              <c:f>GrafikaiMirtVM!$Y$54:$Y$64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A95F-4F71-A509-3D60F7CC0E3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15872"/>
        <c:axId val="94425856"/>
      </c:barChart>
      <c:catAx>
        <c:axId val="944158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2585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4425856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44158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GrafikaiMirtVM!$AA$2:$AA$12</c:f>
              <c:strCache>
                <c:ptCount val="11"/>
                <c:pt idx="0">
                  <c:v>Kiti</c:v>
                </c:pt>
                <c:pt idx="1">
                  <c:v>Stemplės</c:v>
                </c:pt>
                <c:pt idx="2">
                  <c:v>Nepatikslintos lokalizacijos</c:v>
                </c:pt>
                <c:pt idx="3">
                  <c:v>Kiaušidžių</c:v>
                </c:pt>
                <c:pt idx="4">
                  <c:v>Smegenų</c:v>
                </c:pt>
                <c:pt idx="5">
                  <c:v>Kasos</c:v>
                </c:pt>
                <c:pt idx="6">
                  <c:v>Gimdos kaklelio</c:v>
                </c:pt>
                <c:pt idx="7">
                  <c:v>Burnos ertmės ir ryklės</c:v>
                </c:pt>
                <c:pt idx="8">
                  <c:v>Krūties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GrafikaiMirtVM!$AC$2:$AC$12</c:f>
              <c:numCache>
                <c:formatCode>0%</c:formatCode>
                <c:ptCount val="11"/>
                <c:pt idx="0">
                  <c:v>0.29365079365079366</c:v>
                </c:pt>
                <c:pt idx="1">
                  <c:v>3.968253968253968E-2</c:v>
                </c:pt>
                <c:pt idx="2">
                  <c:v>3.968253968253968E-2</c:v>
                </c:pt>
                <c:pt idx="3">
                  <c:v>4.9886621315192746E-2</c:v>
                </c:pt>
                <c:pt idx="4">
                  <c:v>5.2154195011337869E-2</c:v>
                </c:pt>
                <c:pt idx="5">
                  <c:v>6.3492063492063489E-2</c:v>
                </c:pt>
                <c:pt idx="6">
                  <c:v>6.5759637188208611E-2</c:v>
                </c:pt>
                <c:pt idx="7">
                  <c:v>6.8027210884353748E-2</c:v>
                </c:pt>
                <c:pt idx="8">
                  <c:v>9.4104308390022678E-2</c:v>
                </c:pt>
                <c:pt idx="9">
                  <c:v>9.9773242630385492E-2</c:v>
                </c:pt>
                <c:pt idx="10">
                  <c:v>0.13378684807256236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6D-407F-B19B-5D472BDC84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66432"/>
        <c:axId val="94467968"/>
      </c:barChart>
      <c:catAx>
        <c:axId val="944664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6796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46796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4664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GrafikaiMirtVM!$AA$15:$AA$25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Burnos ertmės ir ryklės</c:v>
                </c:pt>
                <c:pt idx="3">
                  <c:v>Nepatikslintos lokalizacijos</c:v>
                </c:pt>
                <c:pt idx="4">
                  <c:v>Priešinės liaukos</c:v>
                </c:pt>
                <c:pt idx="5">
                  <c:v>Tiesiosios žarnos, išangės</c:v>
                </c:pt>
                <c:pt idx="6">
                  <c:v>Gaubtinės žarnos</c:v>
                </c:pt>
                <c:pt idx="7">
                  <c:v>Kasos</c:v>
                </c:pt>
                <c:pt idx="8">
                  <c:v>Krūties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GrafikaiMirtVM!$AC$15:$AC$25</c:f>
              <c:numCache>
                <c:formatCode>0%</c:formatCode>
                <c:ptCount val="11"/>
                <c:pt idx="0">
                  <c:v>0.30520169851380041</c:v>
                </c:pt>
                <c:pt idx="1">
                  <c:v>3.3970276008492568E-2</c:v>
                </c:pt>
                <c:pt idx="2">
                  <c:v>3.9543524416135879E-2</c:v>
                </c:pt>
                <c:pt idx="3">
                  <c:v>4.5912951167728235E-2</c:v>
                </c:pt>
                <c:pt idx="4">
                  <c:v>4.7770700636942678E-2</c:v>
                </c:pt>
                <c:pt idx="5">
                  <c:v>4.8036093418259027E-2</c:v>
                </c:pt>
                <c:pt idx="6">
                  <c:v>5.2547770700636945E-2</c:v>
                </c:pt>
                <c:pt idx="7">
                  <c:v>6.183651804670913E-2</c:v>
                </c:pt>
                <c:pt idx="8">
                  <c:v>6.5817409766454352E-2</c:v>
                </c:pt>
                <c:pt idx="9">
                  <c:v>8.7845010615711247E-2</c:v>
                </c:pt>
                <c:pt idx="10">
                  <c:v>0.21151804670912952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67-48CA-B560-AD473B7492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4488448"/>
        <c:axId val="94489984"/>
      </c:barChart>
      <c:catAx>
        <c:axId val="94488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44899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448998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4488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GrafikaiMirtVM!$AA$28:$AA$38</c:f>
              <c:strCache>
                <c:ptCount val="11"/>
                <c:pt idx="0">
                  <c:v>Kiti</c:v>
                </c:pt>
                <c:pt idx="1">
                  <c:v>Šlapimo pūslės</c:v>
                </c:pt>
                <c:pt idx="2">
                  <c:v>Leukemijos</c:v>
                </c:pt>
                <c:pt idx="3">
                  <c:v>Kasos</c:v>
                </c:pt>
                <c:pt idx="4">
                  <c:v>Krūties</c:v>
                </c:pt>
                <c:pt idx="5">
                  <c:v>Nepatikslintos lokalizacijos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GrafikaiMirtVM!$AC$28:$AC$38</c:f>
              <c:numCache>
                <c:formatCode>0%</c:formatCode>
                <c:ptCount val="11"/>
                <c:pt idx="0">
                  <c:v>0.28618618618618619</c:v>
                </c:pt>
                <c:pt idx="1">
                  <c:v>4.2942942942942944E-2</c:v>
                </c:pt>
                <c:pt idx="2">
                  <c:v>4.3843843843843842E-2</c:v>
                </c:pt>
                <c:pt idx="3">
                  <c:v>5.5555555555555552E-2</c:v>
                </c:pt>
                <c:pt idx="4">
                  <c:v>5.6456456456456458E-2</c:v>
                </c:pt>
                <c:pt idx="5">
                  <c:v>5.7357357357357357E-2</c:v>
                </c:pt>
                <c:pt idx="6">
                  <c:v>6.6666666666666666E-2</c:v>
                </c:pt>
                <c:pt idx="7">
                  <c:v>8.1381381381381387E-2</c:v>
                </c:pt>
                <c:pt idx="8">
                  <c:v>8.2882882882882883E-2</c:v>
                </c:pt>
                <c:pt idx="9">
                  <c:v>0.10030030030030029</c:v>
                </c:pt>
                <c:pt idx="10">
                  <c:v>0.12642642642642643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44-433D-8E91-9EAB72154E6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5312896"/>
        <c:axId val="95318784"/>
      </c:barChart>
      <c:catAx>
        <c:axId val="9531289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53187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531878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531289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GrafikaiMirtVM!$AA$41:$AA$51</c:f>
              <c:numCache>
                <c:formatCode>General</c:formatCode>
                <c:ptCount val="11"/>
              </c:numCache>
            </c:numRef>
          </c:cat>
          <c:val>
            <c:numRef>
              <c:f>GrafikaiMirtVM!$AC$41:$AC$51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589-4770-84D3-D831001418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649024"/>
        <c:axId val="97650560"/>
      </c:barChart>
      <c:catAx>
        <c:axId val="9764902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6505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650560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64902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GrafikaiMirtVM!$AA$54:$AA$64</c:f>
              <c:numCache>
                <c:formatCode>General</c:formatCode>
                <c:ptCount val="11"/>
              </c:numCache>
            </c:numRef>
          </c:cat>
          <c:val>
            <c:numRef>
              <c:f>GrafikaiMirtVM!$AC$54:$AC$64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4767-4CBF-9D90-6F2C1E68FF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674752"/>
        <c:axId val="97676288"/>
      </c:barChart>
      <c:catAx>
        <c:axId val="976747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6762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676288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6747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2402060853504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GrafikaiSergVM!$W$15:$W$25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Akių</c:v>
                </c:pt>
                <c:pt idx="3">
                  <c:v>Skydliaukės</c:v>
                </c:pt>
                <c:pt idx="4">
                  <c:v>Kitų kvėpavimo sistemos organų</c:v>
                </c:pt>
                <c:pt idx="5">
                  <c:v>Kitų virškinimo sistemos organų</c:v>
                </c:pt>
                <c:pt idx="6">
                  <c:v>Ne Hodžkino limfomos</c:v>
                </c:pt>
                <c:pt idx="7">
                  <c:v>Kitų endokrininių liaukų</c:v>
                </c:pt>
                <c:pt idx="8">
                  <c:v>Kaulų ir jungiamojo audinio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GrafikaiSergVM!$Y$15:$Y$25</c:f>
              <c:numCache>
                <c:formatCode>0%</c:formatCode>
                <c:ptCount val="11"/>
                <c:pt idx="0">
                  <c:v>3.0303030303030304E-2</c:v>
                </c:pt>
                <c:pt idx="1">
                  <c:v>1.5151515151515152E-2</c:v>
                </c:pt>
                <c:pt idx="2">
                  <c:v>1.5151515151515152E-2</c:v>
                </c:pt>
                <c:pt idx="3">
                  <c:v>1.5151515151515152E-2</c:v>
                </c:pt>
                <c:pt idx="4">
                  <c:v>3.0303030303030304E-2</c:v>
                </c:pt>
                <c:pt idx="5">
                  <c:v>4.5454545454545456E-2</c:v>
                </c:pt>
                <c:pt idx="6">
                  <c:v>4.5454545454545456E-2</c:v>
                </c:pt>
                <c:pt idx="7">
                  <c:v>6.0606060606060608E-2</c:v>
                </c:pt>
                <c:pt idx="8">
                  <c:v>0.13636363636363635</c:v>
                </c:pt>
                <c:pt idx="9">
                  <c:v>0.21212121212121213</c:v>
                </c:pt>
                <c:pt idx="10">
                  <c:v>0.39393939393939392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D-40B0-B11D-5E314ED7B4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48115072"/>
        <c:axId val="48120960"/>
      </c:barChart>
      <c:catAx>
        <c:axId val="481150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4812096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812096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481150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GrafikaiMirtVM!$AA$67:$AA$77</c:f>
              <c:numCache>
                <c:formatCode>General</c:formatCode>
                <c:ptCount val="11"/>
              </c:numCache>
            </c:numRef>
          </c:cat>
          <c:val>
            <c:numRef>
              <c:f>GrafikaiMirtVM!$AC$67:$AC$77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3148-4897-B05F-8B873380D3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04576"/>
        <c:axId val="97722752"/>
      </c:barChart>
      <c:catAx>
        <c:axId val="97704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227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22752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704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GrafikaiMirtVM!$W$67:$W$77</c:f>
              <c:numCache>
                <c:formatCode>General</c:formatCode>
                <c:ptCount val="11"/>
              </c:numCache>
            </c:numRef>
          </c:cat>
          <c:val>
            <c:numRef>
              <c:f>GrafikaiMirtVM!$Y$67:$Y$77</c:f>
              <c:numCache>
                <c:formatCode>General</c:formatCode>
                <c:ptCount val="11"/>
              </c:numCache>
            </c:numRef>
          </c:val>
          <c:extLst>
            <c:ext xmlns:c16="http://schemas.microsoft.com/office/drawing/2014/chart" uri="{C3380CC4-5D6E-409C-BE32-E72D297353CC}">
              <c16:uniqueId val="{00000000-8D03-4919-86B4-CB6274734F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42848"/>
        <c:axId val="97744384"/>
      </c:barChart>
      <c:catAx>
        <c:axId val="977428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4438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4438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7428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GrafikaiMirtVM!$W$2:$W$12</c:f>
              <c:strCache>
                <c:ptCount val="11"/>
                <c:pt idx="0">
                  <c:v>Kiti</c:v>
                </c:pt>
                <c:pt idx="1">
                  <c:v>Kiaušidžių</c:v>
                </c:pt>
                <c:pt idx="2">
                  <c:v>Inkstų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Kasos</c:v>
                </c:pt>
                <c:pt idx="6">
                  <c:v>Gaubtinės žarnos</c:v>
                </c:pt>
                <c:pt idx="7">
                  <c:v>Krūties</c:v>
                </c:pt>
                <c:pt idx="8">
                  <c:v>Priešinės liaukos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GrafikaiMirtVM!$Y$2:$Y$12</c:f>
              <c:numCache>
                <c:formatCode>0%</c:formatCode>
                <c:ptCount val="11"/>
                <c:pt idx="0">
                  <c:v>0.32314791718633074</c:v>
                </c:pt>
                <c:pt idx="1">
                  <c:v>3.3923671738588179E-2</c:v>
                </c:pt>
                <c:pt idx="2">
                  <c:v>3.4547268645547517E-2</c:v>
                </c:pt>
                <c:pt idx="3">
                  <c:v>4.9763033175355451E-2</c:v>
                </c:pt>
                <c:pt idx="4">
                  <c:v>5.3754053379895236E-2</c:v>
                </c:pt>
                <c:pt idx="5">
                  <c:v>5.911698677974557E-2</c:v>
                </c:pt>
                <c:pt idx="6">
                  <c:v>6.2359690695934146E-2</c:v>
                </c:pt>
                <c:pt idx="7">
                  <c:v>6.4854078323771519E-2</c:v>
                </c:pt>
                <c:pt idx="8">
                  <c:v>6.4854078323771519E-2</c:v>
                </c:pt>
                <c:pt idx="9">
                  <c:v>8.7054128211524071E-2</c:v>
                </c:pt>
                <c:pt idx="10">
                  <c:v>0.16662509353953606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77A-40F8-8D8E-914D31B64C7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780864"/>
        <c:axId val="97782400"/>
      </c:barChart>
      <c:catAx>
        <c:axId val="9778086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778240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778240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778086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GrafikaiMirt!$W$15:$W$25</c:f>
              <c:strCache>
                <c:ptCount val="11"/>
                <c:pt idx="6">
                  <c:v>Kiti</c:v>
                </c:pt>
                <c:pt idx="7">
                  <c:v>Kaulų ir jungiamojo audinio</c:v>
                </c:pt>
                <c:pt idx="8">
                  <c:v>Inkstų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GrafikaiMirt!$Y$15:$Y$25</c:f>
              <c:numCache>
                <c:formatCode>General</c:formatCode>
                <c:ptCount val="11"/>
                <c:pt idx="6" formatCode="0%">
                  <c:v>1.0000000000000001E-5</c:v>
                </c:pt>
                <c:pt idx="7" formatCode="0%">
                  <c:v>0.14285714285714285</c:v>
                </c:pt>
                <c:pt idx="8" formatCode="0%">
                  <c:v>0.14285714285714285</c:v>
                </c:pt>
                <c:pt idx="9" formatCode="0%">
                  <c:v>0.2857142857142857</c:v>
                </c:pt>
                <c:pt idx="10" formatCode="0%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4B-483E-9163-037EECC6B1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7979392"/>
        <c:axId val="98022144"/>
      </c:barChart>
      <c:catAx>
        <c:axId val="979793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2214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02214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797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GrafikaiMirt!$W$28:$W$38</c:f>
              <c:strCache>
                <c:ptCount val="11"/>
                <c:pt idx="0">
                  <c:v>Kiti</c:v>
                </c:pt>
                <c:pt idx="1">
                  <c:v>Lūpos</c:v>
                </c:pt>
                <c:pt idx="2">
                  <c:v>Stemplės</c:v>
                </c:pt>
                <c:pt idx="3">
                  <c:v>Burnos ertmės ir ryklės</c:v>
                </c:pt>
                <c:pt idx="4">
                  <c:v>Skrandžio</c:v>
                </c:pt>
                <c:pt idx="5">
                  <c:v>Kitų virškinimo sistemos organų</c:v>
                </c:pt>
                <c:pt idx="6">
                  <c:v>Odos melanoma</c:v>
                </c:pt>
                <c:pt idx="7">
                  <c:v>Kaulų ir jungiamojo audinio</c:v>
                </c:pt>
                <c:pt idx="8">
                  <c:v>Ne Hodžkino limfomos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GrafikaiMirt!$Y$28:$Y$38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7.1428571428571425E-2</c:v>
                </c:pt>
                <c:pt idx="4">
                  <c:v>7.1428571428571425E-2</c:v>
                </c:pt>
                <c:pt idx="5">
                  <c:v>7.1428571428571425E-2</c:v>
                </c:pt>
                <c:pt idx="6">
                  <c:v>7.1428571428571425E-2</c:v>
                </c:pt>
                <c:pt idx="7">
                  <c:v>0.14285714285714285</c:v>
                </c:pt>
                <c:pt idx="8">
                  <c:v>0.14285714285714285</c:v>
                </c:pt>
                <c:pt idx="9">
                  <c:v>0.21428571428571427</c:v>
                </c:pt>
                <c:pt idx="10">
                  <c:v>0.21428571428571427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EFA-4D53-8222-53B5B6290C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17376"/>
        <c:axId val="98518912"/>
      </c:barChart>
      <c:catAx>
        <c:axId val="985173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985189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189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173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519239557627272E-4"/>
          <c:y val="0"/>
          <c:w val="0.7683053795063739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GrafikaiMirt!$W$41:$W$51</c:f>
              <c:strCache>
                <c:ptCount val="11"/>
                <c:pt idx="0">
                  <c:v>Kiti</c:v>
                </c:pt>
                <c:pt idx="1">
                  <c:v>Kepenų</c:v>
                </c:pt>
                <c:pt idx="2">
                  <c:v>Tiesiosios žarnos, išangės</c:v>
                </c:pt>
                <c:pt idx="3">
                  <c:v>Nepatikslintos lokalizacijos</c:v>
                </c:pt>
                <c:pt idx="4">
                  <c:v>Inkstų</c:v>
                </c:pt>
                <c:pt idx="5">
                  <c:v>Stemplės</c:v>
                </c:pt>
                <c:pt idx="6">
                  <c:v>Smegenų</c:v>
                </c:pt>
                <c:pt idx="7">
                  <c:v>Kasos</c:v>
                </c:pt>
                <c:pt idx="8">
                  <c:v>Burnos ertmės ir ryklės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GrafikaiMirt!$Y$41:$Y$51</c:f>
              <c:numCache>
                <c:formatCode>0%</c:formatCode>
                <c:ptCount val="11"/>
                <c:pt idx="0">
                  <c:v>0.21249999999999999</c:v>
                </c:pt>
                <c:pt idx="1">
                  <c:v>3.3333333333333333E-2</c:v>
                </c:pt>
                <c:pt idx="2">
                  <c:v>3.7499999999999999E-2</c:v>
                </c:pt>
                <c:pt idx="3">
                  <c:v>3.7499999999999999E-2</c:v>
                </c:pt>
                <c:pt idx="4">
                  <c:v>4.3749999999999997E-2</c:v>
                </c:pt>
                <c:pt idx="5">
                  <c:v>6.458333333333334E-2</c:v>
                </c:pt>
                <c:pt idx="6">
                  <c:v>6.458333333333334E-2</c:v>
                </c:pt>
                <c:pt idx="7">
                  <c:v>8.5416666666666669E-2</c:v>
                </c:pt>
                <c:pt idx="8">
                  <c:v>0.11041666666666666</c:v>
                </c:pt>
                <c:pt idx="9">
                  <c:v>0.1125</c:v>
                </c:pt>
                <c:pt idx="10">
                  <c:v>0.19791666666666666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6-4050-AF04-A4C092D438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43104"/>
        <c:axId val="98544640"/>
      </c:barChart>
      <c:catAx>
        <c:axId val="98543104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5446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4464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431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44729593985939"/>
          <c:h val="0.99939632545931756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GrafikaiMirt!$W$54:$W$64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Stemplės</c:v>
                </c:pt>
                <c:pt idx="3">
                  <c:v>Tiesiosios žarnos, išangės</c:v>
                </c:pt>
                <c:pt idx="4">
                  <c:v>Gaubtinės žarnos</c:v>
                </c:pt>
                <c:pt idx="5">
                  <c:v>Nepatikslintos lokalizacijos</c:v>
                </c:pt>
                <c:pt idx="6">
                  <c:v>Kasos</c:v>
                </c:pt>
                <c:pt idx="7">
                  <c:v>Burnos ertmės ir ryklės</c:v>
                </c:pt>
                <c:pt idx="8">
                  <c:v>Priešinės liaukos</c:v>
                </c:pt>
                <c:pt idx="9">
                  <c:v>Skrandžio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GrafikaiMirt!$Y$54:$Y$64</c:f>
              <c:numCache>
                <c:formatCode>0%</c:formatCode>
                <c:ptCount val="11"/>
                <c:pt idx="0">
                  <c:v>0.1935897435897436</c:v>
                </c:pt>
                <c:pt idx="1">
                  <c:v>3.9743589743589741E-2</c:v>
                </c:pt>
                <c:pt idx="2">
                  <c:v>4.7008547008547008E-2</c:v>
                </c:pt>
                <c:pt idx="3">
                  <c:v>0.05</c:v>
                </c:pt>
                <c:pt idx="4">
                  <c:v>5.128205128205128E-2</c:v>
                </c:pt>
                <c:pt idx="5">
                  <c:v>5.2136752136752139E-2</c:v>
                </c:pt>
                <c:pt idx="6">
                  <c:v>5.4700854700854701E-2</c:v>
                </c:pt>
                <c:pt idx="7">
                  <c:v>5.7264957264957263E-2</c:v>
                </c:pt>
                <c:pt idx="8">
                  <c:v>7.6923076923076927E-2</c:v>
                </c:pt>
                <c:pt idx="9">
                  <c:v>9.0598290598290596E-2</c:v>
                </c:pt>
                <c:pt idx="10">
                  <c:v>0.28675213675213673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1AC-497C-B495-509F8C3703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60640"/>
        <c:axId val="98066816"/>
      </c:barChart>
      <c:catAx>
        <c:axId val="9856064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66816"/>
        <c:crosses val="autoZero"/>
        <c:auto val="1"/>
        <c:lblAlgn val="ctr"/>
        <c:lblOffset val="300"/>
        <c:tickLblSkip val="1"/>
        <c:tickMarkSkip val="1"/>
        <c:noMultiLvlLbl val="0"/>
      </c:catAx>
      <c:valAx>
        <c:axId val="9806681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56064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GrafikaiMirt!$AA$2:$AA$12</c:f>
              <c:strCache>
                <c:ptCount val="11"/>
                <c:pt idx="0">
                  <c:v>Kiti</c:v>
                </c:pt>
                <c:pt idx="1">
                  <c:v>Gimdos kūno</c:v>
                </c:pt>
                <c:pt idx="2">
                  <c:v>Nepatikslintos lokalizacijos</c:v>
                </c:pt>
                <c:pt idx="3">
                  <c:v>Gimdos kaklelio</c:v>
                </c:pt>
                <c:pt idx="4">
                  <c:v>Tiesiosios žarnos, išangės</c:v>
                </c:pt>
                <c:pt idx="5">
                  <c:v>Kasos</c:v>
                </c:pt>
                <c:pt idx="6">
                  <c:v>Gaubtinės žarnos</c:v>
                </c:pt>
                <c:pt idx="7">
                  <c:v>Plaučių, trachėjos, bronchų</c:v>
                </c:pt>
                <c:pt idx="8">
                  <c:v>Kiaušidžių</c:v>
                </c:pt>
                <c:pt idx="9">
                  <c:v>Skrandžio</c:v>
                </c:pt>
                <c:pt idx="10">
                  <c:v>Krūties</c:v>
                </c:pt>
              </c:strCache>
            </c:strRef>
          </c:cat>
          <c:val>
            <c:numRef>
              <c:f>GrafikaiMirt!$AC$2:$AC$12</c:f>
              <c:numCache>
                <c:formatCode>0%</c:formatCode>
                <c:ptCount val="11"/>
                <c:pt idx="0">
                  <c:v>0.28236639039725636</c:v>
                </c:pt>
                <c:pt idx="1">
                  <c:v>4.4012575021434693E-2</c:v>
                </c:pt>
                <c:pt idx="2">
                  <c:v>4.9156901971991997E-2</c:v>
                </c:pt>
                <c:pt idx="3">
                  <c:v>5.1443269505573021E-2</c:v>
                </c:pt>
                <c:pt idx="4">
                  <c:v>5.2586453272363533E-2</c:v>
                </c:pt>
                <c:pt idx="5">
                  <c:v>6.8305230065733066E-2</c:v>
                </c:pt>
                <c:pt idx="6">
                  <c:v>7.202057730780223E-2</c:v>
                </c:pt>
                <c:pt idx="7">
                  <c:v>7.4592740783080883E-2</c:v>
                </c:pt>
                <c:pt idx="8">
                  <c:v>7.7736496141754791E-2</c:v>
                </c:pt>
                <c:pt idx="9">
                  <c:v>8.1451843383823955E-2</c:v>
                </c:pt>
                <c:pt idx="10">
                  <c:v>0.14632752214918548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19-43BF-843F-5ADD81C06C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086912"/>
        <c:axId val="98088448"/>
      </c:barChart>
      <c:catAx>
        <c:axId val="980869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0884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08844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086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GrafikaiMirt!$AA$15:$AA$25</c:f>
              <c:strCache>
                <c:ptCount val="11"/>
                <c:pt idx="7">
                  <c:v>Kiti</c:v>
                </c:pt>
                <c:pt idx="8">
                  <c:v>Kitų virškinimo sistemos organų</c:v>
                </c:pt>
                <c:pt idx="9">
                  <c:v>Leukemijos</c:v>
                </c:pt>
                <c:pt idx="10">
                  <c:v>Smegenų</c:v>
                </c:pt>
              </c:strCache>
            </c:strRef>
          </c:cat>
          <c:val>
            <c:numRef>
              <c:f>GrafikaiMirt!$AC$15:$AC$25</c:f>
              <c:numCache>
                <c:formatCode>General</c:formatCode>
                <c:ptCount val="11"/>
                <c:pt idx="7" formatCode="0%">
                  <c:v>1.0000000000000001E-5</c:v>
                </c:pt>
                <c:pt idx="8" formatCode="0%">
                  <c:v>0.2</c:v>
                </c:pt>
                <c:pt idx="9" formatCode="0%">
                  <c:v>0.2</c:v>
                </c:pt>
                <c:pt idx="10" formatCode="0%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03-4608-8788-2425F0D462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579968"/>
        <c:axId val="98581504"/>
      </c:barChart>
      <c:catAx>
        <c:axId val="98579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5815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581504"/>
        <c:scaling>
          <c:orientation val="minMax"/>
          <c:max val="0.5"/>
          <c:min val="0"/>
        </c:scaling>
        <c:delete val="1"/>
        <c:axPos val="b"/>
        <c:numFmt formatCode="General" sourceLinked="1"/>
        <c:majorTickMark val="out"/>
        <c:minorTickMark val="none"/>
        <c:tickLblPos val="nextTo"/>
        <c:crossAx val="985799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GrafikaiMirt!$AA$28:$AA$38</c:f>
              <c:strCache>
                <c:ptCount val="11"/>
                <c:pt idx="0">
                  <c:v>Kiti</c:v>
                </c:pt>
                <c:pt idx="1">
                  <c:v>Lūpos</c:v>
                </c:pt>
                <c:pt idx="2">
                  <c:v>Gaubtinės žarnos</c:v>
                </c:pt>
                <c:pt idx="3">
                  <c:v>Kepenų</c:v>
                </c:pt>
                <c:pt idx="4">
                  <c:v>Kitų kvėpavimo sistemos organų</c:v>
                </c:pt>
                <c:pt idx="5">
                  <c:v>Krūties</c:v>
                </c:pt>
                <c:pt idx="6">
                  <c:v>Gimdos kaklelio</c:v>
                </c:pt>
                <c:pt idx="7">
                  <c:v>Mielominės ligos</c:v>
                </c:pt>
                <c:pt idx="8">
                  <c:v>Skrandžio</c:v>
                </c:pt>
                <c:pt idx="9">
                  <c:v>Kaulų ir jungiamojo audinio</c:v>
                </c:pt>
                <c:pt idx="10">
                  <c:v>Leukemijos</c:v>
                </c:pt>
              </c:strCache>
            </c:strRef>
          </c:cat>
          <c:val>
            <c:numRef>
              <c:f>GrafikaiMirt!$AC$28:$AC$38</c:f>
              <c:numCache>
                <c:formatCode>0%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8.3333333333333329E-2</c:v>
                </c:pt>
                <c:pt idx="3">
                  <c:v>8.3333333333333329E-2</c:v>
                </c:pt>
                <c:pt idx="4">
                  <c:v>8.3333333333333329E-2</c:v>
                </c:pt>
                <c:pt idx="5">
                  <c:v>8.3333333333333329E-2</c:v>
                </c:pt>
                <c:pt idx="6">
                  <c:v>8.3333333333333329E-2</c:v>
                </c:pt>
                <c:pt idx="7">
                  <c:v>8.3333333333333329E-2</c:v>
                </c:pt>
                <c:pt idx="8">
                  <c:v>0.16666666666666666</c:v>
                </c:pt>
                <c:pt idx="9">
                  <c:v>0.16666666666666666</c:v>
                </c:pt>
                <c:pt idx="10">
                  <c:v>0.16666666666666666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3B-4C38-877B-AC8B946860A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613888"/>
        <c:axId val="98619776"/>
      </c:barChart>
      <c:catAx>
        <c:axId val="9861388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61977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61977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61388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411675813250625E-4"/>
          <c:y val="0"/>
          <c:w val="0.76583105996854928"/>
          <c:h val="0.99995053502927522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GrafikaiSergVM!$W$28:$W$38</c:f>
              <c:strCache>
                <c:ptCount val="11"/>
                <c:pt idx="0">
                  <c:v>Kiti</c:v>
                </c:pt>
                <c:pt idx="1">
                  <c:v>Odos melanoma</c:v>
                </c:pt>
                <c:pt idx="2">
                  <c:v>Kaulų ir jungiamojo audinio</c:v>
                </c:pt>
                <c:pt idx="3">
                  <c:v>Kiaušidžių</c:v>
                </c:pt>
                <c:pt idx="4">
                  <c:v>Smegenų</c:v>
                </c:pt>
                <c:pt idx="5">
                  <c:v>Leukemijos</c:v>
                </c:pt>
                <c:pt idx="6">
                  <c:v>Kiti odos piktybiniai navikai</c:v>
                </c:pt>
                <c:pt idx="7">
                  <c:v>Sėklidžių</c:v>
                </c:pt>
                <c:pt idx="8">
                  <c:v>Gimdos kaklelio</c:v>
                </c:pt>
                <c:pt idx="9">
                  <c:v>Hodžkino limfomos</c:v>
                </c:pt>
                <c:pt idx="10">
                  <c:v>Skydliaukės</c:v>
                </c:pt>
              </c:strCache>
            </c:strRef>
          </c:cat>
          <c:val>
            <c:numRef>
              <c:f>GrafikaiSergVM!$Y$28:$Y$38</c:f>
              <c:numCache>
                <c:formatCode>0%</c:formatCode>
                <c:ptCount val="11"/>
                <c:pt idx="0">
                  <c:v>0.20833333333333334</c:v>
                </c:pt>
                <c:pt idx="1">
                  <c:v>4.6875E-2</c:v>
                </c:pt>
                <c:pt idx="2">
                  <c:v>5.7291666666666664E-2</c:v>
                </c:pt>
                <c:pt idx="3">
                  <c:v>5.7291666666666664E-2</c:v>
                </c:pt>
                <c:pt idx="4">
                  <c:v>6.7708333333333329E-2</c:v>
                </c:pt>
                <c:pt idx="5">
                  <c:v>6.7708333333333329E-2</c:v>
                </c:pt>
                <c:pt idx="6">
                  <c:v>7.2916666666666671E-2</c:v>
                </c:pt>
                <c:pt idx="7">
                  <c:v>7.2916666666666671E-2</c:v>
                </c:pt>
                <c:pt idx="8">
                  <c:v>8.8541666666666671E-2</c:v>
                </c:pt>
                <c:pt idx="9">
                  <c:v>0.11979166666666667</c:v>
                </c:pt>
                <c:pt idx="10">
                  <c:v>0.140625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50A-4EFF-87A2-D191D5AD59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48145152"/>
        <c:axId val="48146688"/>
      </c:barChart>
      <c:catAx>
        <c:axId val="4814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814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4814668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4814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GrafikaiMirt!$AA$41:$AA$51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Smegenų</c:v>
                </c:pt>
                <c:pt idx="3">
                  <c:v>Gimdos kūno</c:v>
                </c:pt>
                <c:pt idx="4">
                  <c:v>Nepatikslintos lokalizacijos</c:v>
                </c:pt>
                <c:pt idx="5">
                  <c:v>Gaubtinės žarnos</c:v>
                </c:pt>
                <c:pt idx="6">
                  <c:v>Plaučių, trachėjos, bronchų</c:v>
                </c:pt>
                <c:pt idx="7">
                  <c:v>Skrandžio</c:v>
                </c:pt>
                <c:pt idx="8">
                  <c:v>Kiaušidžių</c:v>
                </c:pt>
                <c:pt idx="9">
                  <c:v>Gimdos kaklelio</c:v>
                </c:pt>
                <c:pt idx="10">
                  <c:v>Krūties</c:v>
                </c:pt>
              </c:strCache>
            </c:strRef>
          </c:cat>
          <c:val>
            <c:numRef>
              <c:f>GrafikaiMirt!$AC$41:$AC$51</c:f>
              <c:numCache>
                <c:formatCode>0%</c:formatCode>
                <c:ptCount val="11"/>
                <c:pt idx="0">
                  <c:v>0.19900497512437812</c:v>
                </c:pt>
                <c:pt idx="1">
                  <c:v>3.7313432835820892E-2</c:v>
                </c:pt>
                <c:pt idx="2">
                  <c:v>3.7313432835820892E-2</c:v>
                </c:pt>
                <c:pt idx="3">
                  <c:v>3.9800995024875621E-2</c:v>
                </c:pt>
                <c:pt idx="4">
                  <c:v>4.228855721393035E-2</c:v>
                </c:pt>
                <c:pt idx="5">
                  <c:v>4.4776119402985072E-2</c:v>
                </c:pt>
                <c:pt idx="6">
                  <c:v>5.721393034825871E-2</c:v>
                </c:pt>
                <c:pt idx="7">
                  <c:v>8.45771144278607E-2</c:v>
                </c:pt>
                <c:pt idx="8">
                  <c:v>0.10945273631840796</c:v>
                </c:pt>
                <c:pt idx="9">
                  <c:v>0.14427860696517414</c:v>
                </c:pt>
                <c:pt idx="10">
                  <c:v>0.20398009950248755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7F2-4740-8E63-4DE830B551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28576"/>
        <c:axId val="98330112"/>
      </c:barChart>
      <c:catAx>
        <c:axId val="983285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301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301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285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3598392793493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GrafikaiMirt!$AA$54:$AA$64</c:f>
              <c:strCache>
                <c:ptCount val="11"/>
                <c:pt idx="0">
                  <c:v>Kiti</c:v>
                </c:pt>
                <c:pt idx="1">
                  <c:v>Smegenų</c:v>
                </c:pt>
                <c:pt idx="2">
                  <c:v>Tiesiosios žarnos, išangės</c:v>
                </c:pt>
                <c:pt idx="3">
                  <c:v>Gimdos kaklelio</c:v>
                </c:pt>
                <c:pt idx="4">
                  <c:v>Gimdos kūno</c:v>
                </c:pt>
                <c:pt idx="5">
                  <c:v>Gaubtinės žarnos</c:v>
                </c:pt>
                <c:pt idx="6">
                  <c:v>Kasos</c:v>
                </c:pt>
                <c:pt idx="7">
                  <c:v>Skrandžio</c:v>
                </c:pt>
                <c:pt idx="8">
                  <c:v>Kiaušidžių</c:v>
                </c:pt>
                <c:pt idx="9">
                  <c:v>Plaučių, trachėjos, bronchų</c:v>
                </c:pt>
                <c:pt idx="10">
                  <c:v>Krūties</c:v>
                </c:pt>
              </c:strCache>
            </c:strRef>
          </c:cat>
          <c:val>
            <c:numRef>
              <c:f>GrafikaiMirt!$AC$54:$AC$64</c:f>
              <c:numCache>
                <c:formatCode>0%</c:formatCode>
                <c:ptCount val="11"/>
                <c:pt idx="0">
                  <c:v>0.25840336134453784</c:v>
                </c:pt>
                <c:pt idx="1">
                  <c:v>3.7815126050420166E-2</c:v>
                </c:pt>
                <c:pt idx="2">
                  <c:v>4.4817927170868348E-2</c:v>
                </c:pt>
                <c:pt idx="3">
                  <c:v>5.1120448179271707E-2</c:v>
                </c:pt>
                <c:pt idx="4">
                  <c:v>5.1120448179271707E-2</c:v>
                </c:pt>
                <c:pt idx="5">
                  <c:v>5.4621848739495799E-2</c:v>
                </c:pt>
                <c:pt idx="6">
                  <c:v>7.3529411764705885E-2</c:v>
                </c:pt>
                <c:pt idx="7">
                  <c:v>8.3333333333333329E-2</c:v>
                </c:pt>
                <c:pt idx="8">
                  <c:v>8.683473389355742E-2</c:v>
                </c:pt>
                <c:pt idx="9">
                  <c:v>8.8235294117647065E-2</c:v>
                </c:pt>
                <c:pt idx="10">
                  <c:v>0.17016806722689076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D8-45CF-9A23-32971181B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46112"/>
        <c:axId val="98347648"/>
      </c:barChart>
      <c:catAx>
        <c:axId val="9834611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4764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4764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461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 paperSize="9" orientation="landscape"/>
  </c:printSettings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715012475292443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020232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GrafikaiMirt!$AA$67:$AA$77</c:f>
              <c:strCache>
                <c:ptCount val="11"/>
                <c:pt idx="0">
                  <c:v>Kiti</c:v>
                </c:pt>
                <c:pt idx="1">
                  <c:v>Gimdos kūno</c:v>
                </c:pt>
                <c:pt idx="2">
                  <c:v>Leukemijos</c:v>
                </c:pt>
                <c:pt idx="3">
                  <c:v>Kiaušidžių</c:v>
                </c:pt>
                <c:pt idx="4">
                  <c:v>Nepatikslintos lokalizacijos</c:v>
                </c:pt>
                <c:pt idx="5">
                  <c:v>Tiesiosios žarnos, išangės</c:v>
                </c:pt>
                <c:pt idx="6">
                  <c:v>Plaučių, trachėjos, bronchų</c:v>
                </c:pt>
                <c:pt idx="7">
                  <c:v>Kasos</c:v>
                </c:pt>
                <c:pt idx="8">
                  <c:v>Skrandžio</c:v>
                </c:pt>
                <c:pt idx="9">
                  <c:v>Gaubtinės žarnos</c:v>
                </c:pt>
                <c:pt idx="10">
                  <c:v>Krūties</c:v>
                </c:pt>
              </c:strCache>
            </c:strRef>
          </c:cat>
          <c:val>
            <c:numRef>
              <c:f>GrafikaiMirt!$AC$67:$AC$77</c:f>
              <c:numCache>
                <c:formatCode>0%</c:formatCode>
                <c:ptCount val="11"/>
                <c:pt idx="0">
                  <c:v>0.28934624697336564</c:v>
                </c:pt>
                <c:pt idx="1">
                  <c:v>3.9346246973365619E-2</c:v>
                </c:pt>
                <c:pt idx="2">
                  <c:v>5.387409200968523E-2</c:v>
                </c:pt>
                <c:pt idx="3">
                  <c:v>6.2953995157384993E-2</c:v>
                </c:pt>
                <c:pt idx="4">
                  <c:v>6.2953995157384993E-2</c:v>
                </c:pt>
                <c:pt idx="5">
                  <c:v>6.6585956416464892E-2</c:v>
                </c:pt>
                <c:pt idx="6">
                  <c:v>6.7796610169491525E-2</c:v>
                </c:pt>
                <c:pt idx="7">
                  <c:v>7.2033898305084748E-2</c:v>
                </c:pt>
                <c:pt idx="8">
                  <c:v>7.8692493946731237E-2</c:v>
                </c:pt>
                <c:pt idx="9">
                  <c:v>9.3825665859564158E-2</c:v>
                </c:pt>
                <c:pt idx="10">
                  <c:v>0.11259079903147699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96-4044-A0FE-495599A230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84128"/>
        <c:axId val="98385920"/>
      </c:barChart>
      <c:catAx>
        <c:axId val="9838412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38592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38592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8412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509510385275914E-3"/>
          <c:y val="0"/>
          <c:w val="0.76629662032986623"/>
          <c:h val="0.99831617201695944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GrafikaiMirt!$W$67:$W$77</c:f>
              <c:strCache>
                <c:ptCount val="11"/>
                <c:pt idx="0">
                  <c:v>Kiti</c:v>
                </c:pt>
                <c:pt idx="1">
                  <c:v>Leukemijos</c:v>
                </c:pt>
                <c:pt idx="2">
                  <c:v>Inkstų</c:v>
                </c:pt>
                <c:pt idx="3">
                  <c:v>Kasos</c:v>
                </c:pt>
                <c:pt idx="4">
                  <c:v>Nepatikslintos lokalizacijos</c:v>
                </c:pt>
                <c:pt idx="5">
                  <c:v>Šlapimo pūslės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Plaučių, trachėjos, bronchų</c:v>
                </c:pt>
                <c:pt idx="10">
                  <c:v>Priešinės liaukos</c:v>
                </c:pt>
              </c:strCache>
            </c:strRef>
          </c:cat>
          <c:val>
            <c:numRef>
              <c:f>GrafikaiMirt!$Y$67:$Y$77</c:f>
              <c:numCache>
                <c:formatCode>0%</c:formatCode>
                <c:ptCount val="11"/>
                <c:pt idx="0">
                  <c:v>0.17103694874851014</c:v>
                </c:pt>
                <c:pt idx="1">
                  <c:v>3.396901072705602E-2</c:v>
                </c:pt>
                <c:pt idx="2">
                  <c:v>3.6948748510131108E-2</c:v>
                </c:pt>
                <c:pt idx="3">
                  <c:v>3.9332538736591177E-2</c:v>
                </c:pt>
                <c:pt idx="4">
                  <c:v>5.1847437425506557E-2</c:v>
                </c:pt>
                <c:pt idx="5">
                  <c:v>6.0786650774731825E-2</c:v>
                </c:pt>
                <c:pt idx="6">
                  <c:v>6.6746126340882006E-2</c:v>
                </c:pt>
                <c:pt idx="7">
                  <c:v>6.9129916567342076E-2</c:v>
                </c:pt>
                <c:pt idx="8">
                  <c:v>8.7008343265792612E-2</c:v>
                </c:pt>
                <c:pt idx="9">
                  <c:v>0.18414779499404052</c:v>
                </c:pt>
                <c:pt idx="10">
                  <c:v>0.19904648390941598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37-4833-9D94-97B31A007A7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393472"/>
        <c:axId val="98419840"/>
      </c:barChart>
      <c:catAx>
        <c:axId val="9839347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419840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419840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39347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4F81BD">
                <a:lumMod val="40000"/>
                <a:lumOff val="60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GrafikaiMirt!$W$2:$W$12</c:f>
              <c:strCache>
                <c:ptCount val="11"/>
                <c:pt idx="0">
                  <c:v>Kiti</c:v>
                </c:pt>
                <c:pt idx="1">
                  <c:v>Stemplės</c:v>
                </c:pt>
                <c:pt idx="2">
                  <c:v>Inkstų</c:v>
                </c:pt>
                <c:pt idx="3">
                  <c:v>Burnos ertmės ir ryklės</c:v>
                </c:pt>
                <c:pt idx="4">
                  <c:v>Nepatikslintos lokalizacijos</c:v>
                </c:pt>
                <c:pt idx="5">
                  <c:v>Kasos</c:v>
                </c:pt>
                <c:pt idx="6">
                  <c:v>Tiesiosios žarnos, išangės</c:v>
                </c:pt>
                <c:pt idx="7">
                  <c:v>Gaubtinės žarnos</c:v>
                </c:pt>
                <c:pt idx="8">
                  <c:v>Skrandžio</c:v>
                </c:pt>
                <c:pt idx="9">
                  <c:v>Priešinės liaukos</c:v>
                </c:pt>
                <c:pt idx="10">
                  <c:v>Plaučių, trachėjos, bronchų</c:v>
                </c:pt>
              </c:strCache>
            </c:strRef>
          </c:cat>
          <c:val>
            <c:numRef>
              <c:f>GrafikaiMirt!$Y$2:$Y$12</c:f>
              <c:numCache>
                <c:formatCode>0%</c:formatCode>
                <c:ptCount val="11"/>
                <c:pt idx="0">
                  <c:v>0.21841115290993582</c:v>
                </c:pt>
                <c:pt idx="1">
                  <c:v>3.8282805930515598E-2</c:v>
                </c:pt>
                <c:pt idx="2">
                  <c:v>3.9167957512724054E-2</c:v>
                </c:pt>
                <c:pt idx="3">
                  <c:v>4.8019473334808584E-2</c:v>
                </c:pt>
                <c:pt idx="4">
                  <c:v>5.023235229032972E-2</c:v>
                </c:pt>
                <c:pt idx="5">
                  <c:v>5.2002655454746624E-2</c:v>
                </c:pt>
                <c:pt idx="6">
                  <c:v>5.4658110201371984E-2</c:v>
                </c:pt>
                <c:pt idx="7">
                  <c:v>5.4879398096924097E-2</c:v>
                </c:pt>
                <c:pt idx="8">
                  <c:v>9.139190086302279E-2</c:v>
                </c:pt>
                <c:pt idx="9">
                  <c:v>0.11506970568709891</c:v>
                </c:pt>
                <c:pt idx="10">
                  <c:v>0.2378844877185218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3ED-420F-90DD-E321124042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98456320"/>
        <c:axId val="98457856"/>
      </c:barChart>
      <c:catAx>
        <c:axId val="98456320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98457856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98457856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9845632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5842712912419681E-4"/>
          <c:y val="0"/>
          <c:w val="0.76605197498460842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GrafikaiSergVM!$AA$2:$AA$12</c:f>
              <c:strCache>
                <c:ptCount val="11"/>
                <c:pt idx="0">
                  <c:v>Kiti</c:v>
                </c:pt>
                <c:pt idx="1">
                  <c:v>Inkstų</c:v>
                </c:pt>
                <c:pt idx="2">
                  <c:v>Kiaušidžių</c:v>
                </c:pt>
                <c:pt idx="3">
                  <c:v>Skrandžio</c:v>
                </c:pt>
                <c:pt idx="4">
                  <c:v>Gimdos kūno</c:v>
                </c:pt>
                <c:pt idx="5">
                  <c:v>Skydliaukės</c:v>
                </c:pt>
                <c:pt idx="6">
                  <c:v>Plaučių, trachėjos, bronchų</c:v>
                </c:pt>
                <c:pt idx="7">
                  <c:v>Gimdos kaklelio</c:v>
                </c:pt>
                <c:pt idx="8">
                  <c:v>Kiti odos piktybiniai navikai</c:v>
                </c:pt>
                <c:pt idx="9">
                  <c:v>Priešinės liaukos</c:v>
                </c:pt>
                <c:pt idx="10">
                  <c:v>Krūties</c:v>
                </c:pt>
              </c:strCache>
            </c:strRef>
          </c:cat>
          <c:val>
            <c:numRef>
              <c:f>GrafikaiSergVM!$AC$2:$AC$12</c:f>
              <c:numCache>
                <c:formatCode>0%</c:formatCode>
                <c:ptCount val="11"/>
                <c:pt idx="0">
                  <c:v>0.31022880215343202</c:v>
                </c:pt>
                <c:pt idx="1">
                  <c:v>3.6339165545087482E-2</c:v>
                </c:pt>
                <c:pt idx="2">
                  <c:v>4.0040376850605651E-2</c:v>
                </c:pt>
                <c:pt idx="3">
                  <c:v>4.2732166890982505E-2</c:v>
                </c:pt>
                <c:pt idx="4">
                  <c:v>4.5423956931359352E-2</c:v>
                </c:pt>
                <c:pt idx="5">
                  <c:v>4.8115746971736206E-2</c:v>
                </c:pt>
                <c:pt idx="6">
                  <c:v>4.8788694481830416E-2</c:v>
                </c:pt>
                <c:pt idx="7">
                  <c:v>5.7200538358008077E-2</c:v>
                </c:pt>
                <c:pt idx="8">
                  <c:v>9.2530282637954236E-2</c:v>
                </c:pt>
                <c:pt idx="9">
                  <c:v>0.10969044414535666</c:v>
                </c:pt>
                <c:pt idx="10">
                  <c:v>0.16890982503364738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14-47A1-9147-9F841CC408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1788032"/>
        <c:axId val="51802112"/>
      </c:barChart>
      <c:catAx>
        <c:axId val="5178803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5180211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02112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5178803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1518839360557497E-3"/>
          <c:y val="3.0351975233864291E-4"/>
          <c:w val="0.76795995983281173"/>
          <c:h val="0.99812840702604477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GrafikaiSergVM!$AA$15:$AA$25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Tiesiosios žarnos, išangės</c:v>
                </c:pt>
                <c:pt idx="3">
                  <c:v>Gimdos kūno</c:v>
                </c:pt>
                <c:pt idx="4">
                  <c:v>Skrandžio</c:v>
                </c:pt>
                <c:pt idx="5">
                  <c:v>Inkstų</c:v>
                </c:pt>
                <c:pt idx="6">
                  <c:v>Gaubtinės žarnos</c:v>
                </c:pt>
                <c:pt idx="7">
                  <c:v>Krūties</c:v>
                </c:pt>
                <c:pt idx="8">
                  <c:v>Plaučių, trachėjos, bronchų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GrafikaiSergVM!$AC$15:$AC$25</c:f>
              <c:numCache>
                <c:formatCode>0%</c:formatCode>
                <c:ptCount val="11"/>
                <c:pt idx="0">
                  <c:v>0.23903788846317581</c:v>
                </c:pt>
                <c:pt idx="1">
                  <c:v>2.9267773520647085E-2</c:v>
                </c:pt>
                <c:pt idx="2">
                  <c:v>3.3312047679863774E-2</c:v>
                </c:pt>
                <c:pt idx="3">
                  <c:v>3.6398467432950193E-2</c:v>
                </c:pt>
                <c:pt idx="4">
                  <c:v>4.0017028522775652E-2</c:v>
                </c:pt>
                <c:pt idx="5">
                  <c:v>4.2145593869731802E-2</c:v>
                </c:pt>
                <c:pt idx="6">
                  <c:v>4.7041294167730952E-2</c:v>
                </c:pt>
                <c:pt idx="7">
                  <c:v>8.5355470412941684E-2</c:v>
                </c:pt>
                <c:pt idx="8">
                  <c:v>9.4508301404853126E-2</c:v>
                </c:pt>
                <c:pt idx="9">
                  <c:v>0.10770540655598126</c:v>
                </c:pt>
                <c:pt idx="10">
                  <c:v>0.24521072796934865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F0-4513-9ED9-88A6873F41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51822592"/>
        <c:axId val="51824128"/>
      </c:barChart>
      <c:catAx>
        <c:axId val="5182259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5182412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5182412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518225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1.6120670101422516E-3"/>
          <c:y val="0"/>
          <c:w val="0.76518162081591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bg2">
                <a:lumMod val="75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lt-L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GrafikaiSergVM!$AA$28:$AA$38</c:f>
              <c:strCache>
                <c:ptCount val="11"/>
                <c:pt idx="0">
                  <c:v>Kiti</c:v>
                </c:pt>
                <c:pt idx="1">
                  <c:v>Leukemijos</c:v>
                </c:pt>
                <c:pt idx="2">
                  <c:v>Kasos</c:v>
                </c:pt>
                <c:pt idx="3">
                  <c:v>Nepatikslintos lokalizacijos</c:v>
                </c:pt>
                <c:pt idx="4">
                  <c:v>Tiesiosios žarnos, išangės</c:v>
                </c:pt>
                <c:pt idx="5">
                  <c:v>Skrandžio</c:v>
                </c:pt>
                <c:pt idx="6">
                  <c:v>Krūties</c:v>
                </c:pt>
                <c:pt idx="7">
                  <c:v>Gaubtinės žarnos</c:v>
                </c:pt>
                <c:pt idx="8">
                  <c:v>Plaučių, trachėjos, bronchų</c:v>
                </c:pt>
                <c:pt idx="9">
                  <c:v>Priešinės liaukos</c:v>
                </c:pt>
                <c:pt idx="10">
                  <c:v>Kiti odos piktybiniai navikai</c:v>
                </c:pt>
              </c:strCache>
            </c:strRef>
          </c:cat>
          <c:val>
            <c:numRef>
              <c:f>GrafikaiSergVM!$AC$28:$AC$38</c:f>
              <c:numCache>
                <c:formatCode>0%</c:formatCode>
                <c:ptCount val="11"/>
                <c:pt idx="0">
                  <c:v>0.26685823754789273</c:v>
                </c:pt>
                <c:pt idx="1">
                  <c:v>3.6590038314176246E-2</c:v>
                </c:pt>
                <c:pt idx="2">
                  <c:v>3.7739463601532568E-2</c:v>
                </c:pt>
                <c:pt idx="3">
                  <c:v>3.793103448275862E-2</c:v>
                </c:pt>
                <c:pt idx="4">
                  <c:v>5.1915708812260535E-2</c:v>
                </c:pt>
                <c:pt idx="5">
                  <c:v>5.9578544061302682E-2</c:v>
                </c:pt>
                <c:pt idx="6">
                  <c:v>6.8582375478927204E-2</c:v>
                </c:pt>
                <c:pt idx="7">
                  <c:v>6.8773946360153257E-2</c:v>
                </c:pt>
                <c:pt idx="8">
                  <c:v>7.6819923371647503E-2</c:v>
                </c:pt>
                <c:pt idx="9">
                  <c:v>0.11494252873563218</c:v>
                </c:pt>
                <c:pt idx="10">
                  <c:v>0.18026819923371648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DFE-4B20-B75B-8A8CCCE14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8625152"/>
        <c:axId val="68626688"/>
      </c:barChart>
      <c:catAx>
        <c:axId val="68625152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8626688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8626688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86251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812578983182656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rgbClr val="EEECE1">
                <a:lumMod val="75000"/>
              </a:srgb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GrafikaiSergVM!$W$2:$W$12</c:f>
              <c:strCache>
                <c:ptCount val="11"/>
                <c:pt idx="0">
                  <c:v>Kiti</c:v>
                </c:pt>
                <c:pt idx="1">
                  <c:v>Kasos</c:v>
                </c:pt>
                <c:pt idx="2">
                  <c:v>Gimdos kūno</c:v>
                </c:pt>
                <c:pt idx="3">
                  <c:v>Tiesiosios žarnos, išangės</c:v>
                </c:pt>
                <c:pt idx="4">
                  <c:v>Inkstų</c:v>
                </c:pt>
                <c:pt idx="5">
                  <c:v>Skrandžio</c:v>
                </c:pt>
                <c:pt idx="6">
                  <c:v>Gaubtinės žarnos</c:v>
                </c:pt>
                <c:pt idx="7">
                  <c:v>Plaučių, trachėjos, bronchų</c:v>
                </c:pt>
                <c:pt idx="8">
                  <c:v>Krūties</c:v>
                </c:pt>
                <c:pt idx="9">
                  <c:v>Kiti odos piktybiniai navikai</c:v>
                </c:pt>
                <c:pt idx="10">
                  <c:v>Priešinės liaukos</c:v>
                </c:pt>
              </c:strCache>
            </c:strRef>
          </c:cat>
          <c:val>
            <c:numRef>
              <c:f>GrafikaiSergVM!$Y$2:$Y$12</c:f>
              <c:numCache>
                <c:formatCode>0%</c:formatCode>
                <c:ptCount val="11"/>
                <c:pt idx="0">
                  <c:v>0.28387313683738652</c:v>
                </c:pt>
                <c:pt idx="1">
                  <c:v>2.9754566849714222E-2</c:v>
                </c:pt>
                <c:pt idx="2">
                  <c:v>3.4517538944301242E-2</c:v>
                </c:pt>
                <c:pt idx="3">
                  <c:v>3.7991706825058834E-2</c:v>
                </c:pt>
                <c:pt idx="4">
                  <c:v>3.8496021517426877E-2</c:v>
                </c:pt>
                <c:pt idx="5">
                  <c:v>4.5948671971310098E-2</c:v>
                </c:pt>
                <c:pt idx="6">
                  <c:v>4.8806455228062311E-2</c:v>
                </c:pt>
                <c:pt idx="7">
                  <c:v>8.0466210915611347E-2</c:v>
                </c:pt>
                <c:pt idx="8">
                  <c:v>9.3522357951361657E-2</c:v>
                </c:pt>
                <c:pt idx="9">
                  <c:v>0.12563039336546006</c:v>
                </c:pt>
                <c:pt idx="10">
                  <c:v>0.18099293959430685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C-4055-8D0E-500F9A6FA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8679168"/>
        <c:axId val="68680704"/>
      </c:barChart>
      <c:catAx>
        <c:axId val="686791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8680704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8680704"/>
        <c:scaling>
          <c:orientation val="minMax"/>
          <c:max val="0.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8679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15183329356606E-4"/>
          <c:y val="0"/>
          <c:w val="0.76603447717183504"/>
          <c:h val="1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GrafikaiSerg!$W$15:$W$25</c:f>
              <c:strCache>
                <c:ptCount val="11"/>
                <c:pt idx="0">
                  <c:v>Kiti</c:v>
                </c:pt>
                <c:pt idx="1">
                  <c:v>Kitų kvėpavimo sistemos organų</c:v>
                </c:pt>
                <c:pt idx="2">
                  <c:v>Inkstų</c:v>
                </c:pt>
                <c:pt idx="3">
                  <c:v>Akių</c:v>
                </c:pt>
                <c:pt idx="4">
                  <c:v>Skydliaukės</c:v>
                </c:pt>
                <c:pt idx="5">
                  <c:v>Hodžkino limfomos</c:v>
                </c:pt>
                <c:pt idx="6">
                  <c:v>Ne Hodžkino limfomos</c:v>
                </c:pt>
                <c:pt idx="7">
                  <c:v>Kitų endokrininių liaukų</c:v>
                </c:pt>
                <c:pt idx="8">
                  <c:v>Kaulų ir jungiamojo audinio</c:v>
                </c:pt>
                <c:pt idx="9">
                  <c:v>Smegenų</c:v>
                </c:pt>
                <c:pt idx="10">
                  <c:v>Leukemijos</c:v>
                </c:pt>
              </c:strCache>
            </c:strRef>
          </c:cat>
          <c:val>
            <c:numRef>
              <c:f>GrafikaiSerg!$Y$15:$Y$25</c:f>
              <c:numCache>
                <c:formatCode>0%</c:formatCode>
                <c:ptCount val="11"/>
                <c:pt idx="0">
                  <c:v>1.0000000000000001E-5</c:v>
                </c:pt>
                <c:pt idx="1">
                  <c:v>2.3255813953488372E-2</c:v>
                </c:pt>
                <c:pt idx="2">
                  <c:v>2.3255813953488372E-2</c:v>
                </c:pt>
                <c:pt idx="3">
                  <c:v>2.3255813953488372E-2</c:v>
                </c:pt>
                <c:pt idx="4">
                  <c:v>2.3255813953488372E-2</c:v>
                </c:pt>
                <c:pt idx="5">
                  <c:v>2.3255813953488372E-2</c:v>
                </c:pt>
                <c:pt idx="6">
                  <c:v>6.9767441860465115E-2</c:v>
                </c:pt>
                <c:pt idx="7">
                  <c:v>9.3023255813953487E-2</c:v>
                </c:pt>
                <c:pt idx="8">
                  <c:v>0.16279069767441862</c:v>
                </c:pt>
                <c:pt idx="9">
                  <c:v>0.20930232558139536</c:v>
                </c:pt>
                <c:pt idx="10">
                  <c:v>0.34883720930232559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E8-40CE-AC48-711B584953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"/>
        <c:axId val="69922176"/>
        <c:axId val="69940352"/>
      </c:barChart>
      <c:catAx>
        <c:axId val="6992217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high"/>
        <c:crossAx val="69940352"/>
        <c:crosses val="autoZero"/>
        <c:auto val="1"/>
        <c:lblAlgn val="ctr"/>
        <c:lblOffset val="0"/>
        <c:tickLblSkip val="1"/>
        <c:tickMarkSkip val="1"/>
        <c:noMultiLvlLbl val="0"/>
      </c:catAx>
      <c:valAx>
        <c:axId val="69940352"/>
        <c:scaling>
          <c:orientation val="minMax"/>
          <c:max val="0.56000000000000005"/>
          <c:min val="0"/>
        </c:scaling>
        <c:delete val="1"/>
        <c:axPos val="b"/>
        <c:numFmt formatCode="0%" sourceLinked="1"/>
        <c:majorTickMark val="out"/>
        <c:minorTickMark val="none"/>
        <c:tickLblPos val="nextTo"/>
        <c:crossAx val="69922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3175">
      <a:noFill/>
      <a:prstDash val="solid"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lt-LT"/>
    </a:p>
  </c:txPr>
  <c:printSettings>
    <c:headerFooter alignWithMargins="0"/>
    <c:pageMargins b="1" l="0.75" r="0.75" t="1" header="0.5" footer="0.5"/>
    <c:pageSetup/>
  </c:printSettings>
</c:chartSpace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5" Type="http://schemas.openxmlformats.org/officeDocument/2006/relationships/chart" Target="../charts/chart7.xml"/><Relationship Id="rId4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6.xml"/><Relationship Id="rId3" Type="http://schemas.openxmlformats.org/officeDocument/2006/relationships/chart" Target="../charts/chart11.xml"/><Relationship Id="rId7" Type="http://schemas.openxmlformats.org/officeDocument/2006/relationships/chart" Target="../charts/chart15.xml"/><Relationship Id="rId12" Type="http://schemas.openxmlformats.org/officeDocument/2006/relationships/chart" Target="../charts/chart20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6" Type="http://schemas.openxmlformats.org/officeDocument/2006/relationships/chart" Target="../charts/chart14.xml"/><Relationship Id="rId11" Type="http://schemas.openxmlformats.org/officeDocument/2006/relationships/chart" Target="../charts/chart19.xml"/><Relationship Id="rId5" Type="http://schemas.openxmlformats.org/officeDocument/2006/relationships/chart" Target="../charts/chart13.xml"/><Relationship Id="rId10" Type="http://schemas.openxmlformats.org/officeDocument/2006/relationships/chart" Target="../charts/chart18.xml"/><Relationship Id="rId4" Type="http://schemas.openxmlformats.org/officeDocument/2006/relationships/chart" Target="../charts/chart12.xml"/><Relationship Id="rId9" Type="http://schemas.openxmlformats.org/officeDocument/2006/relationships/chart" Target="../charts/chart17.xml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chart" Target="../charts/chart28.xml"/><Relationship Id="rId3" Type="http://schemas.openxmlformats.org/officeDocument/2006/relationships/chart" Target="../charts/chart23.xml"/><Relationship Id="rId7" Type="http://schemas.openxmlformats.org/officeDocument/2006/relationships/chart" Target="../charts/chart27.xml"/><Relationship Id="rId12" Type="http://schemas.openxmlformats.org/officeDocument/2006/relationships/chart" Target="../charts/chart32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6" Type="http://schemas.openxmlformats.org/officeDocument/2006/relationships/chart" Target="../charts/chart26.xml"/><Relationship Id="rId11" Type="http://schemas.openxmlformats.org/officeDocument/2006/relationships/chart" Target="../charts/chart31.xml"/><Relationship Id="rId5" Type="http://schemas.openxmlformats.org/officeDocument/2006/relationships/chart" Target="../charts/chart25.xml"/><Relationship Id="rId10" Type="http://schemas.openxmlformats.org/officeDocument/2006/relationships/chart" Target="../charts/chart30.xml"/><Relationship Id="rId4" Type="http://schemas.openxmlformats.org/officeDocument/2006/relationships/chart" Target="../charts/chart24.xml"/><Relationship Id="rId9" Type="http://schemas.openxmlformats.org/officeDocument/2006/relationships/chart" Target="../charts/chart29.xml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40.xml"/><Relationship Id="rId3" Type="http://schemas.openxmlformats.org/officeDocument/2006/relationships/chart" Target="../charts/chart35.xml"/><Relationship Id="rId7" Type="http://schemas.openxmlformats.org/officeDocument/2006/relationships/chart" Target="../charts/chart39.xml"/><Relationship Id="rId12" Type="http://schemas.openxmlformats.org/officeDocument/2006/relationships/chart" Target="../charts/chart44.xml"/><Relationship Id="rId2" Type="http://schemas.openxmlformats.org/officeDocument/2006/relationships/chart" Target="../charts/chart34.xml"/><Relationship Id="rId1" Type="http://schemas.openxmlformats.org/officeDocument/2006/relationships/chart" Target="../charts/chart33.xml"/><Relationship Id="rId6" Type="http://schemas.openxmlformats.org/officeDocument/2006/relationships/chart" Target="../charts/chart38.xml"/><Relationship Id="rId11" Type="http://schemas.openxmlformats.org/officeDocument/2006/relationships/chart" Target="../charts/chart43.xml"/><Relationship Id="rId5" Type="http://schemas.openxmlformats.org/officeDocument/2006/relationships/chart" Target="../charts/chart37.xml"/><Relationship Id="rId10" Type="http://schemas.openxmlformats.org/officeDocument/2006/relationships/chart" Target="../charts/chart42.xml"/><Relationship Id="rId4" Type="http://schemas.openxmlformats.org/officeDocument/2006/relationships/chart" Target="../charts/chart36.xml"/><Relationship Id="rId9" Type="http://schemas.openxmlformats.org/officeDocument/2006/relationships/chart" Target="../charts/chart4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52</xdr:row>
          <xdr:rowOff>38100</xdr:rowOff>
        </xdr:from>
        <xdr:to>
          <xdr:col>2</xdr:col>
          <xdr:colOff>133350</xdr:colOff>
          <xdr:row>55</xdr:row>
          <xdr:rowOff>152400</xdr:rowOff>
        </xdr:to>
        <xdr:sp macro="" textlink="">
          <xdr:nvSpPr>
            <xdr:cNvPr id="3083" name="Perskaiciuoti" hidden="1">
              <a:extLst>
                <a:ext uri="{63B3BB69-23CF-44E3-9099-C40C66FF867C}">
                  <a14:compatExt spid="_x0000_s30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</xdr:row>
      <xdr:rowOff>0</xdr:rowOff>
    </xdr:from>
    <xdr:to>
      <xdr:col>8</xdr:col>
      <xdr:colOff>142425</xdr:colOff>
      <xdr:row>24</xdr:row>
      <xdr:rowOff>19051</xdr:rowOff>
    </xdr:to>
    <xdr:graphicFrame macro="">
      <xdr:nvGraphicFramePr>
        <xdr:cNvPr id="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66675</xdr:colOff>
      <xdr:row>4</xdr:row>
      <xdr:rowOff>142876</xdr:rowOff>
    </xdr:from>
    <xdr:to>
      <xdr:col>18</xdr:col>
      <xdr:colOff>228600</xdr:colOff>
      <xdr:row>23</xdr:row>
      <xdr:rowOff>104776</xdr:rowOff>
    </xdr:to>
    <xdr:graphicFrame macro="">
      <xdr:nvGraphicFramePr>
        <xdr:cNvPr id="8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5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4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43</xdr:row>
      <xdr:rowOff>0</xdr:rowOff>
    </xdr:from>
    <xdr:to>
      <xdr:col>8</xdr:col>
      <xdr:colOff>0</xdr:colOff>
      <xdr:row>54</xdr:row>
      <xdr:rowOff>0</xdr:rowOff>
    </xdr:to>
    <xdr:graphicFrame macro="">
      <xdr:nvGraphicFramePr>
        <xdr:cNvPr id="5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56</xdr:row>
      <xdr:rowOff>0</xdr:rowOff>
    </xdr:from>
    <xdr:to>
      <xdr:col>8</xdr:col>
      <xdr:colOff>0</xdr:colOff>
      <xdr:row>67</xdr:row>
      <xdr:rowOff>0</xdr:rowOff>
    </xdr:to>
    <xdr:graphicFrame macro="">
      <xdr:nvGraphicFramePr>
        <xdr:cNvPr id="6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7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8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9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43</xdr:row>
      <xdr:rowOff>1</xdr:rowOff>
    </xdr:from>
    <xdr:to>
      <xdr:col>18</xdr:col>
      <xdr:colOff>0</xdr:colOff>
      <xdr:row>54</xdr:row>
      <xdr:rowOff>1</xdr:rowOff>
    </xdr:to>
    <xdr:graphicFrame macro="">
      <xdr:nvGraphicFramePr>
        <xdr:cNvPr id="10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56</xdr:row>
      <xdr:rowOff>0</xdr:rowOff>
    </xdr:from>
    <xdr:to>
      <xdr:col>17</xdr:col>
      <xdr:colOff>409575</xdr:colOff>
      <xdr:row>67</xdr:row>
      <xdr:rowOff>0</xdr:rowOff>
    </xdr:to>
    <xdr:graphicFrame macro="">
      <xdr:nvGraphicFramePr>
        <xdr:cNvPr id="11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69</xdr:row>
      <xdr:rowOff>0</xdr:rowOff>
    </xdr:from>
    <xdr:to>
      <xdr:col>18</xdr:col>
      <xdr:colOff>0</xdr:colOff>
      <xdr:row>80</xdr:row>
      <xdr:rowOff>0</xdr:rowOff>
    </xdr:to>
    <xdr:graphicFrame macro="">
      <xdr:nvGraphicFramePr>
        <xdr:cNvPr id="12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69</xdr:row>
      <xdr:rowOff>1</xdr:rowOff>
    </xdr:from>
    <xdr:to>
      <xdr:col>8</xdr:col>
      <xdr:colOff>0</xdr:colOff>
      <xdr:row>80</xdr:row>
      <xdr:rowOff>1</xdr:rowOff>
    </xdr:to>
    <xdr:graphicFrame macro="">
      <xdr:nvGraphicFramePr>
        <xdr:cNvPr id="13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2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42</xdr:row>
      <xdr:rowOff>0</xdr:rowOff>
    </xdr:from>
    <xdr:to>
      <xdr:col>8</xdr:col>
      <xdr:colOff>0</xdr:colOff>
      <xdr:row>53</xdr:row>
      <xdr:rowOff>0</xdr:rowOff>
    </xdr:to>
    <xdr:graphicFrame macro="">
      <xdr:nvGraphicFramePr>
        <xdr:cNvPr id="4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55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5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42</xdr:row>
      <xdr:rowOff>1</xdr:rowOff>
    </xdr:from>
    <xdr:to>
      <xdr:col>18</xdr:col>
      <xdr:colOff>0</xdr:colOff>
      <xdr:row>53</xdr:row>
      <xdr:rowOff>1</xdr:rowOff>
    </xdr:to>
    <xdr:graphicFrame macro="">
      <xdr:nvGraphicFramePr>
        <xdr:cNvPr id="9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55</xdr:row>
      <xdr:rowOff>0</xdr:rowOff>
    </xdr:from>
    <xdr:to>
      <xdr:col>18</xdr:col>
      <xdr:colOff>1</xdr:colOff>
      <xdr:row>66</xdr:row>
      <xdr:rowOff>0</xdr:rowOff>
    </xdr:to>
    <xdr:graphicFrame macro="">
      <xdr:nvGraphicFramePr>
        <xdr:cNvPr id="10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68</xdr:row>
      <xdr:rowOff>0</xdr:rowOff>
    </xdr:from>
    <xdr:to>
      <xdr:col>18</xdr:col>
      <xdr:colOff>0</xdr:colOff>
      <xdr:row>79</xdr:row>
      <xdr:rowOff>0</xdr:rowOff>
    </xdr:to>
    <xdr:graphicFrame macro="">
      <xdr:nvGraphicFramePr>
        <xdr:cNvPr id="11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68</xdr:row>
      <xdr:rowOff>1</xdr:rowOff>
    </xdr:from>
    <xdr:to>
      <xdr:col>8</xdr:col>
      <xdr:colOff>0</xdr:colOff>
      <xdr:row>79</xdr:row>
      <xdr:rowOff>1</xdr:rowOff>
    </xdr:to>
    <xdr:graphicFrame macro="">
      <xdr:nvGraphicFramePr>
        <xdr:cNvPr id="12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16</xdr:row>
      <xdr:rowOff>0</xdr:rowOff>
    </xdr:from>
    <xdr:to>
      <xdr:col>8</xdr:col>
      <xdr:colOff>0</xdr:colOff>
      <xdr:row>27</xdr:row>
      <xdr:rowOff>0</xdr:rowOff>
    </xdr:to>
    <xdr:graphicFrame macro="">
      <xdr:nvGraphicFramePr>
        <xdr:cNvPr id="2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57149</xdr:colOff>
      <xdr:row>29</xdr:row>
      <xdr:rowOff>0</xdr:rowOff>
    </xdr:from>
    <xdr:to>
      <xdr:col>8</xdr:col>
      <xdr:colOff>0</xdr:colOff>
      <xdr:row>40</xdr:row>
      <xdr:rowOff>0</xdr:rowOff>
    </xdr:to>
    <xdr:graphicFrame macro="">
      <xdr:nvGraphicFramePr>
        <xdr:cNvPr id="3" name="Top vyrai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57149</xdr:colOff>
      <xdr:row>42</xdr:row>
      <xdr:rowOff>0</xdr:rowOff>
    </xdr:from>
    <xdr:to>
      <xdr:col>8</xdr:col>
      <xdr:colOff>0</xdr:colOff>
      <xdr:row>53</xdr:row>
      <xdr:rowOff>0</xdr:rowOff>
    </xdr:to>
    <xdr:graphicFrame macro="">
      <xdr:nvGraphicFramePr>
        <xdr:cNvPr id="4" name="Top vyrai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1</xdr:colOff>
      <xdr:row>55</xdr:row>
      <xdr:rowOff>0</xdr:rowOff>
    </xdr:from>
    <xdr:to>
      <xdr:col>8</xdr:col>
      <xdr:colOff>0</xdr:colOff>
      <xdr:row>66</xdr:row>
      <xdr:rowOff>0</xdr:rowOff>
    </xdr:to>
    <xdr:graphicFrame macro="">
      <xdr:nvGraphicFramePr>
        <xdr:cNvPr id="5" name="Top vyrai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</xdr:col>
      <xdr:colOff>0</xdr:colOff>
      <xdr:row>3</xdr:row>
      <xdr:rowOff>0</xdr:rowOff>
    </xdr:from>
    <xdr:to>
      <xdr:col>18</xdr:col>
      <xdr:colOff>0</xdr:colOff>
      <xdr:row>14</xdr:row>
      <xdr:rowOff>0</xdr:rowOff>
    </xdr:to>
    <xdr:graphicFrame macro="">
      <xdr:nvGraphicFramePr>
        <xdr:cNvPr id="6" name="Top visos moterys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11</xdr:col>
      <xdr:colOff>57149</xdr:colOff>
      <xdr:row>16</xdr:row>
      <xdr:rowOff>0</xdr:rowOff>
    </xdr:from>
    <xdr:to>
      <xdr:col>18</xdr:col>
      <xdr:colOff>0</xdr:colOff>
      <xdr:row>27</xdr:row>
      <xdr:rowOff>0</xdr:rowOff>
    </xdr:to>
    <xdr:graphicFrame macro="">
      <xdr:nvGraphicFramePr>
        <xdr:cNvPr id="7" name="Top moterys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12</xdr:col>
      <xdr:colOff>1</xdr:colOff>
      <xdr:row>29</xdr:row>
      <xdr:rowOff>1</xdr:rowOff>
    </xdr:from>
    <xdr:to>
      <xdr:col>18</xdr:col>
      <xdr:colOff>0</xdr:colOff>
      <xdr:row>40</xdr:row>
      <xdr:rowOff>1</xdr:rowOff>
    </xdr:to>
    <xdr:graphicFrame macro="">
      <xdr:nvGraphicFramePr>
        <xdr:cNvPr id="8" name="Top moterys 15-2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</xdr:col>
      <xdr:colOff>1</xdr:colOff>
      <xdr:row>42</xdr:row>
      <xdr:rowOff>1</xdr:rowOff>
    </xdr:from>
    <xdr:to>
      <xdr:col>18</xdr:col>
      <xdr:colOff>0</xdr:colOff>
      <xdr:row>53</xdr:row>
      <xdr:rowOff>1</xdr:rowOff>
    </xdr:to>
    <xdr:graphicFrame macro="">
      <xdr:nvGraphicFramePr>
        <xdr:cNvPr id="9" name="Top moterys 30-5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12</xdr:col>
      <xdr:colOff>1</xdr:colOff>
      <xdr:row>55</xdr:row>
      <xdr:rowOff>0</xdr:rowOff>
    </xdr:from>
    <xdr:to>
      <xdr:col>18</xdr:col>
      <xdr:colOff>1</xdr:colOff>
      <xdr:row>66</xdr:row>
      <xdr:rowOff>0</xdr:rowOff>
    </xdr:to>
    <xdr:graphicFrame macro="">
      <xdr:nvGraphicFramePr>
        <xdr:cNvPr id="10" name="Top moterys 55-7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12</xdr:col>
      <xdr:colOff>1</xdr:colOff>
      <xdr:row>68</xdr:row>
      <xdr:rowOff>0</xdr:rowOff>
    </xdr:from>
    <xdr:to>
      <xdr:col>18</xdr:col>
      <xdr:colOff>0</xdr:colOff>
      <xdr:row>79</xdr:row>
      <xdr:rowOff>0</xdr:rowOff>
    </xdr:to>
    <xdr:graphicFrame macro="">
      <xdr:nvGraphicFramePr>
        <xdr:cNvPr id="11" name="Top moterys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2</xdr:col>
      <xdr:colOff>0</xdr:colOff>
      <xdr:row>68</xdr:row>
      <xdr:rowOff>1</xdr:rowOff>
    </xdr:from>
    <xdr:to>
      <xdr:col>8</xdr:col>
      <xdr:colOff>0</xdr:colOff>
      <xdr:row>79</xdr:row>
      <xdr:rowOff>1</xdr:rowOff>
    </xdr:to>
    <xdr:graphicFrame macro="">
      <xdr:nvGraphicFramePr>
        <xdr:cNvPr id="12" name="Top vyrai 75+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</xdr:col>
      <xdr:colOff>0</xdr:colOff>
      <xdr:row>3</xdr:row>
      <xdr:rowOff>0</xdr:rowOff>
    </xdr:from>
    <xdr:to>
      <xdr:col>8</xdr:col>
      <xdr:colOff>0</xdr:colOff>
      <xdr:row>14</xdr:row>
      <xdr:rowOff>0</xdr:rowOff>
    </xdr:to>
    <xdr:graphicFrame macro="">
      <xdr:nvGraphicFramePr>
        <xdr:cNvPr id="13" name="Top vyrai 0-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4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4">
    <tabColor theme="4" tint="0.39997558519241921"/>
  </sheetPr>
  <dimension ref="A1:EC95"/>
  <sheetViews>
    <sheetView workbookViewId="0">
      <pane xSplit="3" ySplit="2" topLeftCell="DW9" activePane="bottomRight" state="frozen"/>
      <selection activeCell="DV55" sqref="DV55"/>
      <selection pane="topRight" activeCell="DV55" sqref="DV55"/>
      <selection pane="bottomLeft" activeCell="DV55" sqref="DV55"/>
      <selection pane="bottomRight" activeCell="EC6" sqref="EC6:EC43"/>
    </sheetView>
  </sheetViews>
  <sheetFormatPr defaultRowHeight="12.75"/>
  <cols>
    <col min="1" max="1" width="6.5703125" bestFit="1" customWidth="1"/>
    <col min="2" max="2" width="35.85546875" customWidth="1"/>
    <col min="3" max="3" width="43.28515625" customWidth="1"/>
    <col min="67" max="67" width="12.28515625" bestFit="1" customWidth="1"/>
    <col min="253" max="253" width="6.5703125" bestFit="1" customWidth="1"/>
    <col min="254" max="254" width="35.85546875" customWidth="1"/>
    <col min="255" max="255" width="54.5703125" customWidth="1"/>
    <col min="509" max="509" width="6.5703125" bestFit="1" customWidth="1"/>
    <col min="510" max="510" width="35.85546875" customWidth="1"/>
    <col min="511" max="511" width="54.5703125" customWidth="1"/>
    <col min="765" max="765" width="6.5703125" bestFit="1" customWidth="1"/>
    <col min="766" max="766" width="35.85546875" customWidth="1"/>
    <col min="767" max="767" width="54.5703125" customWidth="1"/>
    <col min="1021" max="1021" width="6.5703125" bestFit="1" customWidth="1"/>
    <col min="1022" max="1022" width="35.85546875" customWidth="1"/>
    <col min="1023" max="1023" width="54.5703125" customWidth="1"/>
    <col min="1277" max="1277" width="6.5703125" bestFit="1" customWidth="1"/>
    <col min="1278" max="1278" width="35.85546875" customWidth="1"/>
    <col min="1279" max="1279" width="54.5703125" customWidth="1"/>
    <col min="1533" max="1533" width="6.5703125" bestFit="1" customWidth="1"/>
    <col min="1534" max="1534" width="35.85546875" customWidth="1"/>
    <col min="1535" max="1535" width="54.5703125" customWidth="1"/>
    <col min="1789" max="1789" width="6.5703125" bestFit="1" customWidth="1"/>
    <col min="1790" max="1790" width="35.85546875" customWidth="1"/>
    <col min="1791" max="1791" width="54.5703125" customWidth="1"/>
    <col min="2045" max="2045" width="6.5703125" bestFit="1" customWidth="1"/>
    <col min="2046" max="2046" width="35.85546875" customWidth="1"/>
    <col min="2047" max="2047" width="54.5703125" customWidth="1"/>
    <col min="2301" max="2301" width="6.5703125" bestFit="1" customWidth="1"/>
    <col min="2302" max="2302" width="35.85546875" customWidth="1"/>
    <col min="2303" max="2303" width="54.5703125" customWidth="1"/>
    <col min="2557" max="2557" width="6.5703125" bestFit="1" customWidth="1"/>
    <col min="2558" max="2558" width="35.85546875" customWidth="1"/>
    <col min="2559" max="2559" width="54.5703125" customWidth="1"/>
    <col min="2813" max="2813" width="6.5703125" bestFit="1" customWidth="1"/>
    <col min="2814" max="2814" width="35.85546875" customWidth="1"/>
    <col min="2815" max="2815" width="54.5703125" customWidth="1"/>
    <col min="3069" max="3069" width="6.5703125" bestFit="1" customWidth="1"/>
    <col min="3070" max="3070" width="35.85546875" customWidth="1"/>
    <col min="3071" max="3071" width="54.5703125" customWidth="1"/>
    <col min="3325" max="3325" width="6.5703125" bestFit="1" customWidth="1"/>
    <col min="3326" max="3326" width="35.85546875" customWidth="1"/>
    <col min="3327" max="3327" width="54.5703125" customWidth="1"/>
    <col min="3581" max="3581" width="6.5703125" bestFit="1" customWidth="1"/>
    <col min="3582" max="3582" width="35.85546875" customWidth="1"/>
    <col min="3583" max="3583" width="54.5703125" customWidth="1"/>
    <col min="3837" max="3837" width="6.5703125" bestFit="1" customWidth="1"/>
    <col min="3838" max="3838" width="35.85546875" customWidth="1"/>
    <col min="3839" max="3839" width="54.5703125" customWidth="1"/>
    <col min="4093" max="4093" width="6.5703125" bestFit="1" customWidth="1"/>
    <col min="4094" max="4094" width="35.85546875" customWidth="1"/>
    <col min="4095" max="4095" width="54.5703125" customWidth="1"/>
    <col min="4349" max="4349" width="6.5703125" bestFit="1" customWidth="1"/>
    <col min="4350" max="4350" width="35.85546875" customWidth="1"/>
    <col min="4351" max="4351" width="54.5703125" customWidth="1"/>
    <col min="4605" max="4605" width="6.5703125" bestFit="1" customWidth="1"/>
    <col min="4606" max="4606" width="35.85546875" customWidth="1"/>
    <col min="4607" max="4607" width="54.5703125" customWidth="1"/>
    <col min="4861" max="4861" width="6.5703125" bestFit="1" customWidth="1"/>
    <col min="4862" max="4862" width="35.85546875" customWidth="1"/>
    <col min="4863" max="4863" width="54.5703125" customWidth="1"/>
    <col min="5117" max="5117" width="6.5703125" bestFit="1" customWidth="1"/>
    <col min="5118" max="5118" width="35.85546875" customWidth="1"/>
    <col min="5119" max="5119" width="54.5703125" customWidth="1"/>
    <col min="5373" max="5373" width="6.5703125" bestFit="1" customWidth="1"/>
    <col min="5374" max="5374" width="35.85546875" customWidth="1"/>
    <col min="5375" max="5375" width="54.5703125" customWidth="1"/>
    <col min="5629" max="5629" width="6.5703125" bestFit="1" customWidth="1"/>
    <col min="5630" max="5630" width="35.85546875" customWidth="1"/>
    <col min="5631" max="5631" width="54.5703125" customWidth="1"/>
    <col min="5885" max="5885" width="6.5703125" bestFit="1" customWidth="1"/>
    <col min="5886" max="5886" width="35.85546875" customWidth="1"/>
    <col min="5887" max="5887" width="54.5703125" customWidth="1"/>
    <col min="6141" max="6141" width="6.5703125" bestFit="1" customWidth="1"/>
    <col min="6142" max="6142" width="35.85546875" customWidth="1"/>
    <col min="6143" max="6143" width="54.5703125" customWidth="1"/>
    <col min="6397" max="6397" width="6.5703125" bestFit="1" customWidth="1"/>
    <col min="6398" max="6398" width="35.85546875" customWidth="1"/>
    <col min="6399" max="6399" width="54.5703125" customWidth="1"/>
    <col min="6653" max="6653" width="6.5703125" bestFit="1" customWidth="1"/>
    <col min="6654" max="6654" width="35.85546875" customWidth="1"/>
    <col min="6655" max="6655" width="54.5703125" customWidth="1"/>
    <col min="6909" max="6909" width="6.5703125" bestFit="1" customWidth="1"/>
    <col min="6910" max="6910" width="35.85546875" customWidth="1"/>
    <col min="6911" max="6911" width="54.5703125" customWidth="1"/>
    <col min="7165" max="7165" width="6.5703125" bestFit="1" customWidth="1"/>
    <col min="7166" max="7166" width="35.85546875" customWidth="1"/>
    <col min="7167" max="7167" width="54.5703125" customWidth="1"/>
    <col min="7421" max="7421" width="6.5703125" bestFit="1" customWidth="1"/>
    <col min="7422" max="7422" width="35.85546875" customWidth="1"/>
    <col min="7423" max="7423" width="54.5703125" customWidth="1"/>
    <col min="7677" max="7677" width="6.5703125" bestFit="1" customWidth="1"/>
    <col min="7678" max="7678" width="35.85546875" customWidth="1"/>
    <col min="7679" max="7679" width="54.5703125" customWidth="1"/>
    <col min="7933" max="7933" width="6.5703125" bestFit="1" customWidth="1"/>
    <col min="7934" max="7934" width="35.85546875" customWidth="1"/>
    <col min="7935" max="7935" width="54.5703125" customWidth="1"/>
    <col min="8189" max="8189" width="6.5703125" bestFit="1" customWidth="1"/>
    <col min="8190" max="8190" width="35.85546875" customWidth="1"/>
    <col min="8191" max="8191" width="54.5703125" customWidth="1"/>
    <col min="8445" max="8445" width="6.5703125" bestFit="1" customWidth="1"/>
    <col min="8446" max="8446" width="35.85546875" customWidth="1"/>
    <col min="8447" max="8447" width="54.5703125" customWidth="1"/>
    <col min="8701" max="8701" width="6.5703125" bestFit="1" customWidth="1"/>
    <col min="8702" max="8702" width="35.85546875" customWidth="1"/>
    <col min="8703" max="8703" width="54.5703125" customWidth="1"/>
    <col min="8957" max="8957" width="6.5703125" bestFit="1" customWidth="1"/>
    <col min="8958" max="8958" width="35.85546875" customWidth="1"/>
    <col min="8959" max="8959" width="54.5703125" customWidth="1"/>
    <col min="9213" max="9213" width="6.5703125" bestFit="1" customWidth="1"/>
    <col min="9214" max="9214" width="35.85546875" customWidth="1"/>
    <col min="9215" max="9215" width="54.5703125" customWidth="1"/>
    <col min="9469" max="9469" width="6.5703125" bestFit="1" customWidth="1"/>
    <col min="9470" max="9470" width="35.85546875" customWidth="1"/>
    <col min="9471" max="9471" width="54.5703125" customWidth="1"/>
    <col min="9725" max="9725" width="6.5703125" bestFit="1" customWidth="1"/>
    <col min="9726" max="9726" width="35.85546875" customWidth="1"/>
    <col min="9727" max="9727" width="54.5703125" customWidth="1"/>
    <col min="9981" max="9981" width="6.5703125" bestFit="1" customWidth="1"/>
    <col min="9982" max="9982" width="35.85546875" customWidth="1"/>
    <col min="9983" max="9983" width="54.5703125" customWidth="1"/>
    <col min="10237" max="10237" width="6.5703125" bestFit="1" customWidth="1"/>
    <col min="10238" max="10238" width="35.85546875" customWidth="1"/>
    <col min="10239" max="10239" width="54.5703125" customWidth="1"/>
    <col min="10493" max="10493" width="6.5703125" bestFit="1" customWidth="1"/>
    <col min="10494" max="10494" width="35.85546875" customWidth="1"/>
    <col min="10495" max="10495" width="54.5703125" customWidth="1"/>
    <col min="10749" max="10749" width="6.5703125" bestFit="1" customWidth="1"/>
    <col min="10750" max="10750" width="35.85546875" customWidth="1"/>
    <col min="10751" max="10751" width="54.5703125" customWidth="1"/>
    <col min="11005" max="11005" width="6.5703125" bestFit="1" customWidth="1"/>
    <col min="11006" max="11006" width="35.85546875" customWidth="1"/>
    <col min="11007" max="11007" width="54.5703125" customWidth="1"/>
    <col min="11261" max="11261" width="6.5703125" bestFit="1" customWidth="1"/>
    <col min="11262" max="11262" width="35.85546875" customWidth="1"/>
    <col min="11263" max="11263" width="54.5703125" customWidth="1"/>
    <col min="11517" max="11517" width="6.5703125" bestFit="1" customWidth="1"/>
    <col min="11518" max="11518" width="35.85546875" customWidth="1"/>
    <col min="11519" max="11519" width="54.5703125" customWidth="1"/>
    <col min="11773" max="11773" width="6.5703125" bestFit="1" customWidth="1"/>
    <col min="11774" max="11774" width="35.85546875" customWidth="1"/>
    <col min="11775" max="11775" width="54.5703125" customWidth="1"/>
    <col min="12029" max="12029" width="6.5703125" bestFit="1" customWidth="1"/>
    <col min="12030" max="12030" width="35.85546875" customWidth="1"/>
    <col min="12031" max="12031" width="54.5703125" customWidth="1"/>
    <col min="12285" max="12285" width="6.5703125" bestFit="1" customWidth="1"/>
    <col min="12286" max="12286" width="35.85546875" customWidth="1"/>
    <col min="12287" max="12287" width="54.5703125" customWidth="1"/>
    <col min="12541" max="12541" width="6.5703125" bestFit="1" customWidth="1"/>
    <col min="12542" max="12542" width="35.85546875" customWidth="1"/>
    <col min="12543" max="12543" width="54.5703125" customWidth="1"/>
    <col min="12797" max="12797" width="6.5703125" bestFit="1" customWidth="1"/>
    <col min="12798" max="12798" width="35.85546875" customWidth="1"/>
    <col min="12799" max="12799" width="54.5703125" customWidth="1"/>
    <col min="13053" max="13053" width="6.5703125" bestFit="1" customWidth="1"/>
    <col min="13054" max="13054" width="35.85546875" customWidth="1"/>
    <col min="13055" max="13055" width="54.5703125" customWidth="1"/>
    <col min="13309" max="13309" width="6.5703125" bestFit="1" customWidth="1"/>
    <col min="13310" max="13310" width="35.85546875" customWidth="1"/>
    <col min="13311" max="13311" width="54.5703125" customWidth="1"/>
    <col min="13565" max="13565" width="6.5703125" bestFit="1" customWidth="1"/>
    <col min="13566" max="13566" width="35.85546875" customWidth="1"/>
    <col min="13567" max="13567" width="54.5703125" customWidth="1"/>
    <col min="13821" max="13821" width="6.5703125" bestFit="1" customWidth="1"/>
    <col min="13822" max="13822" width="35.85546875" customWidth="1"/>
    <col min="13823" max="13823" width="54.5703125" customWidth="1"/>
    <col min="14077" max="14077" width="6.5703125" bestFit="1" customWidth="1"/>
    <col min="14078" max="14078" width="35.85546875" customWidth="1"/>
    <col min="14079" max="14079" width="54.5703125" customWidth="1"/>
    <col min="14333" max="14333" width="6.5703125" bestFit="1" customWidth="1"/>
    <col min="14334" max="14334" width="35.85546875" customWidth="1"/>
    <col min="14335" max="14335" width="54.5703125" customWidth="1"/>
    <col min="14589" max="14589" width="6.5703125" bestFit="1" customWidth="1"/>
    <col min="14590" max="14590" width="35.85546875" customWidth="1"/>
    <col min="14591" max="14591" width="54.5703125" customWidth="1"/>
    <col min="14845" max="14845" width="6.5703125" bestFit="1" customWidth="1"/>
    <col min="14846" max="14846" width="35.85546875" customWidth="1"/>
    <col min="14847" max="14847" width="54.5703125" customWidth="1"/>
    <col min="15101" max="15101" width="6.5703125" bestFit="1" customWidth="1"/>
    <col min="15102" max="15102" width="35.85546875" customWidth="1"/>
    <col min="15103" max="15103" width="54.5703125" customWidth="1"/>
    <col min="15357" max="15357" width="6.5703125" bestFit="1" customWidth="1"/>
    <col min="15358" max="15358" width="35.85546875" customWidth="1"/>
    <col min="15359" max="15359" width="54.5703125" customWidth="1"/>
    <col min="15613" max="15613" width="6.5703125" bestFit="1" customWidth="1"/>
    <col min="15614" max="15614" width="35.85546875" customWidth="1"/>
    <col min="15615" max="15615" width="54.5703125" customWidth="1"/>
    <col min="15869" max="15869" width="6.5703125" bestFit="1" customWidth="1"/>
    <col min="15870" max="15870" width="35.85546875" customWidth="1"/>
    <col min="15871" max="15871" width="54.5703125" customWidth="1"/>
    <col min="16125" max="16125" width="6.5703125" bestFit="1" customWidth="1"/>
    <col min="16126" max="16126" width="35.85546875" customWidth="1"/>
    <col min="16127" max="16127" width="54.5703125" customWidth="1"/>
  </cols>
  <sheetData>
    <row r="1" spans="1:133">
      <c r="A1" s="390">
        <v>2009</v>
      </c>
      <c r="B1" s="390"/>
      <c r="C1" s="390"/>
      <c r="D1" s="391" t="s">
        <v>3</v>
      </c>
      <c r="E1" s="392"/>
      <c r="F1" s="391" t="s">
        <v>125</v>
      </c>
      <c r="G1" s="393"/>
      <c r="H1" s="393"/>
      <c r="I1" s="393"/>
      <c r="J1" s="393"/>
      <c r="K1" s="392"/>
      <c r="L1" s="391" t="s">
        <v>126</v>
      </c>
      <c r="M1" s="393"/>
      <c r="N1" s="393"/>
      <c r="O1" s="393"/>
      <c r="P1" s="392"/>
      <c r="Q1" s="391" t="s">
        <v>202</v>
      </c>
      <c r="R1" s="393"/>
      <c r="S1" s="393"/>
      <c r="T1" s="393"/>
      <c r="U1" s="393"/>
      <c r="V1" s="393"/>
      <c r="W1" s="393"/>
      <c r="X1" s="393"/>
      <c r="Y1" s="393"/>
      <c r="Z1" s="393"/>
      <c r="AA1" s="393"/>
      <c r="AB1" s="393"/>
      <c r="AC1" s="393"/>
      <c r="AD1" s="393"/>
      <c r="AE1" s="393"/>
      <c r="AF1" s="393"/>
      <c r="AG1" s="393"/>
      <c r="AH1" s="392"/>
      <c r="AI1" s="391" t="s">
        <v>203</v>
      </c>
      <c r="AJ1" s="393"/>
      <c r="AK1" s="393"/>
      <c r="AL1" s="393"/>
      <c r="AM1" s="393"/>
      <c r="AN1" s="391" t="s">
        <v>127</v>
      </c>
      <c r="AO1" s="393"/>
      <c r="AP1" s="393"/>
      <c r="AQ1" s="393"/>
      <c r="AR1" s="393"/>
      <c r="AS1" s="393"/>
      <c r="AT1" s="393"/>
      <c r="AU1" s="393"/>
      <c r="AV1" s="393"/>
      <c r="AW1" s="393"/>
      <c r="AX1" s="393"/>
      <c r="AY1" s="393"/>
      <c r="AZ1" s="393"/>
      <c r="BA1" s="393"/>
      <c r="BB1" s="393"/>
      <c r="BC1" s="393"/>
      <c r="BD1" s="393"/>
      <c r="BE1" s="392"/>
      <c r="BF1" s="394" t="s">
        <v>424</v>
      </c>
      <c r="BG1" s="395"/>
      <c r="BH1" s="395"/>
      <c r="BI1" s="395"/>
      <c r="BJ1" s="396"/>
      <c r="BK1" s="400" t="s">
        <v>128</v>
      </c>
      <c r="BL1" s="400"/>
      <c r="BM1" s="400"/>
      <c r="BN1" s="400"/>
      <c r="BO1" s="400" t="s">
        <v>31</v>
      </c>
      <c r="BP1" s="400"/>
      <c r="BQ1" s="399" t="s">
        <v>124</v>
      </c>
      <c r="BR1" s="399"/>
      <c r="BS1" s="397" t="s">
        <v>129</v>
      </c>
      <c r="BT1" s="398"/>
      <c r="BU1" s="398"/>
      <c r="BV1" s="398"/>
      <c r="BW1" s="398"/>
      <c r="BX1" s="401"/>
      <c r="BY1" s="397" t="s">
        <v>130</v>
      </c>
      <c r="BZ1" s="398"/>
      <c r="CA1" s="398"/>
      <c r="CB1" s="398"/>
      <c r="CC1" s="401"/>
      <c r="CD1" s="397" t="s">
        <v>131</v>
      </c>
      <c r="CE1" s="398"/>
      <c r="CF1" s="398"/>
      <c r="CG1" s="398"/>
      <c r="CH1" s="398"/>
      <c r="CI1" s="398"/>
      <c r="CJ1" s="398"/>
      <c r="CK1" s="398"/>
      <c r="CL1" s="398"/>
      <c r="CM1" s="398"/>
      <c r="CN1" s="398"/>
      <c r="CO1" s="398"/>
      <c r="CP1" s="398"/>
      <c r="CQ1" s="398"/>
      <c r="CR1" s="398"/>
      <c r="CS1" s="398"/>
      <c r="CT1" s="398"/>
      <c r="CU1" s="401"/>
      <c r="CV1" s="397" t="s">
        <v>204</v>
      </c>
      <c r="CW1" s="398"/>
      <c r="CX1" s="398"/>
      <c r="CY1" s="398"/>
      <c r="CZ1" s="398"/>
      <c r="DA1" s="397" t="s">
        <v>132</v>
      </c>
      <c r="DB1" s="398"/>
      <c r="DC1" s="398"/>
      <c r="DD1" s="398"/>
      <c r="DE1" s="398"/>
      <c r="DF1" s="398"/>
      <c r="DG1" s="398"/>
      <c r="DH1" s="398"/>
      <c r="DI1" s="398"/>
      <c r="DJ1" s="398"/>
      <c r="DK1" s="398"/>
      <c r="DL1" s="398"/>
      <c r="DM1" s="398"/>
      <c r="DN1" s="398"/>
      <c r="DO1" s="398"/>
      <c r="DP1" s="398"/>
      <c r="DQ1" s="398"/>
      <c r="DR1" s="401"/>
      <c r="DS1" s="397" t="s">
        <v>425</v>
      </c>
      <c r="DT1" s="398"/>
      <c r="DU1" s="398"/>
      <c r="DV1" s="398"/>
      <c r="DW1" s="398"/>
      <c r="DX1" s="399" t="s">
        <v>133</v>
      </c>
      <c r="DY1" s="399"/>
      <c r="DZ1" s="399"/>
      <c r="EA1" s="399"/>
      <c r="EB1" s="399" t="s">
        <v>123</v>
      </c>
      <c r="EC1" s="399"/>
    </row>
    <row r="2" spans="1:133" s="34" customFormat="1">
      <c r="A2" s="6" t="s">
        <v>0</v>
      </c>
      <c r="B2" s="6" t="s">
        <v>1</v>
      </c>
      <c r="C2" s="6" t="s">
        <v>2</v>
      </c>
      <c r="D2" s="1" t="s">
        <v>4</v>
      </c>
      <c r="E2" s="1" t="s">
        <v>5</v>
      </c>
      <c r="F2" s="7">
        <v>0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8" t="s">
        <v>24</v>
      </c>
      <c r="M2" s="8" t="s">
        <v>25</v>
      </c>
      <c r="N2" s="8" t="s">
        <v>26</v>
      </c>
      <c r="O2" s="8" t="s">
        <v>5</v>
      </c>
      <c r="P2" s="8" t="s">
        <v>163</v>
      </c>
      <c r="Q2" s="9" t="s">
        <v>13</v>
      </c>
      <c r="R2" s="10" t="s">
        <v>11</v>
      </c>
      <c r="S2" s="10" t="s">
        <v>12</v>
      </c>
      <c r="T2" s="9" t="s">
        <v>14</v>
      </c>
      <c r="U2" s="9" t="s">
        <v>15</v>
      </c>
      <c r="V2" s="9" t="s">
        <v>16</v>
      </c>
      <c r="W2" s="9" t="s">
        <v>158</v>
      </c>
      <c r="X2" s="9" t="s">
        <v>17</v>
      </c>
      <c r="Y2" s="9" t="s">
        <v>18</v>
      </c>
      <c r="Z2" s="9" t="s">
        <v>19</v>
      </c>
      <c r="AA2" s="9" t="s">
        <v>20</v>
      </c>
      <c r="AB2" s="9" t="s">
        <v>21</v>
      </c>
      <c r="AC2" s="9" t="s">
        <v>159</v>
      </c>
      <c r="AD2" s="9" t="s">
        <v>160</v>
      </c>
      <c r="AE2" s="9" t="s">
        <v>161</v>
      </c>
      <c r="AF2" s="9" t="s">
        <v>162</v>
      </c>
      <c r="AG2" s="9" t="s">
        <v>22</v>
      </c>
      <c r="AH2" s="9" t="s">
        <v>23</v>
      </c>
      <c r="AI2" s="20" t="s">
        <v>205</v>
      </c>
      <c r="AJ2" s="20" t="s">
        <v>206</v>
      </c>
      <c r="AK2" s="20" t="s">
        <v>207</v>
      </c>
      <c r="AL2" s="20" t="s">
        <v>208</v>
      </c>
      <c r="AM2" s="20" t="s">
        <v>209</v>
      </c>
      <c r="AN2" s="9" t="s">
        <v>13</v>
      </c>
      <c r="AO2" s="10" t="s">
        <v>11</v>
      </c>
      <c r="AP2" s="10" t="s">
        <v>12</v>
      </c>
      <c r="AQ2" s="9" t="s">
        <v>14</v>
      </c>
      <c r="AR2" s="9" t="s">
        <v>15</v>
      </c>
      <c r="AS2" s="9" t="s">
        <v>16</v>
      </c>
      <c r="AT2" s="9" t="s">
        <v>158</v>
      </c>
      <c r="AU2" s="9" t="s">
        <v>17</v>
      </c>
      <c r="AV2" s="9" t="s">
        <v>18</v>
      </c>
      <c r="AW2" s="9" t="s">
        <v>19</v>
      </c>
      <c r="AX2" s="9" t="s">
        <v>20</v>
      </c>
      <c r="AY2" s="9" t="s">
        <v>21</v>
      </c>
      <c r="AZ2" s="9" t="s">
        <v>159</v>
      </c>
      <c r="BA2" s="9" t="s">
        <v>160</v>
      </c>
      <c r="BB2" s="9" t="s">
        <v>161</v>
      </c>
      <c r="BC2" s="9" t="s">
        <v>162</v>
      </c>
      <c r="BD2" s="9" t="s">
        <v>22</v>
      </c>
      <c r="BE2" s="9" t="s">
        <v>23</v>
      </c>
      <c r="BF2" s="88" t="s">
        <v>205</v>
      </c>
      <c r="BG2" s="88" t="s">
        <v>206</v>
      </c>
      <c r="BH2" s="88" t="s">
        <v>207</v>
      </c>
      <c r="BI2" s="88" t="s">
        <v>208</v>
      </c>
      <c r="BJ2" s="88" t="s">
        <v>209</v>
      </c>
      <c r="BK2" s="8" t="s">
        <v>28</v>
      </c>
      <c r="BL2" s="8" t="s">
        <v>29</v>
      </c>
      <c r="BM2" s="8" t="s">
        <v>27</v>
      </c>
      <c r="BN2" s="8" t="s">
        <v>30</v>
      </c>
      <c r="BO2" s="8" t="s">
        <v>33</v>
      </c>
      <c r="BP2" s="8" t="s">
        <v>32</v>
      </c>
      <c r="BQ2" s="11" t="s">
        <v>4</v>
      </c>
      <c r="BR2" s="11" t="s">
        <v>5</v>
      </c>
      <c r="BS2" s="7">
        <v>0</v>
      </c>
      <c r="BT2" s="7" t="s">
        <v>6</v>
      </c>
      <c r="BU2" s="7" t="s">
        <v>7</v>
      </c>
      <c r="BV2" s="7" t="s">
        <v>8</v>
      </c>
      <c r="BW2" s="7" t="s">
        <v>9</v>
      </c>
      <c r="BX2" s="7" t="s">
        <v>10</v>
      </c>
      <c r="BY2" s="8" t="s">
        <v>24</v>
      </c>
      <c r="BZ2" s="8" t="s">
        <v>25</v>
      </c>
      <c r="CA2" s="8" t="s">
        <v>26</v>
      </c>
      <c r="CB2" s="8" t="s">
        <v>5</v>
      </c>
      <c r="CC2" s="8" t="s">
        <v>163</v>
      </c>
      <c r="CD2" s="9" t="s">
        <v>13</v>
      </c>
      <c r="CE2" s="10" t="s">
        <v>11</v>
      </c>
      <c r="CF2" s="10" t="s">
        <v>12</v>
      </c>
      <c r="CG2" s="9" t="s">
        <v>14</v>
      </c>
      <c r="CH2" s="9" t="s">
        <v>15</v>
      </c>
      <c r="CI2" s="9" t="s">
        <v>16</v>
      </c>
      <c r="CJ2" s="9" t="s">
        <v>158</v>
      </c>
      <c r="CK2" s="9" t="s">
        <v>17</v>
      </c>
      <c r="CL2" s="9" t="s">
        <v>18</v>
      </c>
      <c r="CM2" s="9" t="s">
        <v>19</v>
      </c>
      <c r="CN2" s="9" t="s">
        <v>20</v>
      </c>
      <c r="CO2" s="9" t="s">
        <v>21</v>
      </c>
      <c r="CP2" s="9" t="s">
        <v>159</v>
      </c>
      <c r="CQ2" s="9" t="s">
        <v>160</v>
      </c>
      <c r="CR2" s="9" t="s">
        <v>161</v>
      </c>
      <c r="CS2" s="9" t="s">
        <v>162</v>
      </c>
      <c r="CT2" s="9" t="s">
        <v>22</v>
      </c>
      <c r="CU2" s="9" t="s">
        <v>23</v>
      </c>
      <c r="CV2" s="21" t="s">
        <v>205</v>
      </c>
      <c r="CW2" s="21" t="s">
        <v>206</v>
      </c>
      <c r="CX2" s="21" t="s">
        <v>207</v>
      </c>
      <c r="CY2" s="21" t="s">
        <v>208</v>
      </c>
      <c r="CZ2" s="21" t="s">
        <v>209</v>
      </c>
      <c r="DA2" s="9" t="s">
        <v>13</v>
      </c>
      <c r="DB2" s="10" t="s">
        <v>11</v>
      </c>
      <c r="DC2" s="10" t="s">
        <v>12</v>
      </c>
      <c r="DD2" s="9" t="s">
        <v>14</v>
      </c>
      <c r="DE2" s="9" t="s">
        <v>15</v>
      </c>
      <c r="DF2" s="9" t="s">
        <v>16</v>
      </c>
      <c r="DG2" s="9" t="s">
        <v>158</v>
      </c>
      <c r="DH2" s="9" t="s">
        <v>17</v>
      </c>
      <c r="DI2" s="9" t="s">
        <v>18</v>
      </c>
      <c r="DJ2" s="9" t="s">
        <v>19</v>
      </c>
      <c r="DK2" s="9" t="s">
        <v>20</v>
      </c>
      <c r="DL2" s="9" t="s">
        <v>21</v>
      </c>
      <c r="DM2" s="9" t="s">
        <v>159</v>
      </c>
      <c r="DN2" s="9" t="s">
        <v>160</v>
      </c>
      <c r="DO2" s="9" t="s">
        <v>161</v>
      </c>
      <c r="DP2" s="9" t="s">
        <v>162</v>
      </c>
      <c r="DQ2" s="9" t="s">
        <v>22</v>
      </c>
      <c r="DR2" s="9" t="s">
        <v>23</v>
      </c>
      <c r="DS2" s="21" t="s">
        <v>205</v>
      </c>
      <c r="DT2" s="21" t="s">
        <v>206</v>
      </c>
      <c r="DU2" s="21" t="s">
        <v>207</v>
      </c>
      <c r="DV2" s="21" t="s">
        <v>208</v>
      </c>
      <c r="DW2" s="21" t="s">
        <v>209</v>
      </c>
      <c r="DX2" s="8" t="s">
        <v>28</v>
      </c>
      <c r="DY2" s="8" t="s">
        <v>29</v>
      </c>
      <c r="DZ2" s="8" t="s">
        <v>27</v>
      </c>
      <c r="EA2" s="8" t="s">
        <v>30</v>
      </c>
      <c r="EB2" s="8" t="s">
        <v>33</v>
      </c>
      <c r="EC2" s="8" t="s">
        <v>32</v>
      </c>
    </row>
    <row r="3" spans="1:133" s="17" customFormat="1">
      <c r="A3" s="14"/>
      <c r="B3" s="14"/>
      <c r="C3" s="18"/>
      <c r="D3" s="15"/>
      <c r="E3" s="15"/>
      <c r="F3" s="213" t="s">
        <v>134</v>
      </c>
      <c r="G3" s="213" t="s">
        <v>135</v>
      </c>
      <c r="H3" s="213" t="s">
        <v>136</v>
      </c>
      <c r="I3" s="213" t="s">
        <v>137</v>
      </c>
      <c r="J3" s="213" t="s">
        <v>138</v>
      </c>
      <c r="K3" s="213" t="s">
        <v>139</v>
      </c>
      <c r="L3" s="213" t="s">
        <v>164</v>
      </c>
      <c r="M3" s="213" t="s">
        <v>165</v>
      </c>
      <c r="N3" s="213" t="s">
        <v>166</v>
      </c>
      <c r="O3" s="213" t="s">
        <v>167</v>
      </c>
      <c r="P3" s="213" t="s">
        <v>168</v>
      </c>
      <c r="Q3" s="214" t="s">
        <v>140</v>
      </c>
      <c r="R3" s="214" t="s">
        <v>141</v>
      </c>
      <c r="S3" s="214" t="s">
        <v>142</v>
      </c>
      <c r="T3" s="214" t="s">
        <v>143</v>
      </c>
      <c r="U3" s="214" t="s">
        <v>144</v>
      </c>
      <c r="V3" s="214" t="s">
        <v>145</v>
      </c>
      <c r="W3" s="214" t="s">
        <v>146</v>
      </c>
      <c r="X3" s="214" t="s">
        <v>147</v>
      </c>
      <c r="Y3" s="214" t="s">
        <v>148</v>
      </c>
      <c r="Z3" s="214" t="s">
        <v>149</v>
      </c>
      <c r="AA3" s="214" t="s">
        <v>150</v>
      </c>
      <c r="AB3" s="214" t="s">
        <v>151</v>
      </c>
      <c r="AC3" s="214" t="s">
        <v>152</v>
      </c>
      <c r="AD3" s="214" t="s">
        <v>153</v>
      </c>
      <c r="AE3" s="214" t="s">
        <v>154</v>
      </c>
      <c r="AF3" s="214" t="s">
        <v>155</v>
      </c>
      <c r="AG3" s="214" t="s">
        <v>156</v>
      </c>
      <c r="AH3" s="214" t="s">
        <v>157</v>
      </c>
      <c r="AI3" s="22"/>
      <c r="AJ3" s="22"/>
      <c r="AK3" s="22"/>
      <c r="AL3" s="22"/>
      <c r="AM3" s="22"/>
      <c r="AN3" s="214" t="s">
        <v>140</v>
      </c>
      <c r="AO3" s="214" t="s">
        <v>141</v>
      </c>
      <c r="AP3" s="214" t="s">
        <v>142</v>
      </c>
      <c r="AQ3" s="214" t="s">
        <v>143</v>
      </c>
      <c r="AR3" s="214" t="s">
        <v>144</v>
      </c>
      <c r="AS3" s="214" t="s">
        <v>145</v>
      </c>
      <c r="AT3" s="214" t="s">
        <v>146</v>
      </c>
      <c r="AU3" s="214" t="s">
        <v>147</v>
      </c>
      <c r="AV3" s="214" t="s">
        <v>148</v>
      </c>
      <c r="AW3" s="214" t="s">
        <v>149</v>
      </c>
      <c r="AX3" s="214" t="s">
        <v>150</v>
      </c>
      <c r="AY3" s="214" t="s">
        <v>151</v>
      </c>
      <c r="AZ3" s="214" t="s">
        <v>152</v>
      </c>
      <c r="BA3" s="214" t="s">
        <v>153</v>
      </c>
      <c r="BB3" s="214" t="s">
        <v>154</v>
      </c>
      <c r="BC3" s="214" t="s">
        <v>155</v>
      </c>
      <c r="BD3" s="214" t="s">
        <v>156</v>
      </c>
      <c r="BE3" s="214" t="s">
        <v>157</v>
      </c>
      <c r="BF3" s="89"/>
      <c r="BG3" s="89"/>
      <c r="BH3" s="89"/>
      <c r="BI3" s="89"/>
      <c r="BJ3" s="89"/>
      <c r="BK3" s="214" t="s">
        <v>169</v>
      </c>
      <c r="BL3" s="214" t="s">
        <v>170</v>
      </c>
      <c r="BM3" s="214" t="s">
        <v>171</v>
      </c>
      <c r="BN3" s="214" t="s">
        <v>172</v>
      </c>
      <c r="BO3" s="32" t="s">
        <v>410</v>
      </c>
      <c r="BP3" s="32" t="s">
        <v>411</v>
      </c>
      <c r="BQ3" s="16"/>
      <c r="BR3" s="16"/>
      <c r="BS3" s="214" t="s">
        <v>173</v>
      </c>
      <c r="BT3" s="214" t="s">
        <v>174</v>
      </c>
      <c r="BU3" s="214" t="s">
        <v>175</v>
      </c>
      <c r="BV3" s="214" t="s">
        <v>176</v>
      </c>
      <c r="BW3" s="214" t="s">
        <v>177</v>
      </c>
      <c r="BX3" s="214" t="s">
        <v>178</v>
      </c>
      <c r="BY3" s="214" t="s">
        <v>164</v>
      </c>
      <c r="BZ3" s="214" t="s">
        <v>165</v>
      </c>
      <c r="CA3" s="214" t="s">
        <v>166</v>
      </c>
      <c r="CB3" s="214" t="s">
        <v>167</v>
      </c>
      <c r="CC3" s="214" t="s">
        <v>168</v>
      </c>
      <c r="CD3" s="214" t="s">
        <v>179</v>
      </c>
      <c r="CE3" s="214" t="s">
        <v>180</v>
      </c>
      <c r="CF3" s="214" t="s">
        <v>181</v>
      </c>
      <c r="CG3" s="214" t="s">
        <v>182</v>
      </c>
      <c r="CH3" s="214" t="s">
        <v>183</v>
      </c>
      <c r="CI3" s="214" t="s">
        <v>184</v>
      </c>
      <c r="CJ3" s="214" t="s">
        <v>185</v>
      </c>
      <c r="CK3" s="214" t="s">
        <v>186</v>
      </c>
      <c r="CL3" s="214" t="s">
        <v>187</v>
      </c>
      <c r="CM3" s="214" t="s">
        <v>188</v>
      </c>
      <c r="CN3" s="214" t="s">
        <v>189</v>
      </c>
      <c r="CO3" s="214" t="s">
        <v>190</v>
      </c>
      <c r="CP3" s="214" t="s">
        <v>191</v>
      </c>
      <c r="CQ3" s="214" t="s">
        <v>192</v>
      </c>
      <c r="CR3" s="214" t="s">
        <v>193</v>
      </c>
      <c r="CS3" s="214" t="s">
        <v>194</v>
      </c>
      <c r="CT3" s="214" t="s">
        <v>195</v>
      </c>
      <c r="CU3" s="214" t="s">
        <v>196</v>
      </c>
      <c r="CV3" s="23"/>
      <c r="CW3" s="23"/>
      <c r="CX3" s="23"/>
      <c r="CY3" s="23"/>
      <c r="CZ3" s="23"/>
      <c r="DA3" s="214" t="s">
        <v>179</v>
      </c>
      <c r="DB3" s="214" t="s">
        <v>180</v>
      </c>
      <c r="DC3" s="214" t="s">
        <v>181</v>
      </c>
      <c r="DD3" s="214" t="s">
        <v>182</v>
      </c>
      <c r="DE3" s="214" t="s">
        <v>183</v>
      </c>
      <c r="DF3" s="214" t="s">
        <v>184</v>
      </c>
      <c r="DG3" s="214" t="s">
        <v>185</v>
      </c>
      <c r="DH3" s="214" t="s">
        <v>186</v>
      </c>
      <c r="DI3" s="214" t="s">
        <v>187</v>
      </c>
      <c r="DJ3" s="214" t="s">
        <v>188</v>
      </c>
      <c r="DK3" s="214" t="s">
        <v>189</v>
      </c>
      <c r="DL3" s="214" t="s">
        <v>190</v>
      </c>
      <c r="DM3" s="214" t="s">
        <v>191</v>
      </c>
      <c r="DN3" s="214" t="s">
        <v>192</v>
      </c>
      <c r="DO3" s="214" t="s">
        <v>193</v>
      </c>
      <c r="DP3" s="214" t="s">
        <v>194</v>
      </c>
      <c r="DQ3" s="214" t="s">
        <v>195</v>
      </c>
      <c r="DR3" s="214" t="s">
        <v>196</v>
      </c>
      <c r="DS3" s="23"/>
      <c r="DT3" s="23"/>
      <c r="DU3" s="23"/>
      <c r="DV3" s="23"/>
      <c r="DW3" s="23"/>
      <c r="DX3" s="214" t="s">
        <v>197</v>
      </c>
      <c r="DY3" s="214" t="s">
        <v>198</v>
      </c>
      <c r="DZ3" s="214" t="s">
        <v>199</v>
      </c>
      <c r="EA3" s="214" t="s">
        <v>200</v>
      </c>
      <c r="EB3" s="32" t="s">
        <v>412</v>
      </c>
      <c r="EC3" s="32" t="s">
        <v>413</v>
      </c>
    </row>
    <row r="4" spans="1:133" ht="12.95" customHeight="1">
      <c r="A4" s="12">
        <v>1</v>
      </c>
      <c r="B4" s="13" t="s">
        <v>34</v>
      </c>
      <c r="C4" s="19" t="s">
        <v>201</v>
      </c>
      <c r="D4" s="4">
        <f t="shared" ref="D4:D51" si="0">SUM(F4:K4)</f>
        <v>9921</v>
      </c>
      <c r="E4" s="4">
        <f t="shared" ref="E4:E51" si="1">SUM(AN4:BE4)</f>
        <v>4569</v>
      </c>
      <c r="F4" s="303">
        <v>0</v>
      </c>
      <c r="G4" s="375">
        <v>1873</v>
      </c>
      <c r="H4" s="375">
        <v>1808</v>
      </c>
      <c r="I4" s="375">
        <v>1287</v>
      </c>
      <c r="J4" s="375">
        <v>1304</v>
      </c>
      <c r="K4" s="375">
        <v>3649</v>
      </c>
      <c r="L4" s="376">
        <v>7806</v>
      </c>
      <c r="M4" s="376">
        <v>253</v>
      </c>
      <c r="N4" s="376">
        <v>483</v>
      </c>
      <c r="O4" s="376">
        <v>1316</v>
      </c>
      <c r="P4" s="376">
        <v>76</v>
      </c>
      <c r="Q4" s="377">
        <v>28</v>
      </c>
      <c r="R4" s="377">
        <v>12</v>
      </c>
      <c r="S4" s="377">
        <v>11</v>
      </c>
      <c r="T4" s="377">
        <v>20</v>
      </c>
      <c r="U4" s="377">
        <v>23</v>
      </c>
      <c r="V4" s="377">
        <v>23</v>
      </c>
      <c r="W4" s="377">
        <v>55</v>
      </c>
      <c r="X4" s="377">
        <v>85</v>
      </c>
      <c r="Y4" s="377">
        <v>142</v>
      </c>
      <c r="Z4" s="377">
        <v>285</v>
      </c>
      <c r="AA4" s="377">
        <v>761</v>
      </c>
      <c r="AB4" s="377">
        <v>1197</v>
      </c>
      <c r="AC4" s="377">
        <v>1474</v>
      </c>
      <c r="AD4" s="377">
        <v>1545</v>
      </c>
      <c r="AE4" s="377">
        <v>1671</v>
      </c>
      <c r="AF4" s="377">
        <v>1255</v>
      </c>
      <c r="AG4" s="377">
        <v>843</v>
      </c>
      <c r="AH4" s="377">
        <v>491</v>
      </c>
      <c r="AI4" s="24">
        <f t="shared" ref="AI4:AI51" si="2">Q4+R4+S4</f>
        <v>51</v>
      </c>
      <c r="AJ4" s="24">
        <f t="shared" ref="AJ4:AJ51" si="3">T4+U4+V4</f>
        <v>66</v>
      </c>
      <c r="AK4" s="24">
        <f t="shared" ref="AK4:AK51" si="4">W4+X4+Y4+Z4+AA4</f>
        <v>1328</v>
      </c>
      <c r="AL4" s="24">
        <f t="shared" ref="AL4:AL51" si="5">AB4+AC4+AD4+AE4</f>
        <v>5887</v>
      </c>
      <c r="AM4" s="24">
        <f t="shared" ref="AM4:AM51" si="6">AF4+AG4+AH4</f>
        <v>2589</v>
      </c>
      <c r="AN4" s="378">
        <v>1</v>
      </c>
      <c r="AO4" s="378">
        <v>5</v>
      </c>
      <c r="AP4" s="378">
        <v>2</v>
      </c>
      <c r="AQ4" s="378">
        <v>5</v>
      </c>
      <c r="AR4" s="378">
        <v>6</v>
      </c>
      <c r="AS4" s="378">
        <v>3</v>
      </c>
      <c r="AT4" s="378">
        <v>14</v>
      </c>
      <c r="AU4" s="378">
        <v>25</v>
      </c>
      <c r="AV4" s="378">
        <v>58</v>
      </c>
      <c r="AW4" s="378">
        <v>130</v>
      </c>
      <c r="AX4" s="378">
        <v>254</v>
      </c>
      <c r="AY4" s="378">
        <v>424</v>
      </c>
      <c r="AZ4" s="378">
        <v>573</v>
      </c>
      <c r="BA4" s="378">
        <v>617</v>
      </c>
      <c r="BB4" s="378">
        <v>750</v>
      </c>
      <c r="BC4" s="378">
        <v>788</v>
      </c>
      <c r="BD4" s="378">
        <v>540</v>
      </c>
      <c r="BE4" s="378">
        <v>374</v>
      </c>
      <c r="BF4" s="90">
        <f>SUM(AN4:AP4)</f>
        <v>8</v>
      </c>
      <c r="BG4" s="90">
        <f>SUM(AQ4:AS4)</f>
        <v>14</v>
      </c>
      <c r="BH4" s="90">
        <f>SUM(AT4:AX4)</f>
        <v>481</v>
      </c>
      <c r="BI4" s="90">
        <f>SUM(AY4:BB4)</f>
        <v>2364</v>
      </c>
      <c r="BJ4" s="90">
        <f>SUM(BC4:BE4)</f>
        <v>1702</v>
      </c>
      <c r="BK4" s="379">
        <v>44026</v>
      </c>
      <c r="BL4" s="379">
        <v>24863</v>
      </c>
      <c r="BM4" s="379">
        <v>8680</v>
      </c>
      <c r="BN4" s="379">
        <v>50206</v>
      </c>
      <c r="BO4" s="92"/>
      <c r="BP4" s="92"/>
      <c r="BQ4" s="5">
        <f t="shared" ref="BQ4:BQ51" si="7">SUM(BS4:BX4)</f>
        <v>9459</v>
      </c>
      <c r="BR4" s="5">
        <f t="shared" ref="BR4:BR51" si="8">SUM(DA4:DR4)</f>
        <v>3551</v>
      </c>
      <c r="BS4" s="301">
        <v>0</v>
      </c>
      <c r="BT4" s="380">
        <v>2821</v>
      </c>
      <c r="BU4" s="380">
        <v>1597</v>
      </c>
      <c r="BV4" s="380">
        <v>1082</v>
      </c>
      <c r="BW4" s="380">
        <v>894</v>
      </c>
      <c r="BX4" s="380">
        <v>3065</v>
      </c>
      <c r="BY4" s="381">
        <v>7831</v>
      </c>
      <c r="BZ4" s="381">
        <v>250</v>
      </c>
      <c r="CA4" s="381">
        <v>334</v>
      </c>
      <c r="CB4" s="381">
        <v>988</v>
      </c>
      <c r="CC4" s="381">
        <v>65</v>
      </c>
      <c r="CD4" s="382">
        <v>11</v>
      </c>
      <c r="CE4" s="382">
        <v>4</v>
      </c>
      <c r="CF4" s="382">
        <v>11</v>
      </c>
      <c r="CG4" s="382">
        <v>27</v>
      </c>
      <c r="CH4" s="382">
        <v>57</v>
      </c>
      <c r="CI4" s="382">
        <v>183</v>
      </c>
      <c r="CJ4" s="382">
        <v>254</v>
      </c>
      <c r="CK4" s="382">
        <v>246</v>
      </c>
      <c r="CL4" s="382">
        <v>388</v>
      </c>
      <c r="CM4" s="382">
        <v>573</v>
      </c>
      <c r="CN4" s="382">
        <v>802</v>
      </c>
      <c r="CO4" s="382">
        <v>871</v>
      </c>
      <c r="CP4" s="382">
        <v>982</v>
      </c>
      <c r="CQ4" s="382">
        <v>999</v>
      </c>
      <c r="CR4" s="382">
        <v>1137</v>
      </c>
      <c r="CS4" s="382">
        <v>1234</v>
      </c>
      <c r="CT4" s="382">
        <v>936</v>
      </c>
      <c r="CU4" s="382">
        <v>744</v>
      </c>
      <c r="CV4" s="25">
        <f t="shared" ref="CV4:CV51" si="9">CD4+CE4+CF4</f>
        <v>26</v>
      </c>
      <c r="CW4" s="25">
        <f t="shared" ref="CW4:CW51" si="10">CG4+CH4+CI4</f>
        <v>267</v>
      </c>
      <c r="CX4" s="25">
        <f t="shared" ref="CX4:CX51" si="11">CJ4+CK4+CL4+CM4+CN4</f>
        <v>2263</v>
      </c>
      <c r="CY4" s="25">
        <f t="shared" ref="CY4:CY51" si="12">CO4+CP4+CQ4+CR4</f>
        <v>3989</v>
      </c>
      <c r="CZ4" s="25">
        <f t="shared" ref="CZ4:CZ51" si="13">CS4+CT4+CU4</f>
        <v>2914</v>
      </c>
      <c r="DA4" s="383">
        <v>2</v>
      </c>
      <c r="DB4" s="383">
        <v>2</v>
      </c>
      <c r="DC4" s="383">
        <v>1</v>
      </c>
      <c r="DD4" s="383">
        <v>1</v>
      </c>
      <c r="DE4" s="383">
        <v>5</v>
      </c>
      <c r="DF4" s="383">
        <v>7</v>
      </c>
      <c r="DG4" s="383">
        <v>15</v>
      </c>
      <c r="DH4" s="383">
        <v>22</v>
      </c>
      <c r="DI4" s="383">
        <v>61</v>
      </c>
      <c r="DJ4" s="383">
        <v>119</v>
      </c>
      <c r="DK4" s="383">
        <v>185</v>
      </c>
      <c r="DL4" s="383">
        <v>270</v>
      </c>
      <c r="DM4" s="383">
        <v>328</v>
      </c>
      <c r="DN4" s="383">
        <v>361</v>
      </c>
      <c r="DO4" s="383">
        <v>488</v>
      </c>
      <c r="DP4" s="383">
        <v>572</v>
      </c>
      <c r="DQ4" s="383">
        <v>595</v>
      </c>
      <c r="DR4" s="383">
        <v>517</v>
      </c>
      <c r="DS4" s="91">
        <f>SUM(DA4:DC4)</f>
        <v>5</v>
      </c>
      <c r="DT4" s="91">
        <f>SUM(DD4:DF4)</f>
        <v>13</v>
      </c>
      <c r="DU4" s="91">
        <f>SUM(DG4:DK4)</f>
        <v>402</v>
      </c>
      <c r="DV4" s="91">
        <f>SUM(DL4:DO4)</f>
        <v>1447</v>
      </c>
      <c r="DW4" s="91">
        <f>SUM(DP4:DR4)</f>
        <v>1684</v>
      </c>
      <c r="DX4" s="384">
        <v>61025</v>
      </c>
      <c r="DY4" s="384">
        <v>37662</v>
      </c>
      <c r="DZ4" s="384">
        <v>20759</v>
      </c>
      <c r="EA4" s="384">
        <v>67664</v>
      </c>
      <c r="EB4" s="92"/>
      <c r="EC4" s="92"/>
    </row>
    <row r="5" spans="1:133" ht="12.95" customHeight="1">
      <c r="A5" s="2">
        <v>2</v>
      </c>
      <c r="B5" s="3" t="s">
        <v>35</v>
      </c>
      <c r="C5" s="3" t="s">
        <v>36</v>
      </c>
      <c r="D5" s="4">
        <f t="shared" si="0"/>
        <v>9569</v>
      </c>
      <c r="E5" s="4">
        <f t="shared" si="1"/>
        <v>4519</v>
      </c>
      <c r="F5" s="305">
        <v>0</v>
      </c>
      <c r="G5" s="375">
        <v>1873</v>
      </c>
      <c r="H5" s="375">
        <v>1808</v>
      </c>
      <c r="I5" s="375">
        <v>1287</v>
      </c>
      <c r="J5" s="375">
        <v>1304</v>
      </c>
      <c r="K5" s="375">
        <v>3297</v>
      </c>
      <c r="L5" s="376">
        <v>7494</v>
      </c>
      <c r="M5" s="376">
        <v>249</v>
      </c>
      <c r="N5" s="376">
        <v>478</v>
      </c>
      <c r="O5" s="376">
        <v>1285</v>
      </c>
      <c r="P5" s="376">
        <v>76</v>
      </c>
      <c r="Q5" s="377">
        <v>25</v>
      </c>
      <c r="R5" s="377">
        <v>10</v>
      </c>
      <c r="S5" s="377">
        <v>8</v>
      </c>
      <c r="T5" s="377">
        <v>18</v>
      </c>
      <c r="U5" s="377">
        <v>22</v>
      </c>
      <c r="V5" s="377">
        <v>21</v>
      </c>
      <c r="W5" s="377">
        <v>53</v>
      </c>
      <c r="X5" s="377">
        <v>75</v>
      </c>
      <c r="Y5" s="377">
        <v>133</v>
      </c>
      <c r="Z5" s="377">
        <v>271</v>
      </c>
      <c r="AA5" s="377">
        <v>742</v>
      </c>
      <c r="AB5" s="377">
        <v>1161</v>
      </c>
      <c r="AC5" s="377">
        <v>1439</v>
      </c>
      <c r="AD5" s="377">
        <v>1499</v>
      </c>
      <c r="AE5" s="377">
        <v>1614</v>
      </c>
      <c r="AF5" s="377">
        <v>1199</v>
      </c>
      <c r="AG5" s="377">
        <v>806</v>
      </c>
      <c r="AH5" s="377">
        <v>473</v>
      </c>
      <c r="AI5" s="24">
        <f t="shared" si="2"/>
        <v>43</v>
      </c>
      <c r="AJ5" s="24">
        <f t="shared" si="3"/>
        <v>61</v>
      </c>
      <c r="AK5" s="24">
        <f t="shared" si="4"/>
        <v>1274</v>
      </c>
      <c r="AL5" s="24">
        <f t="shared" si="5"/>
        <v>5713</v>
      </c>
      <c r="AM5" s="24">
        <f t="shared" si="6"/>
        <v>2478</v>
      </c>
      <c r="AN5" s="378">
        <v>1</v>
      </c>
      <c r="AO5" s="378">
        <v>4</v>
      </c>
      <c r="AP5" s="378">
        <v>2</v>
      </c>
      <c r="AQ5" s="378">
        <v>5</v>
      </c>
      <c r="AR5" s="378">
        <v>6</v>
      </c>
      <c r="AS5" s="378">
        <v>3</v>
      </c>
      <c r="AT5" s="378">
        <v>14</v>
      </c>
      <c r="AU5" s="378">
        <v>25</v>
      </c>
      <c r="AV5" s="378">
        <v>58</v>
      </c>
      <c r="AW5" s="378">
        <v>129</v>
      </c>
      <c r="AX5" s="378">
        <v>254</v>
      </c>
      <c r="AY5" s="378">
        <v>421</v>
      </c>
      <c r="AZ5" s="378">
        <v>568</v>
      </c>
      <c r="BA5" s="378">
        <v>610</v>
      </c>
      <c r="BB5" s="378">
        <v>741</v>
      </c>
      <c r="BC5" s="378">
        <v>778</v>
      </c>
      <c r="BD5" s="378">
        <v>531</v>
      </c>
      <c r="BE5" s="378">
        <v>369</v>
      </c>
      <c r="BF5" s="90">
        <f t="shared" ref="BF5:BF51" si="14">SUM(AN5:AP5)</f>
        <v>7</v>
      </c>
      <c r="BG5" s="90">
        <f t="shared" ref="BG5:BG51" si="15">SUM(AQ5:AS5)</f>
        <v>14</v>
      </c>
      <c r="BH5" s="90">
        <f t="shared" ref="BH5:BH51" si="16">SUM(AT5:AX5)</f>
        <v>480</v>
      </c>
      <c r="BI5" s="90">
        <f t="shared" ref="BI5:BI51" si="17">SUM(AY5:BB5)</f>
        <v>2340</v>
      </c>
      <c r="BJ5" s="90">
        <f t="shared" ref="BJ5:BJ51" si="18">SUM(BC5:BE5)</f>
        <v>1678</v>
      </c>
      <c r="BK5" s="379">
        <v>42791</v>
      </c>
      <c r="BL5" s="379">
        <v>24346</v>
      </c>
      <c r="BM5" s="379">
        <v>8566</v>
      </c>
      <c r="BN5" s="379">
        <v>48737</v>
      </c>
      <c r="BO5" s="92"/>
      <c r="BP5" s="92"/>
      <c r="BQ5" s="5">
        <f t="shared" si="7"/>
        <v>8277</v>
      </c>
      <c r="BR5" s="5">
        <f t="shared" si="8"/>
        <v>3499</v>
      </c>
      <c r="BS5" s="302">
        <v>0</v>
      </c>
      <c r="BT5" s="380">
        <v>2789</v>
      </c>
      <c r="BU5" s="380">
        <v>1594</v>
      </c>
      <c r="BV5" s="380">
        <v>1079</v>
      </c>
      <c r="BW5" s="380">
        <v>894</v>
      </c>
      <c r="BX5" s="380">
        <v>1921</v>
      </c>
      <c r="BY5" s="381">
        <v>6739</v>
      </c>
      <c r="BZ5" s="381">
        <v>245</v>
      </c>
      <c r="CA5" s="381">
        <v>315</v>
      </c>
      <c r="CB5" s="381">
        <v>927</v>
      </c>
      <c r="CC5" s="381">
        <v>60</v>
      </c>
      <c r="CD5" s="382">
        <v>11</v>
      </c>
      <c r="CE5" s="382">
        <v>3</v>
      </c>
      <c r="CF5" s="382">
        <v>9</v>
      </c>
      <c r="CG5" s="382">
        <v>23</v>
      </c>
      <c r="CH5" s="382">
        <v>35</v>
      </c>
      <c r="CI5" s="382">
        <v>73</v>
      </c>
      <c r="CJ5" s="382">
        <v>89</v>
      </c>
      <c r="CK5" s="382">
        <v>133</v>
      </c>
      <c r="CL5" s="382">
        <v>280</v>
      </c>
      <c r="CM5" s="382">
        <v>484</v>
      </c>
      <c r="CN5" s="382">
        <v>712</v>
      </c>
      <c r="CO5" s="382">
        <v>800</v>
      </c>
      <c r="CP5" s="382">
        <v>889</v>
      </c>
      <c r="CQ5" s="382">
        <v>933</v>
      </c>
      <c r="CR5" s="382">
        <v>1061</v>
      </c>
      <c r="CS5" s="382">
        <v>1151</v>
      </c>
      <c r="CT5" s="382">
        <v>884</v>
      </c>
      <c r="CU5" s="382">
        <v>707</v>
      </c>
      <c r="CV5" s="25">
        <f t="shared" si="9"/>
        <v>23</v>
      </c>
      <c r="CW5" s="25">
        <f t="shared" si="10"/>
        <v>131</v>
      </c>
      <c r="CX5" s="25">
        <f t="shared" si="11"/>
        <v>1698</v>
      </c>
      <c r="CY5" s="25">
        <f t="shared" si="12"/>
        <v>3683</v>
      </c>
      <c r="CZ5" s="25">
        <f t="shared" si="13"/>
        <v>2742</v>
      </c>
      <c r="DA5" s="383">
        <v>2</v>
      </c>
      <c r="DB5" s="383">
        <v>2</v>
      </c>
      <c r="DC5" s="383">
        <v>1</v>
      </c>
      <c r="DD5" s="383">
        <v>1</v>
      </c>
      <c r="DE5" s="383">
        <v>4</v>
      </c>
      <c r="DF5" s="383">
        <v>7</v>
      </c>
      <c r="DG5" s="383">
        <v>15</v>
      </c>
      <c r="DH5" s="383">
        <v>22</v>
      </c>
      <c r="DI5" s="383">
        <v>61</v>
      </c>
      <c r="DJ5" s="383">
        <v>119</v>
      </c>
      <c r="DK5" s="383">
        <v>185</v>
      </c>
      <c r="DL5" s="383">
        <v>267</v>
      </c>
      <c r="DM5" s="383">
        <v>323</v>
      </c>
      <c r="DN5" s="383">
        <v>358</v>
      </c>
      <c r="DO5" s="383">
        <v>480</v>
      </c>
      <c r="DP5" s="383">
        <v>558</v>
      </c>
      <c r="DQ5" s="383">
        <v>583</v>
      </c>
      <c r="DR5" s="383">
        <v>511</v>
      </c>
      <c r="DS5" s="91">
        <f t="shared" ref="DS5:DS51" si="19">SUM(DA5:DC5)</f>
        <v>5</v>
      </c>
      <c r="DT5" s="91">
        <f t="shared" ref="DT5:DT51" si="20">SUM(DD5:DF5)</f>
        <v>12</v>
      </c>
      <c r="DU5" s="91">
        <f t="shared" ref="DU5:DU51" si="21">SUM(DG5:DK5)</f>
        <v>402</v>
      </c>
      <c r="DV5" s="91">
        <f t="shared" ref="DV5:DV51" si="22">SUM(DL5:DO5)</f>
        <v>1428</v>
      </c>
      <c r="DW5" s="91">
        <f t="shared" ref="DW5:DW51" si="23">SUM(DP5:DR5)</f>
        <v>1652</v>
      </c>
      <c r="DX5" s="384">
        <v>52610</v>
      </c>
      <c r="DY5" s="384">
        <v>33392</v>
      </c>
      <c r="DZ5" s="384">
        <v>19828</v>
      </c>
      <c r="EA5" s="384">
        <v>58249</v>
      </c>
      <c r="EB5" s="92"/>
      <c r="EC5" s="92"/>
    </row>
    <row r="6" spans="1:133" ht="12.95" customHeight="1">
      <c r="A6" s="12">
        <v>3</v>
      </c>
      <c r="B6" s="3" t="s">
        <v>37</v>
      </c>
      <c r="C6" s="3" t="s">
        <v>38</v>
      </c>
      <c r="D6" s="4">
        <f t="shared" si="0"/>
        <v>20</v>
      </c>
      <c r="E6" s="4">
        <f t="shared" si="1"/>
        <v>1</v>
      </c>
      <c r="F6" s="305">
        <v>0</v>
      </c>
      <c r="G6" s="375">
        <v>10</v>
      </c>
      <c r="H6" s="375">
        <v>7</v>
      </c>
      <c r="I6" s="375">
        <v>0</v>
      </c>
      <c r="J6" s="375">
        <v>1</v>
      </c>
      <c r="K6" s="375">
        <v>2</v>
      </c>
      <c r="L6" s="376">
        <v>19</v>
      </c>
      <c r="M6" s="376">
        <v>1</v>
      </c>
      <c r="N6" s="376">
        <v>0</v>
      </c>
      <c r="O6" s="376">
        <v>0</v>
      </c>
      <c r="P6" s="376">
        <v>0</v>
      </c>
      <c r="Q6" s="377">
        <v>0</v>
      </c>
      <c r="R6" s="377">
        <v>0</v>
      </c>
      <c r="S6" s="377">
        <v>0</v>
      </c>
      <c r="T6" s="377">
        <v>0</v>
      </c>
      <c r="U6" s="377">
        <v>0</v>
      </c>
      <c r="V6" s="377">
        <v>0</v>
      </c>
      <c r="W6" s="377">
        <v>0</v>
      </c>
      <c r="X6" s="377">
        <v>0</v>
      </c>
      <c r="Y6" s="377">
        <v>0</v>
      </c>
      <c r="Z6" s="377">
        <v>0</v>
      </c>
      <c r="AA6" s="377">
        <v>2</v>
      </c>
      <c r="AB6" s="377">
        <v>0</v>
      </c>
      <c r="AC6" s="377">
        <v>4</v>
      </c>
      <c r="AD6" s="377">
        <v>2</v>
      </c>
      <c r="AE6" s="377">
        <v>3</v>
      </c>
      <c r="AF6" s="377">
        <v>6</v>
      </c>
      <c r="AG6" s="377">
        <v>2</v>
      </c>
      <c r="AH6" s="377">
        <v>1</v>
      </c>
      <c r="AI6" s="24">
        <f t="shared" si="2"/>
        <v>0</v>
      </c>
      <c r="AJ6" s="24">
        <f t="shared" si="3"/>
        <v>0</v>
      </c>
      <c r="AK6" s="24">
        <f t="shared" si="4"/>
        <v>2</v>
      </c>
      <c r="AL6" s="24">
        <f t="shared" si="5"/>
        <v>9</v>
      </c>
      <c r="AM6" s="24">
        <f t="shared" si="6"/>
        <v>9</v>
      </c>
      <c r="AN6" s="378">
        <v>0</v>
      </c>
      <c r="AO6" s="378">
        <v>0</v>
      </c>
      <c r="AP6" s="378">
        <v>0</v>
      </c>
      <c r="AQ6" s="378">
        <v>0</v>
      </c>
      <c r="AR6" s="378">
        <v>0</v>
      </c>
      <c r="AS6" s="378">
        <v>0</v>
      </c>
      <c r="AT6" s="378">
        <v>0</v>
      </c>
      <c r="AU6" s="378">
        <v>0</v>
      </c>
      <c r="AV6" s="378">
        <v>0</v>
      </c>
      <c r="AW6" s="378">
        <v>0</v>
      </c>
      <c r="AX6" s="378">
        <v>0</v>
      </c>
      <c r="AY6" s="378">
        <v>0</v>
      </c>
      <c r="AZ6" s="378">
        <v>0</v>
      </c>
      <c r="BA6" s="378">
        <v>0</v>
      </c>
      <c r="BB6" s="378">
        <v>0</v>
      </c>
      <c r="BC6" s="378">
        <v>1</v>
      </c>
      <c r="BD6" s="378">
        <v>0</v>
      </c>
      <c r="BE6" s="378">
        <v>0</v>
      </c>
      <c r="BF6" s="90">
        <f t="shared" si="14"/>
        <v>0</v>
      </c>
      <c r="BG6" s="90">
        <f t="shared" si="15"/>
        <v>0</v>
      </c>
      <c r="BH6" s="90">
        <f t="shared" si="16"/>
        <v>0</v>
      </c>
      <c r="BI6" s="90">
        <f t="shared" si="17"/>
        <v>0</v>
      </c>
      <c r="BJ6" s="90">
        <f t="shared" si="18"/>
        <v>1</v>
      </c>
      <c r="BK6" s="379">
        <v>320</v>
      </c>
      <c r="BL6" s="379">
        <v>259</v>
      </c>
      <c r="BM6" s="379">
        <v>196</v>
      </c>
      <c r="BN6" s="379">
        <v>335</v>
      </c>
      <c r="BO6" s="385">
        <v>93.8</v>
      </c>
      <c r="BP6" s="385">
        <v>85</v>
      </c>
      <c r="BQ6" s="5">
        <f t="shared" si="7"/>
        <v>5</v>
      </c>
      <c r="BR6" s="5">
        <f t="shared" si="8"/>
        <v>0</v>
      </c>
      <c r="BS6" s="302">
        <v>0</v>
      </c>
      <c r="BT6" s="380">
        <v>5</v>
      </c>
      <c r="BU6" s="380">
        <v>0</v>
      </c>
      <c r="BV6" s="380">
        <v>0</v>
      </c>
      <c r="BW6" s="380">
        <v>0</v>
      </c>
      <c r="BX6" s="380">
        <v>0</v>
      </c>
      <c r="BY6" s="381">
        <v>5</v>
      </c>
      <c r="BZ6" s="381">
        <v>0</v>
      </c>
      <c r="CA6" s="381">
        <v>0</v>
      </c>
      <c r="CB6" s="381">
        <v>0</v>
      </c>
      <c r="CC6" s="381">
        <v>0</v>
      </c>
      <c r="CD6" s="382">
        <v>0</v>
      </c>
      <c r="CE6" s="382">
        <v>0</v>
      </c>
      <c r="CF6" s="382">
        <v>0</v>
      </c>
      <c r="CG6" s="382">
        <v>0</v>
      </c>
      <c r="CH6" s="382">
        <v>0</v>
      </c>
      <c r="CI6" s="382">
        <v>0</v>
      </c>
      <c r="CJ6" s="382">
        <v>0</v>
      </c>
      <c r="CK6" s="382">
        <v>0</v>
      </c>
      <c r="CL6" s="382">
        <v>0</v>
      </c>
      <c r="CM6" s="382">
        <v>0</v>
      </c>
      <c r="CN6" s="382">
        <v>0</v>
      </c>
      <c r="CO6" s="382">
        <v>0</v>
      </c>
      <c r="CP6" s="382">
        <v>0</v>
      </c>
      <c r="CQ6" s="382">
        <v>0</v>
      </c>
      <c r="CR6" s="382">
        <v>3</v>
      </c>
      <c r="CS6" s="382">
        <v>1</v>
      </c>
      <c r="CT6" s="382">
        <v>0</v>
      </c>
      <c r="CU6" s="382">
        <v>1</v>
      </c>
      <c r="CV6" s="25">
        <f t="shared" si="9"/>
        <v>0</v>
      </c>
      <c r="CW6" s="25">
        <f t="shared" si="10"/>
        <v>0</v>
      </c>
      <c r="CX6" s="25">
        <f t="shared" si="11"/>
        <v>0</v>
      </c>
      <c r="CY6" s="25">
        <f t="shared" si="12"/>
        <v>3</v>
      </c>
      <c r="CZ6" s="25">
        <f t="shared" si="13"/>
        <v>2</v>
      </c>
      <c r="DA6" s="383">
        <v>0</v>
      </c>
      <c r="DB6" s="383">
        <v>0</v>
      </c>
      <c r="DC6" s="383">
        <v>0</v>
      </c>
      <c r="DD6" s="383">
        <v>0</v>
      </c>
      <c r="DE6" s="383">
        <v>0</v>
      </c>
      <c r="DF6" s="383">
        <v>0</v>
      </c>
      <c r="DG6" s="383">
        <v>0</v>
      </c>
      <c r="DH6" s="383">
        <v>0</v>
      </c>
      <c r="DI6" s="383">
        <v>0</v>
      </c>
      <c r="DJ6" s="383">
        <v>0</v>
      </c>
      <c r="DK6" s="383">
        <v>0</v>
      </c>
      <c r="DL6" s="383">
        <v>0</v>
      </c>
      <c r="DM6" s="383">
        <v>0</v>
      </c>
      <c r="DN6" s="383">
        <v>0</v>
      </c>
      <c r="DO6" s="383">
        <v>0</v>
      </c>
      <c r="DP6" s="383">
        <v>0</v>
      </c>
      <c r="DQ6" s="383">
        <v>0</v>
      </c>
      <c r="DR6" s="383">
        <v>0</v>
      </c>
      <c r="DS6" s="91">
        <f t="shared" si="19"/>
        <v>0</v>
      </c>
      <c r="DT6" s="91">
        <f t="shared" si="20"/>
        <v>0</v>
      </c>
      <c r="DU6" s="91">
        <f t="shared" si="21"/>
        <v>0</v>
      </c>
      <c r="DV6" s="91">
        <f t="shared" si="22"/>
        <v>0</v>
      </c>
      <c r="DW6" s="91">
        <f t="shared" si="23"/>
        <v>0</v>
      </c>
      <c r="DX6" s="384">
        <v>117</v>
      </c>
      <c r="DY6" s="384">
        <v>89</v>
      </c>
      <c r="DZ6" s="384">
        <v>59</v>
      </c>
      <c r="EA6" s="384">
        <v>122</v>
      </c>
      <c r="EB6">
        <v>94.8</v>
      </c>
      <c r="EC6">
        <v>88.1</v>
      </c>
    </row>
    <row r="7" spans="1:133" ht="12.95" customHeight="1">
      <c r="A7" s="2">
        <v>4</v>
      </c>
      <c r="B7" s="3" t="s">
        <v>39</v>
      </c>
      <c r="C7" s="3" t="s">
        <v>40</v>
      </c>
      <c r="D7" s="4">
        <f t="shared" si="0"/>
        <v>272</v>
      </c>
      <c r="E7" s="4">
        <f t="shared" si="1"/>
        <v>217</v>
      </c>
      <c r="F7" s="305">
        <v>0</v>
      </c>
      <c r="G7" s="375">
        <v>7</v>
      </c>
      <c r="H7" s="375">
        <v>16</v>
      </c>
      <c r="I7" s="375">
        <v>40</v>
      </c>
      <c r="J7" s="375">
        <v>128</v>
      </c>
      <c r="K7" s="375">
        <v>81</v>
      </c>
      <c r="L7" s="376">
        <v>174</v>
      </c>
      <c r="M7" s="376">
        <v>30</v>
      </c>
      <c r="N7" s="376">
        <v>6</v>
      </c>
      <c r="O7" s="376">
        <v>61</v>
      </c>
      <c r="P7" s="376">
        <v>1</v>
      </c>
      <c r="Q7" s="377">
        <v>0</v>
      </c>
      <c r="R7" s="377">
        <v>0</v>
      </c>
      <c r="S7" s="377">
        <v>0</v>
      </c>
      <c r="T7" s="377">
        <v>2</v>
      </c>
      <c r="U7" s="377">
        <v>0</v>
      </c>
      <c r="V7" s="377">
        <v>0</v>
      </c>
      <c r="W7" s="377">
        <v>3</v>
      </c>
      <c r="X7" s="377">
        <v>4</v>
      </c>
      <c r="Y7" s="377">
        <v>9</v>
      </c>
      <c r="Z7" s="377">
        <v>26</v>
      </c>
      <c r="AA7" s="377">
        <v>32</v>
      </c>
      <c r="AB7" s="377">
        <v>54</v>
      </c>
      <c r="AC7" s="377">
        <v>57</v>
      </c>
      <c r="AD7" s="377">
        <v>35</v>
      </c>
      <c r="AE7" s="377">
        <v>17</v>
      </c>
      <c r="AF7" s="377">
        <v>20</v>
      </c>
      <c r="AG7" s="377">
        <v>6</v>
      </c>
      <c r="AH7" s="377">
        <v>7</v>
      </c>
      <c r="AI7" s="24">
        <f t="shared" si="2"/>
        <v>0</v>
      </c>
      <c r="AJ7" s="24">
        <f t="shared" si="3"/>
        <v>2</v>
      </c>
      <c r="AK7" s="24">
        <f t="shared" si="4"/>
        <v>74</v>
      </c>
      <c r="AL7" s="24">
        <f t="shared" si="5"/>
        <v>163</v>
      </c>
      <c r="AM7" s="24">
        <f t="shared" si="6"/>
        <v>33</v>
      </c>
      <c r="AN7" s="378">
        <v>0</v>
      </c>
      <c r="AO7" s="378">
        <v>0</v>
      </c>
      <c r="AP7" s="378">
        <v>0</v>
      </c>
      <c r="AQ7" s="378">
        <v>1</v>
      </c>
      <c r="AR7" s="378">
        <v>0</v>
      </c>
      <c r="AS7" s="378">
        <v>0</v>
      </c>
      <c r="AT7" s="378">
        <v>3</v>
      </c>
      <c r="AU7" s="378">
        <v>2</v>
      </c>
      <c r="AV7" s="378">
        <v>8</v>
      </c>
      <c r="AW7" s="378">
        <v>22</v>
      </c>
      <c r="AX7" s="378">
        <v>18</v>
      </c>
      <c r="AY7" s="378">
        <v>36</v>
      </c>
      <c r="AZ7" s="378">
        <v>42</v>
      </c>
      <c r="BA7" s="378">
        <v>36</v>
      </c>
      <c r="BB7" s="378">
        <v>20</v>
      </c>
      <c r="BC7" s="378">
        <v>20</v>
      </c>
      <c r="BD7" s="378">
        <v>4</v>
      </c>
      <c r="BE7" s="378">
        <v>5</v>
      </c>
      <c r="BF7" s="90">
        <f t="shared" si="14"/>
        <v>0</v>
      </c>
      <c r="BG7" s="90">
        <f t="shared" si="15"/>
        <v>1</v>
      </c>
      <c r="BH7" s="90">
        <f t="shared" si="16"/>
        <v>53</v>
      </c>
      <c r="BI7" s="90">
        <f t="shared" si="17"/>
        <v>134</v>
      </c>
      <c r="BJ7" s="90">
        <f t="shared" si="18"/>
        <v>29</v>
      </c>
      <c r="BK7" s="379">
        <v>523</v>
      </c>
      <c r="BL7" s="379">
        <v>301</v>
      </c>
      <c r="BM7" s="379">
        <v>157</v>
      </c>
      <c r="BN7" s="379">
        <v>651</v>
      </c>
      <c r="BO7" s="385">
        <v>42.6</v>
      </c>
      <c r="BP7" s="385">
        <v>20.100000000000001</v>
      </c>
      <c r="BQ7" s="5">
        <f t="shared" si="7"/>
        <v>72</v>
      </c>
      <c r="BR7" s="5">
        <f t="shared" si="8"/>
        <v>30</v>
      </c>
      <c r="BS7" s="302">
        <v>0</v>
      </c>
      <c r="BT7" s="380">
        <v>12</v>
      </c>
      <c r="BU7" s="380">
        <v>7</v>
      </c>
      <c r="BV7" s="380">
        <v>15</v>
      </c>
      <c r="BW7" s="380">
        <v>24</v>
      </c>
      <c r="BX7" s="380">
        <v>14</v>
      </c>
      <c r="BY7" s="381">
        <v>59</v>
      </c>
      <c r="BZ7" s="381">
        <v>5</v>
      </c>
      <c r="CA7" s="381">
        <v>2</v>
      </c>
      <c r="CB7" s="381">
        <v>6</v>
      </c>
      <c r="CC7" s="381">
        <v>0</v>
      </c>
      <c r="CD7" s="382">
        <v>0</v>
      </c>
      <c r="CE7" s="382">
        <v>0</v>
      </c>
      <c r="CF7" s="382">
        <v>0</v>
      </c>
      <c r="CG7" s="382">
        <v>0</v>
      </c>
      <c r="CH7" s="382">
        <v>0</v>
      </c>
      <c r="CI7" s="382">
        <v>0</v>
      </c>
      <c r="CJ7" s="382">
        <v>0</v>
      </c>
      <c r="CK7" s="382">
        <v>1</v>
      </c>
      <c r="CL7" s="382">
        <v>2</v>
      </c>
      <c r="CM7" s="382">
        <v>8</v>
      </c>
      <c r="CN7" s="382">
        <v>7</v>
      </c>
      <c r="CO7" s="382">
        <v>11</v>
      </c>
      <c r="CP7" s="382">
        <v>12</v>
      </c>
      <c r="CQ7" s="382">
        <v>8</v>
      </c>
      <c r="CR7" s="382">
        <v>10</v>
      </c>
      <c r="CS7" s="382">
        <v>7</v>
      </c>
      <c r="CT7" s="382">
        <v>3</v>
      </c>
      <c r="CU7" s="382">
        <v>3</v>
      </c>
      <c r="CV7" s="25">
        <f t="shared" si="9"/>
        <v>0</v>
      </c>
      <c r="CW7" s="25">
        <f t="shared" si="10"/>
        <v>0</v>
      </c>
      <c r="CX7" s="25">
        <f t="shared" si="11"/>
        <v>18</v>
      </c>
      <c r="CY7" s="25">
        <f t="shared" si="12"/>
        <v>41</v>
      </c>
      <c r="CZ7" s="25">
        <f t="shared" si="13"/>
        <v>13</v>
      </c>
      <c r="DA7" s="383">
        <v>0</v>
      </c>
      <c r="DB7" s="383">
        <v>0</v>
      </c>
      <c r="DC7" s="383">
        <v>0</v>
      </c>
      <c r="DD7" s="383">
        <v>0</v>
      </c>
      <c r="DE7" s="383">
        <v>0</v>
      </c>
      <c r="DF7" s="383">
        <v>0</v>
      </c>
      <c r="DG7" s="383">
        <v>0</v>
      </c>
      <c r="DH7" s="383">
        <v>0</v>
      </c>
      <c r="DI7" s="383">
        <v>0</v>
      </c>
      <c r="DJ7" s="383">
        <v>4</v>
      </c>
      <c r="DK7" s="383">
        <v>3</v>
      </c>
      <c r="DL7" s="383">
        <v>2</v>
      </c>
      <c r="DM7" s="383">
        <v>6</v>
      </c>
      <c r="DN7" s="383">
        <v>2</v>
      </c>
      <c r="DO7" s="383">
        <v>5</v>
      </c>
      <c r="DP7" s="383">
        <v>4</v>
      </c>
      <c r="DQ7" s="383">
        <v>2</v>
      </c>
      <c r="DR7" s="383">
        <v>2</v>
      </c>
      <c r="DS7" s="91">
        <f t="shared" si="19"/>
        <v>0</v>
      </c>
      <c r="DT7" s="91">
        <f t="shared" si="20"/>
        <v>0</v>
      </c>
      <c r="DU7" s="91">
        <f t="shared" si="21"/>
        <v>7</v>
      </c>
      <c r="DV7" s="91">
        <f t="shared" si="22"/>
        <v>15</v>
      </c>
      <c r="DW7" s="91">
        <f t="shared" si="23"/>
        <v>8</v>
      </c>
      <c r="DX7" s="384">
        <v>299</v>
      </c>
      <c r="DY7" s="384">
        <v>199</v>
      </c>
      <c r="DZ7" s="384">
        <v>126</v>
      </c>
      <c r="EA7" s="384">
        <v>347</v>
      </c>
      <c r="EB7">
        <v>61.1</v>
      </c>
      <c r="EC7">
        <v>37.9</v>
      </c>
    </row>
    <row r="8" spans="1:133" ht="12.95" customHeight="1">
      <c r="A8" s="12">
        <v>5</v>
      </c>
      <c r="B8" s="3" t="s">
        <v>41</v>
      </c>
      <c r="C8" s="3" t="s">
        <v>42</v>
      </c>
      <c r="D8" s="4">
        <f t="shared" si="0"/>
        <v>188</v>
      </c>
      <c r="E8" s="4">
        <f t="shared" si="1"/>
        <v>173</v>
      </c>
      <c r="F8" s="305">
        <v>0</v>
      </c>
      <c r="G8" s="375">
        <v>17</v>
      </c>
      <c r="H8" s="375">
        <v>14</v>
      </c>
      <c r="I8" s="375">
        <v>46</v>
      </c>
      <c r="J8" s="375">
        <v>39</v>
      </c>
      <c r="K8" s="375">
        <v>72</v>
      </c>
      <c r="L8" s="376">
        <v>114</v>
      </c>
      <c r="M8" s="376">
        <v>12</v>
      </c>
      <c r="N8" s="376">
        <v>6</v>
      </c>
      <c r="O8" s="376">
        <v>50</v>
      </c>
      <c r="P8" s="376">
        <v>6</v>
      </c>
      <c r="Q8" s="377">
        <v>0</v>
      </c>
      <c r="R8" s="377">
        <v>0</v>
      </c>
      <c r="S8" s="377">
        <v>0</v>
      </c>
      <c r="T8" s="377">
        <v>0</v>
      </c>
      <c r="U8" s="377">
        <v>0</v>
      </c>
      <c r="V8" s="377">
        <v>0</v>
      </c>
      <c r="W8" s="377">
        <v>0</v>
      </c>
      <c r="X8" s="377">
        <v>2</v>
      </c>
      <c r="Y8" s="377">
        <v>4</v>
      </c>
      <c r="Z8" s="377">
        <v>12</v>
      </c>
      <c r="AA8" s="377">
        <v>20</v>
      </c>
      <c r="AB8" s="377">
        <v>37</v>
      </c>
      <c r="AC8" s="377">
        <v>43</v>
      </c>
      <c r="AD8" s="377">
        <v>21</v>
      </c>
      <c r="AE8" s="377">
        <v>17</v>
      </c>
      <c r="AF8" s="377">
        <v>17</v>
      </c>
      <c r="AG8" s="377">
        <v>10</v>
      </c>
      <c r="AH8" s="377">
        <v>5</v>
      </c>
      <c r="AI8" s="24">
        <f t="shared" si="2"/>
        <v>0</v>
      </c>
      <c r="AJ8" s="24">
        <f t="shared" si="3"/>
        <v>0</v>
      </c>
      <c r="AK8" s="24">
        <f t="shared" si="4"/>
        <v>38</v>
      </c>
      <c r="AL8" s="24">
        <f t="shared" si="5"/>
        <v>118</v>
      </c>
      <c r="AM8" s="24">
        <f t="shared" si="6"/>
        <v>32</v>
      </c>
      <c r="AN8" s="378">
        <v>0</v>
      </c>
      <c r="AO8" s="378">
        <v>0</v>
      </c>
      <c r="AP8" s="378">
        <v>0</v>
      </c>
      <c r="AQ8" s="378">
        <v>0</v>
      </c>
      <c r="AR8" s="378">
        <v>0</v>
      </c>
      <c r="AS8" s="378">
        <v>0</v>
      </c>
      <c r="AT8" s="378">
        <v>0</v>
      </c>
      <c r="AU8" s="378">
        <v>1</v>
      </c>
      <c r="AV8" s="378">
        <v>4</v>
      </c>
      <c r="AW8" s="378">
        <v>9</v>
      </c>
      <c r="AX8" s="378">
        <v>17</v>
      </c>
      <c r="AY8" s="378">
        <v>27</v>
      </c>
      <c r="AZ8" s="378">
        <v>39</v>
      </c>
      <c r="BA8" s="378">
        <v>24</v>
      </c>
      <c r="BB8" s="378">
        <v>20</v>
      </c>
      <c r="BC8" s="378">
        <v>18</v>
      </c>
      <c r="BD8" s="378">
        <v>10</v>
      </c>
      <c r="BE8" s="378">
        <v>4</v>
      </c>
      <c r="BF8" s="90">
        <f t="shared" si="14"/>
        <v>0</v>
      </c>
      <c r="BG8" s="90">
        <f t="shared" si="15"/>
        <v>0</v>
      </c>
      <c r="BH8" s="90">
        <f t="shared" si="16"/>
        <v>31</v>
      </c>
      <c r="BI8" s="90">
        <f t="shared" si="17"/>
        <v>110</v>
      </c>
      <c r="BJ8" s="90">
        <f t="shared" si="18"/>
        <v>32</v>
      </c>
      <c r="BK8" s="379">
        <v>76</v>
      </c>
      <c r="BL8" s="379">
        <v>39</v>
      </c>
      <c r="BM8" s="379">
        <v>18</v>
      </c>
      <c r="BN8" s="379">
        <v>138</v>
      </c>
      <c r="BO8" s="385">
        <v>17.8</v>
      </c>
      <c r="BP8" s="385">
        <v>5.5</v>
      </c>
      <c r="BQ8" s="5">
        <f t="shared" si="7"/>
        <v>30</v>
      </c>
      <c r="BR8" s="5">
        <f t="shared" si="8"/>
        <v>29</v>
      </c>
      <c r="BS8" s="302">
        <v>0</v>
      </c>
      <c r="BT8" s="380">
        <v>2</v>
      </c>
      <c r="BU8" s="380">
        <v>3</v>
      </c>
      <c r="BV8" s="380">
        <v>5</v>
      </c>
      <c r="BW8" s="380">
        <v>8</v>
      </c>
      <c r="BX8" s="380">
        <v>12</v>
      </c>
      <c r="BY8" s="381">
        <v>15</v>
      </c>
      <c r="BZ8" s="381">
        <v>0</v>
      </c>
      <c r="CA8" s="381">
        <v>4</v>
      </c>
      <c r="CB8" s="381">
        <v>11</v>
      </c>
      <c r="CC8" s="381">
        <v>0</v>
      </c>
      <c r="CD8" s="382">
        <v>0</v>
      </c>
      <c r="CE8" s="382">
        <v>0</v>
      </c>
      <c r="CF8" s="382">
        <v>0</v>
      </c>
      <c r="CG8" s="382">
        <v>0</v>
      </c>
      <c r="CH8" s="382">
        <v>0</v>
      </c>
      <c r="CI8" s="382">
        <v>0</v>
      </c>
      <c r="CJ8" s="382">
        <v>0</v>
      </c>
      <c r="CK8" s="382">
        <v>0</v>
      </c>
      <c r="CL8" s="382">
        <v>0</v>
      </c>
      <c r="CM8" s="382">
        <v>1</v>
      </c>
      <c r="CN8" s="382">
        <v>1</v>
      </c>
      <c r="CO8" s="382">
        <v>4</v>
      </c>
      <c r="CP8" s="382">
        <v>6</v>
      </c>
      <c r="CQ8" s="382">
        <v>3</v>
      </c>
      <c r="CR8" s="382">
        <v>2</v>
      </c>
      <c r="CS8" s="382">
        <v>3</v>
      </c>
      <c r="CT8" s="382">
        <v>6</v>
      </c>
      <c r="CU8" s="382">
        <v>4</v>
      </c>
      <c r="CV8" s="25">
        <f t="shared" si="9"/>
        <v>0</v>
      </c>
      <c r="CW8" s="25">
        <f t="shared" si="10"/>
        <v>0</v>
      </c>
      <c r="CX8" s="25">
        <f t="shared" si="11"/>
        <v>2</v>
      </c>
      <c r="CY8" s="25">
        <f t="shared" si="12"/>
        <v>15</v>
      </c>
      <c r="CZ8" s="25">
        <f t="shared" si="13"/>
        <v>13</v>
      </c>
      <c r="DA8" s="383">
        <v>0</v>
      </c>
      <c r="DB8" s="383">
        <v>0</v>
      </c>
      <c r="DC8" s="383">
        <v>0</v>
      </c>
      <c r="DD8" s="383">
        <v>0</v>
      </c>
      <c r="DE8" s="383">
        <v>0</v>
      </c>
      <c r="DF8" s="383">
        <v>0</v>
      </c>
      <c r="DG8" s="383">
        <v>0</v>
      </c>
      <c r="DH8" s="383">
        <v>0</v>
      </c>
      <c r="DI8" s="383">
        <v>0</v>
      </c>
      <c r="DJ8" s="383">
        <v>0</v>
      </c>
      <c r="DK8" s="383">
        <v>4</v>
      </c>
      <c r="DL8" s="383">
        <v>4</v>
      </c>
      <c r="DM8" s="383">
        <v>5</v>
      </c>
      <c r="DN8" s="383">
        <v>4</v>
      </c>
      <c r="DO8" s="383">
        <v>2</v>
      </c>
      <c r="DP8" s="383">
        <v>2</v>
      </c>
      <c r="DQ8" s="383">
        <v>4</v>
      </c>
      <c r="DR8" s="383">
        <v>4</v>
      </c>
      <c r="DS8" s="91">
        <f t="shared" si="19"/>
        <v>0</v>
      </c>
      <c r="DT8" s="91">
        <f t="shared" si="20"/>
        <v>0</v>
      </c>
      <c r="DU8" s="91">
        <f t="shared" si="21"/>
        <v>4</v>
      </c>
      <c r="DV8" s="91">
        <f t="shared" si="22"/>
        <v>15</v>
      </c>
      <c r="DW8" s="91">
        <f t="shared" si="23"/>
        <v>10</v>
      </c>
      <c r="DX8" s="384">
        <v>31</v>
      </c>
      <c r="DY8" s="384">
        <v>23</v>
      </c>
      <c r="DZ8" s="384">
        <v>11</v>
      </c>
      <c r="EA8" s="384">
        <v>41</v>
      </c>
      <c r="EB8">
        <v>16.7</v>
      </c>
      <c r="EC8">
        <v>13.3</v>
      </c>
    </row>
    <row r="9" spans="1:133" ht="12.95" customHeight="1">
      <c r="A9" s="2">
        <v>6</v>
      </c>
      <c r="B9" s="3" t="s">
        <v>43</v>
      </c>
      <c r="C9" s="3" t="s">
        <v>44</v>
      </c>
      <c r="D9" s="4">
        <f t="shared" si="0"/>
        <v>467</v>
      </c>
      <c r="E9" s="4">
        <f t="shared" si="1"/>
        <v>413</v>
      </c>
      <c r="F9" s="305">
        <v>0</v>
      </c>
      <c r="G9" s="375">
        <v>57</v>
      </c>
      <c r="H9" s="375">
        <v>60</v>
      </c>
      <c r="I9" s="375">
        <v>59</v>
      </c>
      <c r="J9" s="375">
        <v>126</v>
      </c>
      <c r="K9" s="375">
        <v>165</v>
      </c>
      <c r="L9" s="376">
        <v>355</v>
      </c>
      <c r="M9" s="376">
        <v>3</v>
      </c>
      <c r="N9" s="376">
        <v>22</v>
      </c>
      <c r="O9" s="376">
        <v>82</v>
      </c>
      <c r="P9" s="376">
        <v>7</v>
      </c>
      <c r="Q9" s="377">
        <v>0</v>
      </c>
      <c r="R9" s="377">
        <v>0</v>
      </c>
      <c r="S9" s="377">
        <v>0</v>
      </c>
      <c r="T9" s="377">
        <v>0</v>
      </c>
      <c r="U9" s="377">
        <v>1</v>
      </c>
      <c r="V9" s="377">
        <v>0</v>
      </c>
      <c r="W9" s="377">
        <v>1</v>
      </c>
      <c r="X9" s="377">
        <v>4</v>
      </c>
      <c r="Y9" s="377">
        <v>9</v>
      </c>
      <c r="Z9" s="377">
        <v>21</v>
      </c>
      <c r="AA9" s="377">
        <v>37</v>
      </c>
      <c r="AB9" s="377">
        <v>39</v>
      </c>
      <c r="AC9" s="377">
        <v>79</v>
      </c>
      <c r="AD9" s="377">
        <v>43</v>
      </c>
      <c r="AE9" s="377">
        <v>81</v>
      </c>
      <c r="AF9" s="377">
        <v>65</v>
      </c>
      <c r="AG9" s="377">
        <v>50</v>
      </c>
      <c r="AH9" s="377">
        <v>37</v>
      </c>
      <c r="AI9" s="24">
        <f t="shared" si="2"/>
        <v>0</v>
      </c>
      <c r="AJ9" s="24">
        <f t="shared" si="3"/>
        <v>1</v>
      </c>
      <c r="AK9" s="24">
        <f t="shared" si="4"/>
        <v>72</v>
      </c>
      <c r="AL9" s="24">
        <f t="shared" si="5"/>
        <v>242</v>
      </c>
      <c r="AM9" s="24">
        <f t="shared" si="6"/>
        <v>152</v>
      </c>
      <c r="AN9" s="378">
        <v>0</v>
      </c>
      <c r="AO9" s="378">
        <v>0</v>
      </c>
      <c r="AP9" s="378">
        <v>0</v>
      </c>
      <c r="AQ9" s="378">
        <v>0</v>
      </c>
      <c r="AR9" s="378">
        <v>1</v>
      </c>
      <c r="AS9" s="378">
        <v>0</v>
      </c>
      <c r="AT9" s="378">
        <v>2</v>
      </c>
      <c r="AU9" s="378">
        <v>4</v>
      </c>
      <c r="AV9" s="378">
        <v>6</v>
      </c>
      <c r="AW9" s="378">
        <v>12</v>
      </c>
      <c r="AX9" s="378">
        <v>30</v>
      </c>
      <c r="AY9" s="378">
        <v>36</v>
      </c>
      <c r="AZ9" s="378">
        <v>53</v>
      </c>
      <c r="BA9" s="378">
        <v>45</v>
      </c>
      <c r="BB9" s="378">
        <v>78</v>
      </c>
      <c r="BC9" s="378">
        <v>62</v>
      </c>
      <c r="BD9" s="378">
        <v>47</v>
      </c>
      <c r="BE9" s="378">
        <v>37</v>
      </c>
      <c r="BF9" s="90">
        <f t="shared" si="14"/>
        <v>0</v>
      </c>
      <c r="BG9" s="90">
        <f t="shared" si="15"/>
        <v>1</v>
      </c>
      <c r="BH9" s="90">
        <f t="shared" si="16"/>
        <v>54</v>
      </c>
      <c r="BI9" s="90">
        <f t="shared" si="17"/>
        <v>212</v>
      </c>
      <c r="BJ9" s="90">
        <f t="shared" si="18"/>
        <v>146</v>
      </c>
      <c r="BK9" s="379">
        <v>1312</v>
      </c>
      <c r="BL9" s="379">
        <v>854</v>
      </c>
      <c r="BM9" s="379">
        <v>526</v>
      </c>
      <c r="BN9" s="379">
        <v>1506</v>
      </c>
      <c r="BO9" s="385">
        <v>38.6</v>
      </c>
      <c r="BP9" s="385">
        <v>18.8</v>
      </c>
      <c r="BQ9" s="5">
        <f t="shared" si="7"/>
        <v>353</v>
      </c>
      <c r="BR9" s="5">
        <f t="shared" si="8"/>
        <v>285</v>
      </c>
      <c r="BS9" s="302">
        <v>0</v>
      </c>
      <c r="BT9" s="380">
        <v>37</v>
      </c>
      <c r="BU9" s="380">
        <v>45</v>
      </c>
      <c r="BV9" s="380">
        <v>43</v>
      </c>
      <c r="BW9" s="380">
        <v>107</v>
      </c>
      <c r="BX9" s="380">
        <v>121</v>
      </c>
      <c r="BY9" s="381">
        <v>263</v>
      </c>
      <c r="BZ9" s="381">
        <v>0</v>
      </c>
      <c r="CA9" s="381">
        <v>16</v>
      </c>
      <c r="CB9" s="381">
        <v>74</v>
      </c>
      <c r="CC9" s="381">
        <v>0</v>
      </c>
      <c r="CD9" s="382">
        <v>0</v>
      </c>
      <c r="CE9" s="382">
        <v>0</v>
      </c>
      <c r="CF9" s="382">
        <v>0</v>
      </c>
      <c r="CG9" s="382">
        <v>0</v>
      </c>
      <c r="CH9" s="382">
        <v>2</v>
      </c>
      <c r="CI9" s="382">
        <v>3</v>
      </c>
      <c r="CJ9" s="382">
        <v>3</v>
      </c>
      <c r="CK9" s="382">
        <v>11</v>
      </c>
      <c r="CL9" s="382">
        <v>8</v>
      </c>
      <c r="CM9" s="382">
        <v>9</v>
      </c>
      <c r="CN9" s="382">
        <v>24</v>
      </c>
      <c r="CO9" s="382">
        <v>22</v>
      </c>
      <c r="CP9" s="382">
        <v>28</v>
      </c>
      <c r="CQ9" s="382">
        <v>36</v>
      </c>
      <c r="CR9" s="382">
        <v>48</v>
      </c>
      <c r="CS9" s="382">
        <v>57</v>
      </c>
      <c r="CT9" s="382">
        <v>50</v>
      </c>
      <c r="CU9" s="382">
        <v>52</v>
      </c>
      <c r="CV9" s="25">
        <f t="shared" si="9"/>
        <v>0</v>
      </c>
      <c r="CW9" s="25">
        <f t="shared" si="10"/>
        <v>5</v>
      </c>
      <c r="CX9" s="25">
        <f t="shared" si="11"/>
        <v>55</v>
      </c>
      <c r="CY9" s="25">
        <f t="shared" si="12"/>
        <v>134</v>
      </c>
      <c r="CZ9" s="25">
        <f t="shared" si="13"/>
        <v>159</v>
      </c>
      <c r="DA9" s="383">
        <v>0</v>
      </c>
      <c r="DB9" s="383">
        <v>0</v>
      </c>
      <c r="DC9" s="383">
        <v>0</v>
      </c>
      <c r="DD9" s="383">
        <v>0</v>
      </c>
      <c r="DE9" s="383">
        <v>2</v>
      </c>
      <c r="DF9" s="383">
        <v>0</v>
      </c>
      <c r="DG9" s="383">
        <v>5</v>
      </c>
      <c r="DH9" s="383">
        <v>4</v>
      </c>
      <c r="DI9" s="383">
        <v>2</v>
      </c>
      <c r="DJ9" s="383">
        <v>7</v>
      </c>
      <c r="DK9" s="383">
        <v>16</v>
      </c>
      <c r="DL9" s="383">
        <v>22</v>
      </c>
      <c r="DM9" s="383">
        <v>23</v>
      </c>
      <c r="DN9" s="383">
        <v>35</v>
      </c>
      <c r="DO9" s="383">
        <v>39</v>
      </c>
      <c r="DP9" s="383">
        <v>45</v>
      </c>
      <c r="DQ9" s="383">
        <v>42</v>
      </c>
      <c r="DR9" s="383">
        <v>43</v>
      </c>
      <c r="DS9" s="91">
        <f t="shared" si="19"/>
        <v>0</v>
      </c>
      <c r="DT9" s="91">
        <f t="shared" si="20"/>
        <v>2</v>
      </c>
      <c r="DU9" s="91">
        <f t="shared" si="21"/>
        <v>34</v>
      </c>
      <c r="DV9" s="91">
        <f t="shared" si="22"/>
        <v>119</v>
      </c>
      <c r="DW9" s="91">
        <f t="shared" si="23"/>
        <v>130</v>
      </c>
      <c r="DX9" s="384">
        <v>1258</v>
      </c>
      <c r="DY9" s="384">
        <v>878</v>
      </c>
      <c r="DZ9" s="384">
        <v>566</v>
      </c>
      <c r="EA9" s="384">
        <v>1403</v>
      </c>
      <c r="EB9">
        <v>46.6</v>
      </c>
      <c r="EC9">
        <v>28.1</v>
      </c>
    </row>
    <row r="10" spans="1:133" ht="12.95" customHeight="1">
      <c r="A10" s="12">
        <v>7</v>
      </c>
      <c r="B10" s="3" t="s">
        <v>45</v>
      </c>
      <c r="C10" s="3" t="s">
        <v>46</v>
      </c>
      <c r="D10" s="4">
        <f t="shared" si="0"/>
        <v>403</v>
      </c>
      <c r="E10" s="4">
        <f t="shared" si="1"/>
        <v>248</v>
      </c>
      <c r="F10" s="305">
        <v>0</v>
      </c>
      <c r="G10" s="375">
        <v>37</v>
      </c>
      <c r="H10" s="375">
        <v>124</v>
      </c>
      <c r="I10" s="375">
        <v>60</v>
      </c>
      <c r="J10" s="375">
        <v>68</v>
      </c>
      <c r="K10" s="375">
        <v>114</v>
      </c>
      <c r="L10" s="376">
        <v>297</v>
      </c>
      <c r="M10" s="376">
        <v>1</v>
      </c>
      <c r="N10" s="376">
        <v>19</v>
      </c>
      <c r="O10" s="376">
        <v>84</v>
      </c>
      <c r="P10" s="376">
        <v>4</v>
      </c>
      <c r="Q10" s="377">
        <v>0</v>
      </c>
      <c r="R10" s="377">
        <v>0</v>
      </c>
      <c r="S10" s="377">
        <v>0</v>
      </c>
      <c r="T10" s="377">
        <v>0</v>
      </c>
      <c r="U10" s="377">
        <v>1</v>
      </c>
      <c r="V10" s="377">
        <v>0</v>
      </c>
      <c r="W10" s="377">
        <v>1</v>
      </c>
      <c r="X10" s="377">
        <v>4</v>
      </c>
      <c r="Y10" s="377">
        <v>5</v>
      </c>
      <c r="Z10" s="377">
        <v>5</v>
      </c>
      <c r="AA10" s="377">
        <v>12</v>
      </c>
      <c r="AB10" s="377">
        <v>35</v>
      </c>
      <c r="AC10" s="377">
        <v>40</v>
      </c>
      <c r="AD10" s="377">
        <v>71</v>
      </c>
      <c r="AE10" s="377">
        <v>74</v>
      </c>
      <c r="AF10" s="377">
        <v>62</v>
      </c>
      <c r="AG10" s="377">
        <v>45</v>
      </c>
      <c r="AH10" s="377">
        <v>48</v>
      </c>
      <c r="AI10" s="24">
        <f t="shared" si="2"/>
        <v>0</v>
      </c>
      <c r="AJ10" s="24">
        <f t="shared" si="3"/>
        <v>1</v>
      </c>
      <c r="AK10" s="24">
        <f t="shared" si="4"/>
        <v>27</v>
      </c>
      <c r="AL10" s="24">
        <f t="shared" si="5"/>
        <v>220</v>
      </c>
      <c r="AM10" s="24">
        <f t="shared" si="6"/>
        <v>155</v>
      </c>
      <c r="AN10" s="378">
        <v>0</v>
      </c>
      <c r="AO10" s="378">
        <v>0</v>
      </c>
      <c r="AP10" s="378">
        <v>0</v>
      </c>
      <c r="AQ10" s="378">
        <v>0</v>
      </c>
      <c r="AR10" s="378">
        <v>0</v>
      </c>
      <c r="AS10" s="378">
        <v>0</v>
      </c>
      <c r="AT10" s="378">
        <v>1</v>
      </c>
      <c r="AU10" s="378">
        <v>0</v>
      </c>
      <c r="AV10" s="378">
        <v>2</v>
      </c>
      <c r="AW10" s="378">
        <v>4</v>
      </c>
      <c r="AX10" s="378">
        <v>5</v>
      </c>
      <c r="AY10" s="378">
        <v>18</v>
      </c>
      <c r="AZ10" s="378">
        <v>26</v>
      </c>
      <c r="BA10" s="378">
        <v>30</v>
      </c>
      <c r="BB10" s="378">
        <v>46</v>
      </c>
      <c r="BC10" s="378">
        <v>36</v>
      </c>
      <c r="BD10" s="378">
        <v>46</v>
      </c>
      <c r="BE10" s="378">
        <v>34</v>
      </c>
      <c r="BF10" s="90">
        <f t="shared" si="14"/>
        <v>0</v>
      </c>
      <c r="BG10" s="90">
        <f t="shared" si="15"/>
        <v>0</v>
      </c>
      <c r="BH10" s="90">
        <f t="shared" si="16"/>
        <v>12</v>
      </c>
      <c r="BI10" s="90">
        <f t="shared" si="17"/>
        <v>120</v>
      </c>
      <c r="BJ10" s="90">
        <f t="shared" si="18"/>
        <v>116</v>
      </c>
      <c r="BK10" s="379">
        <v>1714</v>
      </c>
      <c r="BL10" s="379">
        <v>1027</v>
      </c>
      <c r="BM10" s="379">
        <v>529</v>
      </c>
      <c r="BN10" s="379">
        <v>1913</v>
      </c>
      <c r="BO10" s="385">
        <v>66.400000000000006</v>
      </c>
      <c r="BP10" s="385">
        <v>49.9</v>
      </c>
      <c r="BQ10" s="5">
        <f t="shared" si="7"/>
        <v>468</v>
      </c>
      <c r="BR10" s="5">
        <f t="shared" si="8"/>
        <v>252</v>
      </c>
      <c r="BS10" s="302">
        <v>0</v>
      </c>
      <c r="BT10" s="380">
        <v>51</v>
      </c>
      <c r="BU10" s="380">
        <v>123</v>
      </c>
      <c r="BV10" s="380">
        <v>113</v>
      </c>
      <c r="BW10" s="380">
        <v>77</v>
      </c>
      <c r="BX10" s="380">
        <v>104</v>
      </c>
      <c r="BY10" s="381">
        <v>375</v>
      </c>
      <c r="BZ10" s="381">
        <v>0</v>
      </c>
      <c r="CA10" s="381">
        <v>20</v>
      </c>
      <c r="CB10" s="381">
        <v>72</v>
      </c>
      <c r="CC10" s="381">
        <v>1</v>
      </c>
      <c r="CD10" s="382">
        <v>0</v>
      </c>
      <c r="CE10" s="382">
        <v>0</v>
      </c>
      <c r="CF10" s="382">
        <v>0</v>
      </c>
      <c r="CG10" s="382">
        <v>1</v>
      </c>
      <c r="CH10" s="382">
        <v>1</v>
      </c>
      <c r="CI10" s="382">
        <v>0</v>
      </c>
      <c r="CJ10" s="382">
        <v>0</v>
      </c>
      <c r="CK10" s="382">
        <v>2</v>
      </c>
      <c r="CL10" s="382">
        <v>5</v>
      </c>
      <c r="CM10" s="382">
        <v>13</v>
      </c>
      <c r="CN10" s="382">
        <v>20</v>
      </c>
      <c r="CO10" s="382">
        <v>32</v>
      </c>
      <c r="CP10" s="382">
        <v>63</v>
      </c>
      <c r="CQ10" s="382">
        <v>49</v>
      </c>
      <c r="CR10" s="382">
        <v>78</v>
      </c>
      <c r="CS10" s="382">
        <v>80</v>
      </c>
      <c r="CT10" s="382">
        <v>69</v>
      </c>
      <c r="CU10" s="382">
        <v>55</v>
      </c>
      <c r="CV10" s="25">
        <f t="shared" si="9"/>
        <v>0</v>
      </c>
      <c r="CW10" s="25">
        <f t="shared" si="10"/>
        <v>2</v>
      </c>
      <c r="CX10" s="25">
        <f t="shared" si="11"/>
        <v>40</v>
      </c>
      <c r="CY10" s="25">
        <f t="shared" si="12"/>
        <v>222</v>
      </c>
      <c r="CZ10" s="25">
        <f t="shared" si="13"/>
        <v>204</v>
      </c>
      <c r="DA10" s="383">
        <v>0</v>
      </c>
      <c r="DB10" s="383">
        <v>0</v>
      </c>
      <c r="DC10" s="383">
        <v>0</v>
      </c>
      <c r="DD10" s="383">
        <v>0</v>
      </c>
      <c r="DE10" s="383">
        <v>1</v>
      </c>
      <c r="DF10" s="383">
        <v>0</v>
      </c>
      <c r="DG10" s="383">
        <v>1</v>
      </c>
      <c r="DH10" s="383">
        <v>0</v>
      </c>
      <c r="DI10" s="383">
        <v>2</v>
      </c>
      <c r="DJ10" s="383">
        <v>5</v>
      </c>
      <c r="DK10" s="383">
        <v>10</v>
      </c>
      <c r="DL10" s="383">
        <v>13</v>
      </c>
      <c r="DM10" s="383">
        <v>14</v>
      </c>
      <c r="DN10" s="383">
        <v>20</v>
      </c>
      <c r="DO10" s="383">
        <v>31</v>
      </c>
      <c r="DP10" s="383">
        <v>43</v>
      </c>
      <c r="DQ10" s="383">
        <v>63</v>
      </c>
      <c r="DR10" s="383">
        <v>49</v>
      </c>
      <c r="DS10" s="91">
        <f t="shared" si="19"/>
        <v>0</v>
      </c>
      <c r="DT10" s="91">
        <f t="shared" si="20"/>
        <v>1</v>
      </c>
      <c r="DU10" s="91">
        <f t="shared" si="21"/>
        <v>18</v>
      </c>
      <c r="DV10" s="91">
        <f t="shared" si="22"/>
        <v>78</v>
      </c>
      <c r="DW10" s="91">
        <f t="shared" si="23"/>
        <v>155</v>
      </c>
      <c r="DX10" s="384">
        <v>2396</v>
      </c>
      <c r="DY10" s="384">
        <v>1488</v>
      </c>
      <c r="DZ10" s="384">
        <v>880</v>
      </c>
      <c r="EA10" s="384">
        <v>2659</v>
      </c>
      <c r="EB10">
        <v>65.5</v>
      </c>
      <c r="EC10">
        <v>48.5</v>
      </c>
    </row>
    <row r="11" spans="1:133" ht="12.95" customHeight="1">
      <c r="A11" s="2">
        <v>8</v>
      </c>
      <c r="B11" s="3" t="s">
        <v>47</v>
      </c>
      <c r="C11" s="3" t="s">
        <v>48</v>
      </c>
      <c r="D11" s="4">
        <f t="shared" si="0"/>
        <v>351</v>
      </c>
      <c r="E11" s="4">
        <f t="shared" si="1"/>
        <v>247</v>
      </c>
      <c r="F11" s="305">
        <v>0</v>
      </c>
      <c r="G11" s="375">
        <v>46</v>
      </c>
      <c r="H11" s="375">
        <v>62</v>
      </c>
      <c r="I11" s="375">
        <v>101</v>
      </c>
      <c r="J11" s="375">
        <v>61</v>
      </c>
      <c r="K11" s="375">
        <v>81</v>
      </c>
      <c r="L11" s="376">
        <v>281</v>
      </c>
      <c r="M11" s="376">
        <v>3</v>
      </c>
      <c r="N11" s="376">
        <v>7</v>
      </c>
      <c r="O11" s="376">
        <v>59</v>
      </c>
      <c r="P11" s="376">
        <v>2</v>
      </c>
      <c r="Q11" s="377">
        <v>0</v>
      </c>
      <c r="R11" s="377">
        <v>0</v>
      </c>
      <c r="S11" s="377">
        <v>0</v>
      </c>
      <c r="T11" s="377">
        <v>0</v>
      </c>
      <c r="U11" s="377">
        <v>0</v>
      </c>
      <c r="V11" s="377">
        <v>0</v>
      </c>
      <c r="W11" s="377">
        <v>0</v>
      </c>
      <c r="X11" s="377">
        <v>2</v>
      </c>
      <c r="Y11" s="377">
        <v>1</v>
      </c>
      <c r="Z11" s="377">
        <v>11</v>
      </c>
      <c r="AA11" s="377">
        <v>22</v>
      </c>
      <c r="AB11" s="377">
        <v>30</v>
      </c>
      <c r="AC11" s="377">
        <v>41</v>
      </c>
      <c r="AD11" s="377">
        <v>47</v>
      </c>
      <c r="AE11" s="377">
        <v>64</v>
      </c>
      <c r="AF11" s="377">
        <v>60</v>
      </c>
      <c r="AG11" s="377">
        <v>46</v>
      </c>
      <c r="AH11" s="377">
        <v>27</v>
      </c>
      <c r="AI11" s="24">
        <f t="shared" si="2"/>
        <v>0</v>
      </c>
      <c r="AJ11" s="24">
        <f t="shared" si="3"/>
        <v>0</v>
      </c>
      <c r="AK11" s="24">
        <f t="shared" si="4"/>
        <v>36</v>
      </c>
      <c r="AL11" s="24">
        <f t="shared" si="5"/>
        <v>182</v>
      </c>
      <c r="AM11" s="24">
        <f t="shared" si="6"/>
        <v>133</v>
      </c>
      <c r="AN11" s="378">
        <v>0</v>
      </c>
      <c r="AO11" s="378">
        <v>0</v>
      </c>
      <c r="AP11" s="378">
        <v>0</v>
      </c>
      <c r="AQ11" s="378">
        <v>0</v>
      </c>
      <c r="AR11" s="378">
        <v>0</v>
      </c>
      <c r="AS11" s="378">
        <v>0</v>
      </c>
      <c r="AT11" s="378">
        <v>0</v>
      </c>
      <c r="AU11" s="378">
        <v>1</v>
      </c>
      <c r="AV11" s="378">
        <v>2</v>
      </c>
      <c r="AW11" s="378">
        <v>6</v>
      </c>
      <c r="AX11" s="378">
        <v>9</v>
      </c>
      <c r="AY11" s="378">
        <v>20</v>
      </c>
      <c r="AZ11" s="378">
        <v>15</v>
      </c>
      <c r="BA11" s="378">
        <v>37</v>
      </c>
      <c r="BB11" s="378">
        <v>45</v>
      </c>
      <c r="BC11" s="378">
        <v>52</v>
      </c>
      <c r="BD11" s="378">
        <v>34</v>
      </c>
      <c r="BE11" s="378">
        <v>26</v>
      </c>
      <c r="BF11" s="90">
        <f t="shared" si="14"/>
        <v>0</v>
      </c>
      <c r="BG11" s="90">
        <f t="shared" si="15"/>
        <v>0</v>
      </c>
      <c r="BH11" s="90">
        <f t="shared" si="16"/>
        <v>18</v>
      </c>
      <c r="BI11" s="90">
        <f t="shared" si="17"/>
        <v>117</v>
      </c>
      <c r="BJ11" s="90">
        <f t="shared" si="18"/>
        <v>112</v>
      </c>
      <c r="BK11" s="379">
        <v>1589</v>
      </c>
      <c r="BL11" s="379">
        <v>979</v>
      </c>
      <c r="BM11" s="379">
        <v>466</v>
      </c>
      <c r="BN11" s="379">
        <v>1784</v>
      </c>
      <c r="BO11" s="385">
        <v>69.900000000000006</v>
      </c>
      <c r="BP11" s="385">
        <v>5</v>
      </c>
      <c r="BQ11" s="5">
        <f t="shared" si="7"/>
        <v>327</v>
      </c>
      <c r="BR11" s="5">
        <f t="shared" si="8"/>
        <v>184</v>
      </c>
      <c r="BS11" s="302">
        <v>0</v>
      </c>
      <c r="BT11" s="380">
        <v>51</v>
      </c>
      <c r="BU11" s="380">
        <v>64</v>
      </c>
      <c r="BV11" s="380">
        <v>84</v>
      </c>
      <c r="BW11" s="380">
        <v>44</v>
      </c>
      <c r="BX11" s="380">
        <v>84</v>
      </c>
      <c r="BY11" s="381">
        <v>253</v>
      </c>
      <c r="BZ11" s="381">
        <v>1</v>
      </c>
      <c r="CA11" s="381">
        <v>14</v>
      </c>
      <c r="CB11" s="381">
        <v>57</v>
      </c>
      <c r="CC11" s="381">
        <v>2</v>
      </c>
      <c r="CD11" s="382">
        <v>0</v>
      </c>
      <c r="CE11" s="382">
        <v>0</v>
      </c>
      <c r="CF11" s="382">
        <v>0</v>
      </c>
      <c r="CG11" s="382">
        <v>0</v>
      </c>
      <c r="CH11" s="382">
        <v>0</v>
      </c>
      <c r="CI11" s="382">
        <v>0</v>
      </c>
      <c r="CJ11" s="382">
        <v>4</v>
      </c>
      <c r="CK11" s="382">
        <v>2</v>
      </c>
      <c r="CL11" s="382">
        <v>3</v>
      </c>
      <c r="CM11" s="382">
        <v>15</v>
      </c>
      <c r="CN11" s="382">
        <v>34</v>
      </c>
      <c r="CO11" s="382">
        <v>27</v>
      </c>
      <c r="CP11" s="382">
        <v>38</v>
      </c>
      <c r="CQ11" s="382">
        <v>25</v>
      </c>
      <c r="CR11" s="382">
        <v>41</v>
      </c>
      <c r="CS11" s="382">
        <v>52</v>
      </c>
      <c r="CT11" s="382">
        <v>45</v>
      </c>
      <c r="CU11" s="382">
        <v>41</v>
      </c>
      <c r="CV11" s="25">
        <f t="shared" si="9"/>
        <v>0</v>
      </c>
      <c r="CW11" s="25">
        <f t="shared" si="10"/>
        <v>0</v>
      </c>
      <c r="CX11" s="25">
        <f t="shared" si="11"/>
        <v>58</v>
      </c>
      <c r="CY11" s="25">
        <f t="shared" si="12"/>
        <v>131</v>
      </c>
      <c r="CZ11" s="25">
        <f t="shared" si="13"/>
        <v>138</v>
      </c>
      <c r="DA11" s="383">
        <v>0</v>
      </c>
      <c r="DB11" s="383">
        <v>0</v>
      </c>
      <c r="DC11" s="383">
        <v>0</v>
      </c>
      <c r="DD11" s="383">
        <v>0</v>
      </c>
      <c r="DE11" s="383">
        <v>0</v>
      </c>
      <c r="DF11" s="383">
        <v>0</v>
      </c>
      <c r="DG11" s="383">
        <v>0</v>
      </c>
      <c r="DH11" s="383">
        <v>1</v>
      </c>
      <c r="DI11" s="383">
        <v>0</v>
      </c>
      <c r="DJ11" s="383">
        <v>6</v>
      </c>
      <c r="DK11" s="383">
        <v>3</v>
      </c>
      <c r="DL11" s="383">
        <v>14</v>
      </c>
      <c r="DM11" s="383">
        <v>17</v>
      </c>
      <c r="DN11" s="383">
        <v>15</v>
      </c>
      <c r="DO11" s="383">
        <v>18</v>
      </c>
      <c r="DP11" s="383">
        <v>33</v>
      </c>
      <c r="DQ11" s="383">
        <v>40</v>
      </c>
      <c r="DR11" s="383">
        <v>37</v>
      </c>
      <c r="DS11" s="91">
        <f t="shared" si="19"/>
        <v>0</v>
      </c>
      <c r="DT11" s="91">
        <f t="shared" si="20"/>
        <v>0</v>
      </c>
      <c r="DU11" s="91">
        <f t="shared" si="21"/>
        <v>10</v>
      </c>
      <c r="DV11" s="91">
        <f t="shared" si="22"/>
        <v>64</v>
      </c>
      <c r="DW11" s="91">
        <f t="shared" si="23"/>
        <v>110</v>
      </c>
      <c r="DX11" s="384">
        <v>1859</v>
      </c>
      <c r="DY11" s="384">
        <v>1196</v>
      </c>
      <c r="DZ11" s="384">
        <v>666</v>
      </c>
      <c r="EA11" s="384">
        <v>2068</v>
      </c>
      <c r="EB11">
        <v>71.7</v>
      </c>
      <c r="EC11">
        <v>50</v>
      </c>
    </row>
    <row r="12" spans="1:133" ht="12.95" customHeight="1">
      <c r="A12" s="12">
        <v>9</v>
      </c>
      <c r="B12" s="3" t="s">
        <v>49</v>
      </c>
      <c r="C12" s="3" t="s">
        <v>50</v>
      </c>
      <c r="D12" s="4">
        <f t="shared" si="0"/>
        <v>137</v>
      </c>
      <c r="E12" s="4">
        <f t="shared" si="1"/>
        <v>113</v>
      </c>
      <c r="F12" s="305">
        <v>0</v>
      </c>
      <c r="G12" s="375">
        <v>12</v>
      </c>
      <c r="H12" s="375">
        <v>16</v>
      </c>
      <c r="I12" s="375">
        <v>15</v>
      </c>
      <c r="J12" s="375">
        <v>30</v>
      </c>
      <c r="K12" s="375">
        <v>64</v>
      </c>
      <c r="L12" s="376">
        <v>62</v>
      </c>
      <c r="M12" s="376">
        <v>0</v>
      </c>
      <c r="N12" s="376">
        <v>28</v>
      </c>
      <c r="O12" s="376">
        <v>45</v>
      </c>
      <c r="P12" s="376">
        <v>2</v>
      </c>
      <c r="Q12" s="377">
        <v>0</v>
      </c>
      <c r="R12" s="377">
        <v>0</v>
      </c>
      <c r="S12" s="377">
        <v>0</v>
      </c>
      <c r="T12" s="377">
        <v>0</v>
      </c>
      <c r="U12" s="377">
        <v>0</v>
      </c>
      <c r="V12" s="377">
        <v>0</v>
      </c>
      <c r="W12" s="377">
        <v>1</v>
      </c>
      <c r="X12" s="377">
        <v>0</v>
      </c>
      <c r="Y12" s="377">
        <v>3</v>
      </c>
      <c r="Z12" s="377">
        <v>9</v>
      </c>
      <c r="AA12" s="377">
        <v>14</v>
      </c>
      <c r="AB12" s="377">
        <v>20</v>
      </c>
      <c r="AC12" s="377">
        <v>11</v>
      </c>
      <c r="AD12" s="377">
        <v>22</v>
      </c>
      <c r="AE12" s="377">
        <v>21</v>
      </c>
      <c r="AF12" s="377">
        <v>18</v>
      </c>
      <c r="AG12" s="377">
        <v>8</v>
      </c>
      <c r="AH12" s="377">
        <v>10</v>
      </c>
      <c r="AI12" s="24">
        <f t="shared" si="2"/>
        <v>0</v>
      </c>
      <c r="AJ12" s="24">
        <f t="shared" si="3"/>
        <v>0</v>
      </c>
      <c r="AK12" s="24">
        <f t="shared" si="4"/>
        <v>27</v>
      </c>
      <c r="AL12" s="24">
        <f t="shared" si="5"/>
        <v>74</v>
      </c>
      <c r="AM12" s="24">
        <f t="shared" si="6"/>
        <v>36</v>
      </c>
      <c r="AN12" s="378">
        <v>0</v>
      </c>
      <c r="AO12" s="378">
        <v>0</v>
      </c>
      <c r="AP12" s="378">
        <v>0</v>
      </c>
      <c r="AQ12" s="378">
        <v>0</v>
      </c>
      <c r="AR12" s="378">
        <v>0</v>
      </c>
      <c r="AS12" s="378">
        <v>0</v>
      </c>
      <c r="AT12" s="378">
        <v>0</v>
      </c>
      <c r="AU12" s="378">
        <v>1</v>
      </c>
      <c r="AV12" s="378">
        <v>2</v>
      </c>
      <c r="AW12" s="378">
        <v>4</v>
      </c>
      <c r="AX12" s="378">
        <v>9</v>
      </c>
      <c r="AY12" s="378">
        <v>16</v>
      </c>
      <c r="AZ12" s="378">
        <v>9</v>
      </c>
      <c r="BA12" s="378">
        <v>17</v>
      </c>
      <c r="BB12" s="378">
        <v>22</v>
      </c>
      <c r="BC12" s="378">
        <v>15</v>
      </c>
      <c r="BD12" s="378">
        <v>12</v>
      </c>
      <c r="BE12" s="378">
        <v>6</v>
      </c>
      <c r="BF12" s="90">
        <f t="shared" si="14"/>
        <v>0</v>
      </c>
      <c r="BG12" s="90">
        <f t="shared" si="15"/>
        <v>0</v>
      </c>
      <c r="BH12" s="90">
        <f t="shared" si="16"/>
        <v>16</v>
      </c>
      <c r="BI12" s="90">
        <f t="shared" si="17"/>
        <v>64</v>
      </c>
      <c r="BJ12" s="90">
        <f t="shared" si="18"/>
        <v>33</v>
      </c>
      <c r="BK12" s="379">
        <v>82</v>
      </c>
      <c r="BL12" s="379">
        <v>26</v>
      </c>
      <c r="BM12" s="379">
        <v>12</v>
      </c>
      <c r="BN12" s="379">
        <v>120</v>
      </c>
      <c r="BO12" s="385">
        <v>39.700000000000003</v>
      </c>
      <c r="BP12" s="385">
        <v>7.7</v>
      </c>
      <c r="BQ12" s="5">
        <f t="shared" si="7"/>
        <v>68</v>
      </c>
      <c r="BR12" s="5">
        <f t="shared" si="8"/>
        <v>79</v>
      </c>
      <c r="BS12" s="302">
        <v>0</v>
      </c>
      <c r="BT12" s="380">
        <v>5</v>
      </c>
      <c r="BU12" s="380">
        <v>7</v>
      </c>
      <c r="BV12" s="380">
        <v>6</v>
      </c>
      <c r="BW12" s="380">
        <v>18</v>
      </c>
      <c r="BX12" s="380">
        <v>32</v>
      </c>
      <c r="BY12" s="381">
        <v>28</v>
      </c>
      <c r="BZ12" s="381">
        <v>1</v>
      </c>
      <c r="CA12" s="381">
        <v>13</v>
      </c>
      <c r="CB12" s="381">
        <v>23</v>
      </c>
      <c r="CC12" s="381">
        <v>3</v>
      </c>
      <c r="CD12" s="382">
        <v>0</v>
      </c>
      <c r="CE12" s="382">
        <v>0</v>
      </c>
      <c r="CF12" s="382">
        <v>0</v>
      </c>
      <c r="CG12" s="382">
        <v>0</v>
      </c>
      <c r="CH12" s="382">
        <v>1</v>
      </c>
      <c r="CI12" s="382">
        <v>0</v>
      </c>
      <c r="CJ12" s="382">
        <v>0</v>
      </c>
      <c r="CK12" s="382">
        <v>1</v>
      </c>
      <c r="CL12" s="382">
        <v>1</v>
      </c>
      <c r="CM12" s="382">
        <v>1</v>
      </c>
      <c r="CN12" s="382">
        <v>7</v>
      </c>
      <c r="CO12" s="382">
        <v>5</v>
      </c>
      <c r="CP12" s="382">
        <v>6</v>
      </c>
      <c r="CQ12" s="382">
        <v>4</v>
      </c>
      <c r="CR12" s="382">
        <v>15</v>
      </c>
      <c r="CS12" s="382">
        <v>9</v>
      </c>
      <c r="CT12" s="382">
        <v>10</v>
      </c>
      <c r="CU12" s="382">
        <v>8</v>
      </c>
      <c r="CV12" s="25">
        <f t="shared" si="9"/>
        <v>0</v>
      </c>
      <c r="CW12" s="25">
        <f t="shared" si="10"/>
        <v>1</v>
      </c>
      <c r="CX12" s="25">
        <f t="shared" si="11"/>
        <v>10</v>
      </c>
      <c r="CY12" s="25">
        <f t="shared" si="12"/>
        <v>30</v>
      </c>
      <c r="CZ12" s="25">
        <f t="shared" si="13"/>
        <v>27</v>
      </c>
      <c r="DA12" s="383">
        <v>0</v>
      </c>
      <c r="DB12" s="383">
        <v>0</v>
      </c>
      <c r="DC12" s="383">
        <v>0</v>
      </c>
      <c r="DD12" s="383">
        <v>0</v>
      </c>
      <c r="DE12" s="383">
        <v>1</v>
      </c>
      <c r="DF12" s="383">
        <v>0</v>
      </c>
      <c r="DG12" s="383">
        <v>0</v>
      </c>
      <c r="DH12" s="383">
        <v>1</v>
      </c>
      <c r="DI12" s="383">
        <v>1</v>
      </c>
      <c r="DJ12" s="383">
        <v>1</v>
      </c>
      <c r="DK12" s="383">
        <v>6</v>
      </c>
      <c r="DL12" s="383">
        <v>8</v>
      </c>
      <c r="DM12" s="383">
        <v>8</v>
      </c>
      <c r="DN12" s="383">
        <v>1</v>
      </c>
      <c r="DO12" s="383">
        <v>13</v>
      </c>
      <c r="DP12" s="383">
        <v>9</v>
      </c>
      <c r="DQ12" s="383">
        <v>16</v>
      </c>
      <c r="DR12" s="383">
        <v>14</v>
      </c>
      <c r="DS12" s="91">
        <f t="shared" si="19"/>
        <v>0</v>
      </c>
      <c r="DT12" s="91">
        <f t="shared" si="20"/>
        <v>1</v>
      </c>
      <c r="DU12" s="91">
        <f t="shared" si="21"/>
        <v>9</v>
      </c>
      <c r="DV12" s="91">
        <f t="shared" si="22"/>
        <v>30</v>
      </c>
      <c r="DW12" s="91">
        <f t="shared" si="23"/>
        <v>39</v>
      </c>
      <c r="DX12" s="384">
        <v>66</v>
      </c>
      <c r="DY12" s="384">
        <v>37</v>
      </c>
      <c r="DZ12" s="384">
        <v>26</v>
      </c>
      <c r="EA12" s="384">
        <v>83</v>
      </c>
      <c r="EB12">
        <v>18.899999999999999</v>
      </c>
      <c r="EC12">
        <v>4.5</v>
      </c>
    </row>
    <row r="13" spans="1:133" ht="12.95" customHeight="1">
      <c r="A13" s="2">
        <v>10</v>
      </c>
      <c r="B13" s="3" t="s">
        <v>51</v>
      </c>
      <c r="C13" s="3" t="s">
        <v>52</v>
      </c>
      <c r="D13" s="4">
        <f t="shared" si="0"/>
        <v>49</v>
      </c>
      <c r="E13" s="4">
        <f t="shared" si="1"/>
        <v>36</v>
      </c>
      <c r="F13" s="305">
        <v>0</v>
      </c>
      <c r="G13" s="375">
        <v>5</v>
      </c>
      <c r="H13" s="375">
        <v>10</v>
      </c>
      <c r="I13" s="375">
        <v>5</v>
      </c>
      <c r="J13" s="375">
        <v>9</v>
      </c>
      <c r="K13" s="375">
        <v>20</v>
      </c>
      <c r="L13" s="376">
        <v>25</v>
      </c>
      <c r="M13" s="376">
        <v>0</v>
      </c>
      <c r="N13" s="376">
        <v>7</v>
      </c>
      <c r="O13" s="376">
        <v>17</v>
      </c>
      <c r="P13" s="376">
        <v>0</v>
      </c>
      <c r="Q13" s="377">
        <v>0</v>
      </c>
      <c r="R13" s="377">
        <v>0</v>
      </c>
      <c r="S13" s="377">
        <v>0</v>
      </c>
      <c r="T13" s="377">
        <v>0</v>
      </c>
      <c r="U13" s="377">
        <v>0</v>
      </c>
      <c r="V13" s="377">
        <v>0</v>
      </c>
      <c r="W13" s="377">
        <v>1</v>
      </c>
      <c r="X13" s="377">
        <v>0</v>
      </c>
      <c r="Y13" s="377">
        <v>0</v>
      </c>
      <c r="Z13" s="377">
        <v>2</v>
      </c>
      <c r="AA13" s="377">
        <v>0</v>
      </c>
      <c r="AB13" s="377">
        <v>8</v>
      </c>
      <c r="AC13" s="377">
        <v>5</v>
      </c>
      <c r="AD13" s="377">
        <v>5</v>
      </c>
      <c r="AE13" s="377">
        <v>8</v>
      </c>
      <c r="AF13" s="377">
        <v>8</v>
      </c>
      <c r="AG13" s="377">
        <v>8</v>
      </c>
      <c r="AH13" s="377">
        <v>4</v>
      </c>
      <c r="AI13" s="24">
        <f t="shared" si="2"/>
        <v>0</v>
      </c>
      <c r="AJ13" s="24">
        <f t="shared" si="3"/>
        <v>0</v>
      </c>
      <c r="AK13" s="24">
        <f t="shared" si="4"/>
        <v>3</v>
      </c>
      <c r="AL13" s="24">
        <f t="shared" si="5"/>
        <v>26</v>
      </c>
      <c r="AM13" s="24">
        <f t="shared" si="6"/>
        <v>20</v>
      </c>
      <c r="AN13" s="378">
        <v>0</v>
      </c>
      <c r="AO13" s="378">
        <v>0</v>
      </c>
      <c r="AP13" s="378">
        <v>0</v>
      </c>
      <c r="AQ13" s="378">
        <v>0</v>
      </c>
      <c r="AR13" s="378">
        <v>0</v>
      </c>
      <c r="AS13" s="378">
        <v>0</v>
      </c>
      <c r="AT13" s="378">
        <v>0</v>
      </c>
      <c r="AU13" s="378">
        <v>0</v>
      </c>
      <c r="AV13" s="378">
        <v>0</v>
      </c>
      <c r="AW13" s="378">
        <v>0</v>
      </c>
      <c r="AX13" s="378">
        <v>1</v>
      </c>
      <c r="AY13" s="378">
        <v>2</v>
      </c>
      <c r="AZ13" s="378">
        <v>5</v>
      </c>
      <c r="BA13" s="378">
        <v>4</v>
      </c>
      <c r="BB13" s="378">
        <v>8</v>
      </c>
      <c r="BC13" s="378">
        <v>6</v>
      </c>
      <c r="BD13" s="378">
        <v>7</v>
      </c>
      <c r="BE13" s="378">
        <v>3</v>
      </c>
      <c r="BF13" s="90">
        <f t="shared" si="14"/>
        <v>0</v>
      </c>
      <c r="BG13" s="90">
        <f t="shared" si="15"/>
        <v>0</v>
      </c>
      <c r="BH13" s="90">
        <f t="shared" si="16"/>
        <v>1</v>
      </c>
      <c r="BI13" s="90">
        <f t="shared" si="17"/>
        <v>19</v>
      </c>
      <c r="BJ13" s="90">
        <f t="shared" si="18"/>
        <v>16</v>
      </c>
      <c r="BK13" s="379">
        <v>67</v>
      </c>
      <c r="BL13" s="379">
        <v>39</v>
      </c>
      <c r="BM13" s="379">
        <v>17</v>
      </c>
      <c r="BN13" s="379">
        <v>88</v>
      </c>
      <c r="BO13" s="385">
        <v>36.200000000000003</v>
      </c>
      <c r="BP13" s="385">
        <v>36.5</v>
      </c>
      <c r="BQ13" s="5">
        <f t="shared" si="7"/>
        <v>90</v>
      </c>
      <c r="BR13" s="5">
        <f t="shared" si="8"/>
        <v>57</v>
      </c>
      <c r="BS13" s="302">
        <v>0</v>
      </c>
      <c r="BT13" s="380">
        <v>6</v>
      </c>
      <c r="BU13" s="380">
        <v>16</v>
      </c>
      <c r="BV13" s="380">
        <v>7</v>
      </c>
      <c r="BW13" s="380">
        <v>33</v>
      </c>
      <c r="BX13" s="380">
        <v>28</v>
      </c>
      <c r="BY13" s="381">
        <v>58</v>
      </c>
      <c r="BZ13" s="381">
        <v>0</v>
      </c>
      <c r="CA13" s="381">
        <v>10</v>
      </c>
      <c r="CB13" s="381">
        <v>21</v>
      </c>
      <c r="CC13" s="381">
        <v>1</v>
      </c>
      <c r="CD13" s="382">
        <v>0</v>
      </c>
      <c r="CE13" s="382">
        <v>0</v>
      </c>
      <c r="CF13" s="382">
        <v>0</v>
      </c>
      <c r="CG13" s="382">
        <v>0</v>
      </c>
      <c r="CH13" s="382">
        <v>0</v>
      </c>
      <c r="CI13" s="382">
        <v>0</v>
      </c>
      <c r="CJ13" s="382">
        <v>1</v>
      </c>
      <c r="CK13" s="382">
        <v>0</v>
      </c>
      <c r="CL13" s="382">
        <v>0</v>
      </c>
      <c r="CM13" s="382">
        <v>2</v>
      </c>
      <c r="CN13" s="382">
        <v>4</v>
      </c>
      <c r="CO13" s="382">
        <v>7</v>
      </c>
      <c r="CP13" s="382">
        <v>14</v>
      </c>
      <c r="CQ13" s="382">
        <v>6</v>
      </c>
      <c r="CR13" s="382">
        <v>15</v>
      </c>
      <c r="CS13" s="382">
        <v>10</v>
      </c>
      <c r="CT13" s="382">
        <v>12</v>
      </c>
      <c r="CU13" s="382">
        <v>19</v>
      </c>
      <c r="CV13" s="25">
        <f t="shared" si="9"/>
        <v>0</v>
      </c>
      <c r="CW13" s="25">
        <f t="shared" si="10"/>
        <v>0</v>
      </c>
      <c r="CX13" s="25">
        <f t="shared" si="11"/>
        <v>7</v>
      </c>
      <c r="CY13" s="25">
        <f t="shared" si="12"/>
        <v>42</v>
      </c>
      <c r="CZ13" s="25">
        <f t="shared" si="13"/>
        <v>41</v>
      </c>
      <c r="DA13" s="383">
        <v>0</v>
      </c>
      <c r="DB13" s="383">
        <v>0</v>
      </c>
      <c r="DC13" s="383">
        <v>0</v>
      </c>
      <c r="DD13" s="383">
        <v>0</v>
      </c>
      <c r="DE13" s="383">
        <v>0</v>
      </c>
      <c r="DF13" s="383">
        <v>0</v>
      </c>
      <c r="DG13" s="383">
        <v>0</v>
      </c>
      <c r="DH13" s="383">
        <v>0</v>
      </c>
      <c r="DI13" s="383">
        <v>0</v>
      </c>
      <c r="DJ13" s="383">
        <v>2</v>
      </c>
      <c r="DK13" s="383">
        <v>3</v>
      </c>
      <c r="DL13" s="383">
        <v>4</v>
      </c>
      <c r="DM13" s="383">
        <v>6</v>
      </c>
      <c r="DN13" s="383">
        <v>6</v>
      </c>
      <c r="DO13" s="383">
        <v>8</v>
      </c>
      <c r="DP13" s="383">
        <v>7</v>
      </c>
      <c r="DQ13" s="383">
        <v>7</v>
      </c>
      <c r="DR13" s="383">
        <v>14</v>
      </c>
      <c r="DS13" s="91">
        <f t="shared" si="19"/>
        <v>0</v>
      </c>
      <c r="DT13" s="91">
        <f t="shared" si="20"/>
        <v>0</v>
      </c>
      <c r="DU13" s="91">
        <f t="shared" si="21"/>
        <v>5</v>
      </c>
      <c r="DV13" s="91">
        <f t="shared" si="22"/>
        <v>24</v>
      </c>
      <c r="DW13" s="91">
        <f t="shared" si="23"/>
        <v>28</v>
      </c>
      <c r="DX13" s="384">
        <v>99</v>
      </c>
      <c r="DY13" s="384">
        <v>60</v>
      </c>
      <c r="DZ13" s="384">
        <v>32</v>
      </c>
      <c r="EA13" s="384">
        <v>132</v>
      </c>
      <c r="EB13">
        <v>29.6</v>
      </c>
      <c r="EC13">
        <v>12.5</v>
      </c>
    </row>
    <row r="14" spans="1:133" ht="12.95" customHeight="1">
      <c r="A14" s="12">
        <v>11</v>
      </c>
      <c r="B14" s="3" t="s">
        <v>53</v>
      </c>
      <c r="C14" s="3" t="s">
        <v>54</v>
      </c>
      <c r="D14" s="4">
        <f t="shared" si="0"/>
        <v>273</v>
      </c>
      <c r="E14" s="4">
        <f t="shared" si="1"/>
        <v>235</v>
      </c>
      <c r="F14" s="305">
        <v>0</v>
      </c>
      <c r="G14" s="375">
        <v>11</v>
      </c>
      <c r="H14" s="375">
        <v>43</v>
      </c>
      <c r="I14" s="375">
        <v>18</v>
      </c>
      <c r="J14" s="375">
        <v>109</v>
      </c>
      <c r="K14" s="375">
        <v>92</v>
      </c>
      <c r="L14" s="376">
        <v>162</v>
      </c>
      <c r="M14" s="376">
        <v>2</v>
      </c>
      <c r="N14" s="376">
        <v>36</v>
      </c>
      <c r="O14" s="376">
        <v>68</v>
      </c>
      <c r="P14" s="376">
        <v>5</v>
      </c>
      <c r="Q14" s="377">
        <v>0</v>
      </c>
      <c r="R14" s="377">
        <v>0</v>
      </c>
      <c r="S14" s="377">
        <v>0</v>
      </c>
      <c r="T14" s="377">
        <v>0</v>
      </c>
      <c r="U14" s="377">
        <v>0</v>
      </c>
      <c r="V14" s="377">
        <v>0</v>
      </c>
      <c r="W14" s="377">
        <v>1</v>
      </c>
      <c r="X14" s="377">
        <v>2</v>
      </c>
      <c r="Y14" s="377">
        <v>5</v>
      </c>
      <c r="Z14" s="377">
        <v>9</v>
      </c>
      <c r="AA14" s="377">
        <v>25</v>
      </c>
      <c r="AB14" s="377">
        <v>35</v>
      </c>
      <c r="AC14" s="377">
        <v>30</v>
      </c>
      <c r="AD14" s="377">
        <v>45</v>
      </c>
      <c r="AE14" s="377">
        <v>50</v>
      </c>
      <c r="AF14" s="377">
        <v>29</v>
      </c>
      <c r="AG14" s="377">
        <v>22</v>
      </c>
      <c r="AH14" s="377">
        <v>20</v>
      </c>
      <c r="AI14" s="24">
        <f t="shared" si="2"/>
        <v>0</v>
      </c>
      <c r="AJ14" s="24">
        <f t="shared" si="3"/>
        <v>0</v>
      </c>
      <c r="AK14" s="24">
        <f t="shared" si="4"/>
        <v>42</v>
      </c>
      <c r="AL14" s="24">
        <f t="shared" si="5"/>
        <v>160</v>
      </c>
      <c r="AM14" s="24">
        <f t="shared" si="6"/>
        <v>71</v>
      </c>
      <c r="AN14" s="378">
        <v>0</v>
      </c>
      <c r="AO14" s="378">
        <v>0</v>
      </c>
      <c r="AP14" s="378">
        <v>0</v>
      </c>
      <c r="AQ14" s="378">
        <v>0</v>
      </c>
      <c r="AR14" s="378">
        <v>0</v>
      </c>
      <c r="AS14" s="378">
        <v>0</v>
      </c>
      <c r="AT14" s="378">
        <v>1</v>
      </c>
      <c r="AU14" s="378">
        <v>1</v>
      </c>
      <c r="AV14" s="378">
        <v>3</v>
      </c>
      <c r="AW14" s="378">
        <v>11</v>
      </c>
      <c r="AX14" s="378">
        <v>25</v>
      </c>
      <c r="AY14" s="378">
        <v>24</v>
      </c>
      <c r="AZ14" s="378">
        <v>30</v>
      </c>
      <c r="BA14" s="378">
        <v>34</v>
      </c>
      <c r="BB14" s="378">
        <v>40</v>
      </c>
      <c r="BC14" s="378">
        <v>32</v>
      </c>
      <c r="BD14" s="378">
        <v>19</v>
      </c>
      <c r="BE14" s="378">
        <v>15</v>
      </c>
      <c r="BF14" s="90">
        <f t="shared" si="14"/>
        <v>0</v>
      </c>
      <c r="BG14" s="90">
        <f t="shared" si="15"/>
        <v>0</v>
      </c>
      <c r="BH14" s="90">
        <f t="shared" si="16"/>
        <v>41</v>
      </c>
      <c r="BI14" s="90">
        <f t="shared" si="17"/>
        <v>128</v>
      </c>
      <c r="BJ14" s="90">
        <f t="shared" si="18"/>
        <v>66</v>
      </c>
      <c r="BK14" s="379">
        <v>120</v>
      </c>
      <c r="BL14" s="379">
        <v>66</v>
      </c>
      <c r="BM14" s="379">
        <v>40</v>
      </c>
      <c r="BN14" s="379">
        <v>200</v>
      </c>
      <c r="BO14" s="385">
        <v>21.9</v>
      </c>
      <c r="BP14" s="385">
        <v>4.9000000000000004</v>
      </c>
      <c r="BQ14" s="5">
        <f t="shared" si="7"/>
        <v>258</v>
      </c>
      <c r="BR14" s="5">
        <f t="shared" si="8"/>
        <v>239</v>
      </c>
      <c r="BS14" s="302">
        <v>0</v>
      </c>
      <c r="BT14" s="380">
        <v>10</v>
      </c>
      <c r="BU14" s="380">
        <v>43</v>
      </c>
      <c r="BV14" s="380">
        <v>30</v>
      </c>
      <c r="BW14" s="380">
        <v>90</v>
      </c>
      <c r="BX14" s="380">
        <v>85</v>
      </c>
      <c r="BY14" s="381">
        <v>153</v>
      </c>
      <c r="BZ14" s="381">
        <v>2</v>
      </c>
      <c r="CA14" s="381">
        <v>37</v>
      </c>
      <c r="CB14" s="381">
        <v>59</v>
      </c>
      <c r="CC14" s="381">
        <v>8</v>
      </c>
      <c r="CD14" s="382">
        <v>0</v>
      </c>
      <c r="CE14" s="382">
        <v>0</v>
      </c>
      <c r="CF14" s="382">
        <v>0</v>
      </c>
      <c r="CG14" s="382">
        <v>0</v>
      </c>
      <c r="CH14" s="382">
        <v>0</v>
      </c>
      <c r="CI14" s="382">
        <v>0</v>
      </c>
      <c r="CJ14" s="382">
        <v>0</v>
      </c>
      <c r="CK14" s="382">
        <v>0</v>
      </c>
      <c r="CL14" s="382">
        <v>1</v>
      </c>
      <c r="CM14" s="382">
        <v>5</v>
      </c>
      <c r="CN14" s="382">
        <v>11</v>
      </c>
      <c r="CO14" s="382">
        <v>16</v>
      </c>
      <c r="CP14" s="382">
        <v>26</v>
      </c>
      <c r="CQ14" s="382">
        <v>35</v>
      </c>
      <c r="CR14" s="382">
        <v>38</v>
      </c>
      <c r="CS14" s="382">
        <v>52</v>
      </c>
      <c r="CT14" s="382">
        <v>38</v>
      </c>
      <c r="CU14" s="382">
        <v>36</v>
      </c>
      <c r="CV14" s="25">
        <f t="shared" si="9"/>
        <v>0</v>
      </c>
      <c r="CW14" s="25">
        <f t="shared" si="10"/>
        <v>0</v>
      </c>
      <c r="CX14" s="25">
        <f t="shared" si="11"/>
        <v>17</v>
      </c>
      <c r="CY14" s="25">
        <f t="shared" si="12"/>
        <v>115</v>
      </c>
      <c r="CZ14" s="25">
        <f t="shared" si="13"/>
        <v>126</v>
      </c>
      <c r="DA14" s="383">
        <v>0</v>
      </c>
      <c r="DB14" s="383">
        <v>0</v>
      </c>
      <c r="DC14" s="383">
        <v>0</v>
      </c>
      <c r="DD14" s="383">
        <v>0</v>
      </c>
      <c r="DE14" s="383">
        <v>0</v>
      </c>
      <c r="DF14" s="383">
        <v>0</v>
      </c>
      <c r="DG14" s="383">
        <v>0</v>
      </c>
      <c r="DH14" s="383">
        <v>0</v>
      </c>
      <c r="DI14" s="383">
        <v>1</v>
      </c>
      <c r="DJ14" s="383">
        <v>5</v>
      </c>
      <c r="DK14" s="383">
        <v>9</v>
      </c>
      <c r="DL14" s="383">
        <v>16</v>
      </c>
      <c r="DM14" s="383">
        <v>22</v>
      </c>
      <c r="DN14" s="383">
        <v>31</v>
      </c>
      <c r="DO14" s="383">
        <v>36</v>
      </c>
      <c r="DP14" s="383">
        <v>46</v>
      </c>
      <c r="DQ14" s="383">
        <v>35</v>
      </c>
      <c r="DR14" s="383">
        <v>38</v>
      </c>
      <c r="DS14" s="91">
        <f t="shared" si="19"/>
        <v>0</v>
      </c>
      <c r="DT14" s="91">
        <f t="shared" si="20"/>
        <v>0</v>
      </c>
      <c r="DU14" s="91">
        <f t="shared" si="21"/>
        <v>15</v>
      </c>
      <c r="DV14" s="91">
        <f t="shared" si="22"/>
        <v>105</v>
      </c>
      <c r="DW14" s="91">
        <f t="shared" si="23"/>
        <v>119</v>
      </c>
      <c r="DX14" s="384">
        <v>159</v>
      </c>
      <c r="DY14" s="384">
        <v>80</v>
      </c>
      <c r="DZ14" s="384">
        <v>40</v>
      </c>
      <c r="EA14" s="384">
        <v>238</v>
      </c>
      <c r="EB14">
        <v>25.4</v>
      </c>
      <c r="EC14">
        <v>8.4</v>
      </c>
    </row>
    <row r="15" spans="1:133" ht="12.95" customHeight="1">
      <c r="A15" s="2">
        <v>12</v>
      </c>
      <c r="B15" s="3" t="s">
        <v>55</v>
      </c>
      <c r="C15" s="3" t="s">
        <v>56</v>
      </c>
      <c r="D15" s="4">
        <f t="shared" si="0"/>
        <v>33</v>
      </c>
      <c r="E15" s="4">
        <f t="shared" si="1"/>
        <v>25</v>
      </c>
      <c r="F15" s="305">
        <v>0</v>
      </c>
      <c r="G15" s="375">
        <v>2</v>
      </c>
      <c r="H15" s="375">
        <v>3</v>
      </c>
      <c r="I15" s="375">
        <v>4</v>
      </c>
      <c r="J15" s="375">
        <v>5</v>
      </c>
      <c r="K15" s="375">
        <v>19</v>
      </c>
      <c r="L15" s="376">
        <v>17</v>
      </c>
      <c r="M15" s="376">
        <v>0</v>
      </c>
      <c r="N15" s="376">
        <v>2</v>
      </c>
      <c r="O15" s="376">
        <v>14</v>
      </c>
      <c r="P15" s="376">
        <v>0</v>
      </c>
      <c r="Q15" s="377">
        <v>0</v>
      </c>
      <c r="R15" s="377">
        <v>0</v>
      </c>
      <c r="S15" s="377">
        <v>0</v>
      </c>
      <c r="T15" s="377">
        <v>1</v>
      </c>
      <c r="U15" s="377">
        <v>0</v>
      </c>
      <c r="V15" s="377">
        <v>0</v>
      </c>
      <c r="W15" s="377">
        <v>0</v>
      </c>
      <c r="X15" s="377">
        <v>0</v>
      </c>
      <c r="Y15" s="377">
        <v>2</v>
      </c>
      <c r="Z15" s="377">
        <v>1</v>
      </c>
      <c r="AA15" s="377">
        <v>5</v>
      </c>
      <c r="AB15" s="377">
        <v>4</v>
      </c>
      <c r="AC15" s="377">
        <v>2</v>
      </c>
      <c r="AD15" s="377">
        <v>4</v>
      </c>
      <c r="AE15" s="377">
        <v>3</v>
      </c>
      <c r="AF15" s="377">
        <v>5</v>
      </c>
      <c r="AG15" s="377">
        <v>2</v>
      </c>
      <c r="AH15" s="377">
        <v>4</v>
      </c>
      <c r="AI15" s="24">
        <f t="shared" si="2"/>
        <v>0</v>
      </c>
      <c r="AJ15" s="24">
        <f t="shared" si="3"/>
        <v>1</v>
      </c>
      <c r="AK15" s="24">
        <f t="shared" si="4"/>
        <v>8</v>
      </c>
      <c r="AL15" s="24">
        <f t="shared" si="5"/>
        <v>13</v>
      </c>
      <c r="AM15" s="24">
        <f t="shared" si="6"/>
        <v>11</v>
      </c>
      <c r="AN15" s="378">
        <v>0</v>
      </c>
      <c r="AO15" s="378">
        <v>0</v>
      </c>
      <c r="AP15" s="378">
        <v>0</v>
      </c>
      <c r="AQ15" s="378">
        <v>1</v>
      </c>
      <c r="AR15" s="378">
        <v>0</v>
      </c>
      <c r="AS15" s="378">
        <v>0</v>
      </c>
      <c r="AT15" s="378">
        <v>0</v>
      </c>
      <c r="AU15" s="378">
        <v>2</v>
      </c>
      <c r="AV15" s="378">
        <v>0</v>
      </c>
      <c r="AW15" s="378">
        <v>0</v>
      </c>
      <c r="AX15" s="378">
        <v>1</v>
      </c>
      <c r="AY15" s="378">
        <v>2</v>
      </c>
      <c r="AZ15" s="378">
        <v>4</v>
      </c>
      <c r="BA15" s="378">
        <v>2</v>
      </c>
      <c r="BB15" s="378">
        <v>3</v>
      </c>
      <c r="BC15" s="378">
        <v>4</v>
      </c>
      <c r="BD15" s="378">
        <v>3</v>
      </c>
      <c r="BE15" s="378">
        <v>3</v>
      </c>
      <c r="BF15" s="90">
        <f t="shared" si="14"/>
        <v>0</v>
      </c>
      <c r="BG15" s="90">
        <f t="shared" si="15"/>
        <v>1</v>
      </c>
      <c r="BH15" s="90">
        <f t="shared" si="16"/>
        <v>3</v>
      </c>
      <c r="BI15" s="90">
        <f t="shared" si="17"/>
        <v>11</v>
      </c>
      <c r="BJ15" s="90">
        <f t="shared" si="18"/>
        <v>10</v>
      </c>
      <c r="BK15" s="379">
        <v>77</v>
      </c>
      <c r="BL15" s="379">
        <v>47</v>
      </c>
      <c r="BM15" s="379">
        <v>19</v>
      </c>
      <c r="BN15" s="379">
        <v>86</v>
      </c>
      <c r="BO15" s="385">
        <v>43.8</v>
      </c>
      <c r="BP15" s="385">
        <v>37.1</v>
      </c>
      <c r="BQ15" s="5">
        <f t="shared" si="7"/>
        <v>45</v>
      </c>
      <c r="BR15" s="5">
        <f t="shared" si="8"/>
        <v>39</v>
      </c>
      <c r="BS15" s="302">
        <v>0</v>
      </c>
      <c r="BT15" s="380">
        <v>6</v>
      </c>
      <c r="BU15" s="380">
        <v>4</v>
      </c>
      <c r="BV15" s="380">
        <v>7</v>
      </c>
      <c r="BW15" s="380">
        <v>10</v>
      </c>
      <c r="BX15" s="380">
        <v>18</v>
      </c>
      <c r="BY15" s="381">
        <v>29</v>
      </c>
      <c r="BZ15" s="381">
        <v>1</v>
      </c>
      <c r="CA15" s="381">
        <v>4</v>
      </c>
      <c r="CB15" s="381">
        <v>10</v>
      </c>
      <c r="CC15" s="381">
        <v>1</v>
      </c>
      <c r="CD15" s="382">
        <v>3</v>
      </c>
      <c r="CE15" s="382">
        <v>0</v>
      </c>
      <c r="CF15" s="382">
        <v>0</v>
      </c>
      <c r="CG15" s="382">
        <v>0</v>
      </c>
      <c r="CH15" s="382">
        <v>0</v>
      </c>
      <c r="CI15" s="382">
        <v>0</v>
      </c>
      <c r="CJ15" s="382">
        <v>0</v>
      </c>
      <c r="CK15" s="382">
        <v>1</v>
      </c>
      <c r="CL15" s="382">
        <v>1</v>
      </c>
      <c r="CM15" s="382">
        <v>3</v>
      </c>
      <c r="CN15" s="382">
        <v>0</v>
      </c>
      <c r="CO15" s="382">
        <v>5</v>
      </c>
      <c r="CP15" s="382">
        <v>3</v>
      </c>
      <c r="CQ15" s="382">
        <v>9</v>
      </c>
      <c r="CR15" s="382">
        <v>5</v>
      </c>
      <c r="CS15" s="382">
        <v>5</v>
      </c>
      <c r="CT15" s="382">
        <v>6</v>
      </c>
      <c r="CU15" s="382">
        <v>4</v>
      </c>
      <c r="CV15" s="25">
        <f t="shared" si="9"/>
        <v>3</v>
      </c>
      <c r="CW15" s="25">
        <f t="shared" si="10"/>
        <v>0</v>
      </c>
      <c r="CX15" s="25">
        <f t="shared" si="11"/>
        <v>5</v>
      </c>
      <c r="CY15" s="25">
        <f t="shared" si="12"/>
        <v>22</v>
      </c>
      <c r="CZ15" s="25">
        <f t="shared" si="13"/>
        <v>15</v>
      </c>
      <c r="DA15" s="383">
        <v>1</v>
      </c>
      <c r="DB15" s="383">
        <v>0</v>
      </c>
      <c r="DC15" s="383">
        <v>0</v>
      </c>
      <c r="DD15" s="383">
        <v>0</v>
      </c>
      <c r="DE15" s="383">
        <v>0</v>
      </c>
      <c r="DF15" s="383">
        <v>0</v>
      </c>
      <c r="DG15" s="383">
        <v>0</v>
      </c>
      <c r="DH15" s="383">
        <v>1</v>
      </c>
      <c r="DI15" s="383">
        <v>0</v>
      </c>
      <c r="DJ15" s="383">
        <v>1</v>
      </c>
      <c r="DK15" s="383">
        <v>1</v>
      </c>
      <c r="DL15" s="383">
        <v>1</v>
      </c>
      <c r="DM15" s="383">
        <v>1</v>
      </c>
      <c r="DN15" s="383">
        <v>5</v>
      </c>
      <c r="DO15" s="383">
        <v>3</v>
      </c>
      <c r="DP15" s="383">
        <v>8</v>
      </c>
      <c r="DQ15" s="383">
        <v>10</v>
      </c>
      <c r="DR15" s="383">
        <v>7</v>
      </c>
      <c r="DS15" s="91">
        <f t="shared" si="19"/>
        <v>1</v>
      </c>
      <c r="DT15" s="91">
        <f t="shared" si="20"/>
        <v>0</v>
      </c>
      <c r="DU15" s="91">
        <f t="shared" si="21"/>
        <v>3</v>
      </c>
      <c r="DV15" s="91">
        <f t="shared" si="22"/>
        <v>10</v>
      </c>
      <c r="DW15" s="91">
        <f t="shared" si="23"/>
        <v>25</v>
      </c>
      <c r="DX15" s="384">
        <v>141</v>
      </c>
      <c r="DY15" s="384">
        <v>88</v>
      </c>
      <c r="DZ15" s="384">
        <v>49</v>
      </c>
      <c r="EA15" s="384">
        <v>164</v>
      </c>
      <c r="EB15">
        <v>58.6</v>
      </c>
      <c r="EC15">
        <v>27.7</v>
      </c>
    </row>
    <row r="16" spans="1:133" ht="12.95" customHeight="1">
      <c r="A16" s="12">
        <v>13</v>
      </c>
      <c r="B16" s="3" t="s">
        <v>57</v>
      </c>
      <c r="C16" s="3" t="s">
        <v>58</v>
      </c>
      <c r="D16" s="4">
        <f t="shared" si="0"/>
        <v>21</v>
      </c>
      <c r="E16" s="4">
        <f t="shared" si="1"/>
        <v>12</v>
      </c>
      <c r="F16" s="305">
        <v>0</v>
      </c>
      <c r="G16" s="375">
        <v>1</v>
      </c>
      <c r="H16" s="375">
        <v>0</v>
      </c>
      <c r="I16" s="375">
        <v>5</v>
      </c>
      <c r="J16" s="375">
        <v>10</v>
      </c>
      <c r="K16" s="375">
        <v>5</v>
      </c>
      <c r="L16" s="376">
        <v>16</v>
      </c>
      <c r="M16" s="376">
        <v>2</v>
      </c>
      <c r="N16" s="376">
        <v>0</v>
      </c>
      <c r="O16" s="376">
        <v>3</v>
      </c>
      <c r="P16" s="376">
        <v>0</v>
      </c>
      <c r="Q16" s="377">
        <v>0</v>
      </c>
      <c r="R16" s="377">
        <v>0</v>
      </c>
      <c r="S16" s="377">
        <v>0</v>
      </c>
      <c r="T16" s="377">
        <v>0</v>
      </c>
      <c r="U16" s="377">
        <v>0</v>
      </c>
      <c r="V16" s="377">
        <v>0</v>
      </c>
      <c r="W16" s="377">
        <v>0</v>
      </c>
      <c r="X16" s="377">
        <v>0</v>
      </c>
      <c r="Y16" s="377">
        <v>2</v>
      </c>
      <c r="Z16" s="377">
        <v>3</v>
      </c>
      <c r="AA16" s="377">
        <v>3</v>
      </c>
      <c r="AB16" s="377">
        <v>3</v>
      </c>
      <c r="AC16" s="377">
        <v>3</v>
      </c>
      <c r="AD16" s="377">
        <v>4</v>
      </c>
      <c r="AE16" s="377">
        <v>0</v>
      </c>
      <c r="AF16" s="377">
        <v>1</v>
      </c>
      <c r="AG16" s="377">
        <v>1</v>
      </c>
      <c r="AH16" s="377">
        <v>1</v>
      </c>
      <c r="AI16" s="24">
        <f t="shared" si="2"/>
        <v>0</v>
      </c>
      <c r="AJ16" s="24">
        <f t="shared" si="3"/>
        <v>0</v>
      </c>
      <c r="AK16" s="24">
        <f t="shared" si="4"/>
        <v>8</v>
      </c>
      <c r="AL16" s="24">
        <f t="shared" si="5"/>
        <v>10</v>
      </c>
      <c r="AM16" s="24">
        <f t="shared" si="6"/>
        <v>3</v>
      </c>
      <c r="AN16" s="378">
        <v>0</v>
      </c>
      <c r="AO16" s="378">
        <v>0</v>
      </c>
      <c r="AP16" s="378">
        <v>0</v>
      </c>
      <c r="AQ16" s="378">
        <v>0</v>
      </c>
      <c r="AR16" s="378">
        <v>0</v>
      </c>
      <c r="AS16" s="378">
        <v>0</v>
      </c>
      <c r="AT16" s="378">
        <v>0</v>
      </c>
      <c r="AU16" s="378">
        <v>0</v>
      </c>
      <c r="AV16" s="378">
        <v>1</v>
      </c>
      <c r="AW16" s="378">
        <v>3</v>
      </c>
      <c r="AX16" s="378">
        <v>0</v>
      </c>
      <c r="AY16" s="378">
        <v>3</v>
      </c>
      <c r="AZ16" s="378">
        <v>2</v>
      </c>
      <c r="BA16" s="378">
        <v>2</v>
      </c>
      <c r="BB16" s="378">
        <v>1</v>
      </c>
      <c r="BC16" s="378">
        <v>0</v>
      </c>
      <c r="BD16" s="378">
        <v>0</v>
      </c>
      <c r="BE16" s="378">
        <v>0</v>
      </c>
      <c r="BF16" s="90">
        <f t="shared" si="14"/>
        <v>0</v>
      </c>
      <c r="BG16" s="90">
        <f t="shared" si="15"/>
        <v>0</v>
      </c>
      <c r="BH16" s="90">
        <f t="shared" si="16"/>
        <v>4</v>
      </c>
      <c r="BI16" s="90">
        <f t="shared" si="17"/>
        <v>8</v>
      </c>
      <c r="BJ16" s="90">
        <f t="shared" si="18"/>
        <v>0</v>
      </c>
      <c r="BK16" s="379">
        <v>61</v>
      </c>
      <c r="BL16" s="379">
        <v>37</v>
      </c>
      <c r="BM16" s="379">
        <v>19</v>
      </c>
      <c r="BN16" s="379">
        <v>76</v>
      </c>
      <c r="BO16" s="385">
        <v>72.7</v>
      </c>
      <c r="BP16" s="385">
        <v>26.9</v>
      </c>
      <c r="BQ16" s="5">
        <f t="shared" si="7"/>
        <v>17</v>
      </c>
      <c r="BR16" s="5">
        <f t="shared" si="8"/>
        <v>11</v>
      </c>
      <c r="BS16" s="302">
        <v>0</v>
      </c>
      <c r="BT16" s="380">
        <v>2</v>
      </c>
      <c r="BU16" s="380">
        <v>1</v>
      </c>
      <c r="BV16" s="380">
        <v>6</v>
      </c>
      <c r="BW16" s="380">
        <v>5</v>
      </c>
      <c r="BX16" s="380">
        <v>3</v>
      </c>
      <c r="BY16" s="381">
        <v>12</v>
      </c>
      <c r="BZ16" s="381">
        <v>2</v>
      </c>
      <c r="CA16" s="381">
        <v>1</v>
      </c>
      <c r="CB16" s="381">
        <v>2</v>
      </c>
      <c r="CC16" s="381">
        <v>0</v>
      </c>
      <c r="CD16" s="382">
        <v>0</v>
      </c>
      <c r="CE16" s="382">
        <v>0</v>
      </c>
      <c r="CF16" s="382">
        <v>0</v>
      </c>
      <c r="CG16" s="382">
        <v>0</v>
      </c>
      <c r="CH16" s="382">
        <v>0</v>
      </c>
      <c r="CI16" s="382">
        <v>0</v>
      </c>
      <c r="CJ16" s="382">
        <v>0</v>
      </c>
      <c r="CK16" s="382">
        <v>0</v>
      </c>
      <c r="CL16" s="382">
        <v>0</v>
      </c>
      <c r="CM16" s="382">
        <v>0</v>
      </c>
      <c r="CN16" s="382">
        <v>2</v>
      </c>
      <c r="CO16" s="382">
        <v>1</v>
      </c>
      <c r="CP16" s="382">
        <v>2</v>
      </c>
      <c r="CQ16" s="382">
        <v>3</v>
      </c>
      <c r="CR16" s="382">
        <v>2</v>
      </c>
      <c r="CS16" s="382">
        <v>4</v>
      </c>
      <c r="CT16" s="382">
        <v>0</v>
      </c>
      <c r="CU16" s="382">
        <v>3</v>
      </c>
      <c r="CV16" s="25">
        <f t="shared" si="9"/>
        <v>0</v>
      </c>
      <c r="CW16" s="25">
        <f t="shared" si="10"/>
        <v>0</v>
      </c>
      <c r="CX16" s="25">
        <f t="shared" si="11"/>
        <v>2</v>
      </c>
      <c r="CY16" s="25">
        <f t="shared" si="12"/>
        <v>8</v>
      </c>
      <c r="CZ16" s="25">
        <f t="shared" si="13"/>
        <v>7</v>
      </c>
      <c r="DA16" s="383">
        <v>0</v>
      </c>
      <c r="DB16" s="383">
        <v>0</v>
      </c>
      <c r="DC16" s="383">
        <v>0</v>
      </c>
      <c r="DD16" s="383">
        <v>0</v>
      </c>
      <c r="DE16" s="383">
        <v>0</v>
      </c>
      <c r="DF16" s="383">
        <v>0</v>
      </c>
      <c r="DG16" s="383">
        <v>0</v>
      </c>
      <c r="DH16" s="383">
        <v>0</v>
      </c>
      <c r="DI16" s="383">
        <v>0</v>
      </c>
      <c r="DJ16" s="383">
        <v>0</v>
      </c>
      <c r="DK16" s="383">
        <v>0</v>
      </c>
      <c r="DL16" s="383">
        <v>1</v>
      </c>
      <c r="DM16" s="383">
        <v>3</v>
      </c>
      <c r="DN16" s="383">
        <v>1</v>
      </c>
      <c r="DO16" s="383">
        <v>2</v>
      </c>
      <c r="DP16" s="383">
        <v>0</v>
      </c>
      <c r="DQ16" s="383">
        <v>2</v>
      </c>
      <c r="DR16" s="383">
        <v>2</v>
      </c>
      <c r="DS16" s="91">
        <f t="shared" si="19"/>
        <v>0</v>
      </c>
      <c r="DT16" s="91">
        <f t="shared" si="20"/>
        <v>0</v>
      </c>
      <c r="DU16" s="91">
        <f t="shared" si="21"/>
        <v>0</v>
      </c>
      <c r="DV16" s="91">
        <f t="shared" si="22"/>
        <v>7</v>
      </c>
      <c r="DW16" s="91">
        <f t="shared" si="23"/>
        <v>4</v>
      </c>
      <c r="DX16" s="384">
        <v>61</v>
      </c>
      <c r="DY16" s="384">
        <v>37</v>
      </c>
      <c r="DZ16" s="384">
        <v>20</v>
      </c>
      <c r="EA16" s="384">
        <v>67</v>
      </c>
      <c r="EB16">
        <v>39.4</v>
      </c>
      <c r="EC16">
        <v>14.4</v>
      </c>
    </row>
    <row r="17" spans="1:133" ht="12.95" customHeight="1">
      <c r="A17" s="2">
        <v>14</v>
      </c>
      <c r="B17" s="3" t="s">
        <v>59</v>
      </c>
      <c r="C17" s="3" t="s">
        <v>60</v>
      </c>
      <c r="D17" s="4">
        <f t="shared" si="0"/>
        <v>174</v>
      </c>
      <c r="E17" s="4">
        <f t="shared" si="1"/>
        <v>109</v>
      </c>
      <c r="F17" s="305">
        <v>0</v>
      </c>
      <c r="G17" s="375">
        <v>26</v>
      </c>
      <c r="H17" s="375">
        <v>29</v>
      </c>
      <c r="I17" s="375">
        <v>38</v>
      </c>
      <c r="J17" s="375">
        <v>48</v>
      </c>
      <c r="K17" s="375">
        <v>33</v>
      </c>
      <c r="L17" s="376">
        <v>139</v>
      </c>
      <c r="M17" s="376">
        <v>4</v>
      </c>
      <c r="N17" s="376">
        <v>4</v>
      </c>
      <c r="O17" s="376">
        <v>26</v>
      </c>
      <c r="P17" s="376">
        <v>1</v>
      </c>
      <c r="Q17" s="377">
        <v>0</v>
      </c>
      <c r="R17" s="377">
        <v>0</v>
      </c>
      <c r="S17" s="377">
        <v>0</v>
      </c>
      <c r="T17" s="377">
        <v>0</v>
      </c>
      <c r="U17" s="377">
        <v>0</v>
      </c>
      <c r="V17" s="377">
        <v>0</v>
      </c>
      <c r="W17" s="377">
        <v>0</v>
      </c>
      <c r="X17" s="377">
        <v>0</v>
      </c>
      <c r="Y17" s="377">
        <v>1</v>
      </c>
      <c r="Z17" s="377">
        <v>13</v>
      </c>
      <c r="AA17" s="377">
        <v>23</v>
      </c>
      <c r="AB17" s="377">
        <v>31</v>
      </c>
      <c r="AC17" s="377">
        <v>28</v>
      </c>
      <c r="AD17" s="377">
        <v>30</v>
      </c>
      <c r="AE17" s="377">
        <v>21</v>
      </c>
      <c r="AF17" s="377">
        <v>11</v>
      </c>
      <c r="AG17" s="377">
        <v>10</v>
      </c>
      <c r="AH17" s="377">
        <v>6</v>
      </c>
      <c r="AI17" s="24">
        <f t="shared" si="2"/>
        <v>0</v>
      </c>
      <c r="AJ17" s="24">
        <f t="shared" si="3"/>
        <v>0</v>
      </c>
      <c r="AK17" s="24">
        <f t="shared" si="4"/>
        <v>37</v>
      </c>
      <c r="AL17" s="24">
        <f t="shared" si="5"/>
        <v>110</v>
      </c>
      <c r="AM17" s="24">
        <f t="shared" si="6"/>
        <v>27</v>
      </c>
      <c r="AN17" s="378">
        <v>0</v>
      </c>
      <c r="AO17" s="378">
        <v>0</v>
      </c>
      <c r="AP17" s="378">
        <v>0</v>
      </c>
      <c r="AQ17" s="378">
        <v>0</v>
      </c>
      <c r="AR17" s="378">
        <v>0</v>
      </c>
      <c r="AS17" s="378">
        <v>0</v>
      </c>
      <c r="AT17" s="378">
        <v>0</v>
      </c>
      <c r="AU17" s="378">
        <v>0</v>
      </c>
      <c r="AV17" s="378">
        <v>2</v>
      </c>
      <c r="AW17" s="378">
        <v>8</v>
      </c>
      <c r="AX17" s="378">
        <v>4</v>
      </c>
      <c r="AY17" s="378">
        <v>15</v>
      </c>
      <c r="AZ17" s="378">
        <v>15</v>
      </c>
      <c r="BA17" s="378">
        <v>19</v>
      </c>
      <c r="BB17" s="378">
        <v>15</v>
      </c>
      <c r="BC17" s="378">
        <v>17</v>
      </c>
      <c r="BD17" s="378">
        <v>9</v>
      </c>
      <c r="BE17" s="378">
        <v>5</v>
      </c>
      <c r="BF17" s="90">
        <f t="shared" si="14"/>
        <v>0</v>
      </c>
      <c r="BG17" s="90">
        <f t="shared" si="15"/>
        <v>0</v>
      </c>
      <c r="BH17" s="90">
        <f t="shared" si="16"/>
        <v>14</v>
      </c>
      <c r="BI17" s="90">
        <f t="shared" si="17"/>
        <v>64</v>
      </c>
      <c r="BJ17" s="90">
        <f t="shared" si="18"/>
        <v>31</v>
      </c>
      <c r="BK17" s="379">
        <v>860</v>
      </c>
      <c r="BL17" s="379">
        <v>590</v>
      </c>
      <c r="BM17" s="379">
        <v>325</v>
      </c>
      <c r="BN17" s="379">
        <v>969</v>
      </c>
      <c r="BO17" s="385">
        <v>66.7</v>
      </c>
      <c r="BP17" s="385">
        <v>51.3</v>
      </c>
      <c r="BQ17" s="5">
        <f t="shared" si="7"/>
        <v>15</v>
      </c>
      <c r="BR17" s="5">
        <f t="shared" si="8"/>
        <v>6</v>
      </c>
      <c r="BS17" s="302">
        <v>0</v>
      </c>
      <c r="BT17" s="380">
        <v>3</v>
      </c>
      <c r="BU17" s="380">
        <v>2</v>
      </c>
      <c r="BV17" s="380">
        <v>3</v>
      </c>
      <c r="BW17" s="380">
        <v>1</v>
      </c>
      <c r="BX17" s="380">
        <v>6</v>
      </c>
      <c r="BY17" s="381">
        <v>10</v>
      </c>
      <c r="BZ17" s="381">
        <v>0</v>
      </c>
      <c r="CA17" s="381">
        <v>0</v>
      </c>
      <c r="CB17" s="381">
        <v>5</v>
      </c>
      <c r="CC17" s="381">
        <v>0</v>
      </c>
      <c r="CD17" s="382">
        <v>0</v>
      </c>
      <c r="CE17" s="382">
        <v>0</v>
      </c>
      <c r="CF17" s="382">
        <v>0</v>
      </c>
      <c r="CG17" s="382">
        <v>0</v>
      </c>
      <c r="CH17" s="382">
        <v>0</v>
      </c>
      <c r="CI17" s="382">
        <v>1</v>
      </c>
      <c r="CJ17" s="382">
        <v>1</v>
      </c>
      <c r="CK17" s="382">
        <v>0</v>
      </c>
      <c r="CL17" s="382">
        <v>0</v>
      </c>
      <c r="CM17" s="382">
        <v>1</v>
      </c>
      <c r="CN17" s="382">
        <v>1</v>
      </c>
      <c r="CO17" s="382">
        <v>3</v>
      </c>
      <c r="CP17" s="382">
        <v>2</v>
      </c>
      <c r="CQ17" s="382">
        <v>0</v>
      </c>
      <c r="CR17" s="382">
        <v>1</v>
      </c>
      <c r="CS17" s="382">
        <v>3</v>
      </c>
      <c r="CT17" s="382">
        <v>1</v>
      </c>
      <c r="CU17" s="382">
        <v>1</v>
      </c>
      <c r="CV17" s="25">
        <f t="shared" si="9"/>
        <v>0</v>
      </c>
      <c r="CW17" s="25">
        <f t="shared" si="10"/>
        <v>1</v>
      </c>
      <c r="CX17" s="25">
        <f t="shared" si="11"/>
        <v>3</v>
      </c>
      <c r="CY17" s="25">
        <f t="shared" si="12"/>
        <v>6</v>
      </c>
      <c r="CZ17" s="25">
        <f t="shared" si="13"/>
        <v>5</v>
      </c>
      <c r="DA17" s="383">
        <v>0</v>
      </c>
      <c r="DB17" s="383">
        <v>0</v>
      </c>
      <c r="DC17" s="383">
        <v>0</v>
      </c>
      <c r="DD17" s="383">
        <v>0</v>
      </c>
      <c r="DE17" s="383">
        <v>0</v>
      </c>
      <c r="DF17" s="383">
        <v>0</v>
      </c>
      <c r="DG17" s="383">
        <v>0</v>
      </c>
      <c r="DH17" s="383">
        <v>0</v>
      </c>
      <c r="DI17" s="383">
        <v>0</v>
      </c>
      <c r="DJ17" s="383">
        <v>1</v>
      </c>
      <c r="DK17" s="383">
        <v>0</v>
      </c>
      <c r="DL17" s="383">
        <v>1</v>
      </c>
      <c r="DM17" s="383">
        <v>1</v>
      </c>
      <c r="DN17" s="383">
        <v>0</v>
      </c>
      <c r="DO17" s="383">
        <v>1</v>
      </c>
      <c r="DP17" s="383">
        <v>1</v>
      </c>
      <c r="DQ17" s="383">
        <v>0</v>
      </c>
      <c r="DR17" s="383">
        <v>1</v>
      </c>
      <c r="DS17" s="91">
        <f t="shared" si="19"/>
        <v>0</v>
      </c>
      <c r="DT17" s="91">
        <f t="shared" si="20"/>
        <v>0</v>
      </c>
      <c r="DU17" s="91">
        <f t="shared" si="21"/>
        <v>1</v>
      </c>
      <c r="DV17" s="91">
        <f t="shared" si="22"/>
        <v>3</v>
      </c>
      <c r="DW17" s="91">
        <f t="shared" si="23"/>
        <v>2</v>
      </c>
      <c r="DX17" s="384">
        <v>64</v>
      </c>
      <c r="DY17" s="384">
        <v>46</v>
      </c>
      <c r="DZ17" s="384">
        <v>28</v>
      </c>
      <c r="EA17" s="384">
        <v>73</v>
      </c>
      <c r="EB17">
        <v>100</v>
      </c>
      <c r="EC17">
        <v>84.5</v>
      </c>
    </row>
    <row r="18" spans="1:133" ht="12.95" customHeight="1">
      <c r="A18" s="12">
        <v>15</v>
      </c>
      <c r="B18" s="3" t="s">
        <v>61</v>
      </c>
      <c r="C18" s="3" t="s">
        <v>62</v>
      </c>
      <c r="D18" s="4">
        <f t="shared" si="0"/>
        <v>1176</v>
      </c>
      <c r="E18" s="4">
        <f t="shared" si="1"/>
        <v>1075</v>
      </c>
      <c r="F18" s="305">
        <v>0</v>
      </c>
      <c r="G18" s="375">
        <v>51</v>
      </c>
      <c r="H18" s="375">
        <v>107</v>
      </c>
      <c r="I18" s="375">
        <v>230</v>
      </c>
      <c r="J18" s="375">
        <v>320</v>
      </c>
      <c r="K18" s="375">
        <v>468</v>
      </c>
      <c r="L18" s="376">
        <v>591</v>
      </c>
      <c r="M18" s="376">
        <v>59</v>
      </c>
      <c r="N18" s="376">
        <v>171</v>
      </c>
      <c r="O18" s="376">
        <v>342</v>
      </c>
      <c r="P18" s="376">
        <v>16</v>
      </c>
      <c r="Q18" s="377">
        <v>0</v>
      </c>
      <c r="R18" s="377">
        <v>0</v>
      </c>
      <c r="S18" s="377">
        <v>0</v>
      </c>
      <c r="T18" s="377">
        <v>0</v>
      </c>
      <c r="U18" s="377">
        <v>0</v>
      </c>
      <c r="V18" s="377">
        <v>1</v>
      </c>
      <c r="W18" s="377">
        <v>2</v>
      </c>
      <c r="X18" s="377">
        <v>2</v>
      </c>
      <c r="Y18" s="377">
        <v>13</v>
      </c>
      <c r="Z18" s="377">
        <v>26</v>
      </c>
      <c r="AA18" s="377">
        <v>76</v>
      </c>
      <c r="AB18" s="377">
        <v>133</v>
      </c>
      <c r="AC18" s="377">
        <v>215</v>
      </c>
      <c r="AD18" s="377">
        <v>190</v>
      </c>
      <c r="AE18" s="377">
        <v>214</v>
      </c>
      <c r="AF18" s="377">
        <v>175</v>
      </c>
      <c r="AG18" s="377">
        <v>92</v>
      </c>
      <c r="AH18" s="377">
        <v>37</v>
      </c>
      <c r="AI18" s="24">
        <f t="shared" si="2"/>
        <v>0</v>
      </c>
      <c r="AJ18" s="24">
        <f t="shared" si="3"/>
        <v>1</v>
      </c>
      <c r="AK18" s="24">
        <f t="shared" si="4"/>
        <v>119</v>
      </c>
      <c r="AL18" s="24">
        <f t="shared" si="5"/>
        <v>752</v>
      </c>
      <c r="AM18" s="24">
        <f t="shared" si="6"/>
        <v>304</v>
      </c>
      <c r="AN18" s="378">
        <v>0</v>
      </c>
      <c r="AO18" s="378">
        <v>0</v>
      </c>
      <c r="AP18" s="378">
        <v>0</v>
      </c>
      <c r="AQ18" s="378">
        <v>0</v>
      </c>
      <c r="AR18" s="378">
        <v>0</v>
      </c>
      <c r="AS18" s="378">
        <v>0</v>
      </c>
      <c r="AT18" s="378">
        <v>1</v>
      </c>
      <c r="AU18" s="378">
        <v>1</v>
      </c>
      <c r="AV18" s="378">
        <v>12</v>
      </c>
      <c r="AW18" s="378">
        <v>16</v>
      </c>
      <c r="AX18" s="378">
        <v>65</v>
      </c>
      <c r="AY18" s="378">
        <v>129</v>
      </c>
      <c r="AZ18" s="378">
        <v>184</v>
      </c>
      <c r="BA18" s="378">
        <v>177</v>
      </c>
      <c r="BB18" s="378">
        <v>181</v>
      </c>
      <c r="BC18" s="378">
        <v>188</v>
      </c>
      <c r="BD18" s="378">
        <v>82</v>
      </c>
      <c r="BE18" s="378">
        <v>39</v>
      </c>
      <c r="BF18" s="90">
        <f t="shared" si="14"/>
        <v>0</v>
      </c>
      <c r="BG18" s="90">
        <f t="shared" si="15"/>
        <v>0</v>
      </c>
      <c r="BH18" s="90">
        <f t="shared" si="16"/>
        <v>95</v>
      </c>
      <c r="BI18" s="90">
        <f t="shared" si="17"/>
        <v>671</v>
      </c>
      <c r="BJ18" s="90">
        <f t="shared" si="18"/>
        <v>309</v>
      </c>
      <c r="BK18" s="379">
        <v>922</v>
      </c>
      <c r="BL18" s="379">
        <v>486</v>
      </c>
      <c r="BM18" s="379">
        <v>256</v>
      </c>
      <c r="BN18" s="379">
        <v>1275</v>
      </c>
      <c r="BO18" s="385">
        <v>28.5</v>
      </c>
      <c r="BP18" s="385">
        <v>6.8</v>
      </c>
      <c r="BQ18" s="5">
        <f t="shared" si="7"/>
        <v>260</v>
      </c>
      <c r="BR18" s="5">
        <f t="shared" si="8"/>
        <v>261</v>
      </c>
      <c r="BS18" s="302">
        <v>0</v>
      </c>
      <c r="BT18" s="380">
        <v>15</v>
      </c>
      <c r="BU18" s="380">
        <v>17</v>
      </c>
      <c r="BV18" s="380">
        <v>37</v>
      </c>
      <c r="BW18" s="380">
        <v>80</v>
      </c>
      <c r="BX18" s="380">
        <v>111</v>
      </c>
      <c r="BY18" s="381">
        <v>128</v>
      </c>
      <c r="BZ18" s="381">
        <v>4</v>
      </c>
      <c r="CA18" s="381">
        <v>39</v>
      </c>
      <c r="CB18" s="381">
        <v>83</v>
      </c>
      <c r="CC18" s="381">
        <v>6</v>
      </c>
      <c r="CD18" s="382">
        <v>0</v>
      </c>
      <c r="CE18" s="382">
        <v>0</v>
      </c>
      <c r="CF18" s="382">
        <v>0</v>
      </c>
      <c r="CG18" s="382">
        <v>0</v>
      </c>
      <c r="CH18" s="382">
        <v>1</v>
      </c>
      <c r="CI18" s="382">
        <v>0</v>
      </c>
      <c r="CJ18" s="382">
        <v>0</v>
      </c>
      <c r="CK18" s="382">
        <v>0</v>
      </c>
      <c r="CL18" s="382">
        <v>4</v>
      </c>
      <c r="CM18" s="382">
        <v>9</v>
      </c>
      <c r="CN18" s="382">
        <v>13</v>
      </c>
      <c r="CO18" s="382">
        <v>24</v>
      </c>
      <c r="CP18" s="382">
        <v>31</v>
      </c>
      <c r="CQ18" s="382">
        <v>34</v>
      </c>
      <c r="CR18" s="382">
        <v>47</v>
      </c>
      <c r="CS18" s="382">
        <v>38</v>
      </c>
      <c r="CT18" s="382">
        <v>36</v>
      </c>
      <c r="CU18" s="382">
        <v>23</v>
      </c>
      <c r="CV18" s="25">
        <f t="shared" si="9"/>
        <v>0</v>
      </c>
      <c r="CW18" s="25">
        <f t="shared" si="10"/>
        <v>1</v>
      </c>
      <c r="CX18" s="25">
        <f t="shared" si="11"/>
        <v>26</v>
      </c>
      <c r="CY18" s="25">
        <f t="shared" si="12"/>
        <v>136</v>
      </c>
      <c r="CZ18" s="25">
        <f t="shared" si="13"/>
        <v>97</v>
      </c>
      <c r="DA18" s="383">
        <v>0</v>
      </c>
      <c r="DB18" s="383">
        <v>0</v>
      </c>
      <c r="DC18" s="383">
        <v>0</v>
      </c>
      <c r="DD18" s="383">
        <v>0</v>
      </c>
      <c r="DE18" s="383">
        <v>0</v>
      </c>
      <c r="DF18" s="383">
        <v>0</v>
      </c>
      <c r="DG18" s="383">
        <v>0</v>
      </c>
      <c r="DH18" s="383">
        <v>0</v>
      </c>
      <c r="DI18" s="383">
        <v>1</v>
      </c>
      <c r="DJ18" s="383">
        <v>8</v>
      </c>
      <c r="DK18" s="383">
        <v>14</v>
      </c>
      <c r="DL18" s="383">
        <v>24</v>
      </c>
      <c r="DM18" s="383">
        <v>28</v>
      </c>
      <c r="DN18" s="383">
        <v>30</v>
      </c>
      <c r="DO18" s="383">
        <v>44</v>
      </c>
      <c r="DP18" s="383">
        <v>46</v>
      </c>
      <c r="DQ18" s="383">
        <v>39</v>
      </c>
      <c r="DR18" s="383">
        <v>27</v>
      </c>
      <c r="DS18" s="91">
        <f t="shared" si="19"/>
        <v>0</v>
      </c>
      <c r="DT18" s="91">
        <f t="shared" si="20"/>
        <v>0</v>
      </c>
      <c r="DU18" s="91">
        <f t="shared" si="21"/>
        <v>23</v>
      </c>
      <c r="DV18" s="91">
        <f t="shared" si="22"/>
        <v>126</v>
      </c>
      <c r="DW18" s="91">
        <f t="shared" si="23"/>
        <v>112</v>
      </c>
      <c r="DX18" s="384">
        <v>390</v>
      </c>
      <c r="DY18" s="384">
        <v>213</v>
      </c>
      <c r="DZ18" s="384">
        <v>119</v>
      </c>
      <c r="EA18" s="384">
        <v>467</v>
      </c>
      <c r="EB18">
        <v>39.700000000000003</v>
      </c>
      <c r="EC18">
        <v>16.899999999999999</v>
      </c>
    </row>
    <row r="19" spans="1:133" ht="12.95" customHeight="1">
      <c r="A19" s="2">
        <v>16</v>
      </c>
      <c r="B19" s="3" t="s">
        <v>63</v>
      </c>
      <c r="C19" s="3" t="s">
        <v>64</v>
      </c>
      <c r="D19" s="4">
        <f t="shared" si="0"/>
        <v>11</v>
      </c>
      <c r="E19" s="4">
        <f t="shared" si="1"/>
        <v>11</v>
      </c>
      <c r="F19" s="305">
        <v>0</v>
      </c>
      <c r="G19" s="375">
        <v>0</v>
      </c>
      <c r="H19" s="375">
        <v>1</v>
      </c>
      <c r="I19" s="375">
        <v>2</v>
      </c>
      <c r="J19" s="375">
        <v>2</v>
      </c>
      <c r="K19" s="375">
        <v>6</v>
      </c>
      <c r="L19" s="376">
        <v>6</v>
      </c>
      <c r="M19" s="376">
        <v>0</v>
      </c>
      <c r="N19" s="376">
        <v>1</v>
      </c>
      <c r="O19" s="376">
        <v>4</v>
      </c>
      <c r="P19" s="376">
        <v>0</v>
      </c>
      <c r="Q19" s="377">
        <v>1</v>
      </c>
      <c r="R19" s="377">
        <v>0</v>
      </c>
      <c r="S19" s="377">
        <v>0</v>
      </c>
      <c r="T19" s="377">
        <v>0</v>
      </c>
      <c r="U19" s="377">
        <v>0</v>
      </c>
      <c r="V19" s="377">
        <v>0</v>
      </c>
      <c r="W19" s="377">
        <v>1</v>
      </c>
      <c r="X19" s="377">
        <v>0</v>
      </c>
      <c r="Y19" s="377">
        <v>1</v>
      </c>
      <c r="Z19" s="377">
        <v>1</v>
      </c>
      <c r="AA19" s="377">
        <v>1</v>
      </c>
      <c r="AB19" s="377">
        <v>2</v>
      </c>
      <c r="AC19" s="377">
        <v>2</v>
      </c>
      <c r="AD19" s="377">
        <v>0</v>
      </c>
      <c r="AE19" s="377">
        <v>1</v>
      </c>
      <c r="AF19" s="377">
        <v>1</v>
      </c>
      <c r="AG19" s="377">
        <v>0</v>
      </c>
      <c r="AH19" s="377">
        <v>0</v>
      </c>
      <c r="AI19" s="24">
        <f t="shared" si="2"/>
        <v>1</v>
      </c>
      <c r="AJ19" s="24">
        <f t="shared" si="3"/>
        <v>0</v>
      </c>
      <c r="AK19" s="24">
        <f t="shared" si="4"/>
        <v>4</v>
      </c>
      <c r="AL19" s="24">
        <f t="shared" si="5"/>
        <v>5</v>
      </c>
      <c r="AM19" s="24">
        <f t="shared" si="6"/>
        <v>1</v>
      </c>
      <c r="AN19" s="378">
        <v>0</v>
      </c>
      <c r="AO19" s="378">
        <v>0</v>
      </c>
      <c r="AP19" s="378">
        <v>0</v>
      </c>
      <c r="AQ19" s="378">
        <v>0</v>
      </c>
      <c r="AR19" s="378">
        <v>0</v>
      </c>
      <c r="AS19" s="378">
        <v>0</v>
      </c>
      <c r="AT19" s="378">
        <v>0</v>
      </c>
      <c r="AU19" s="378">
        <v>0</v>
      </c>
      <c r="AV19" s="378">
        <v>0</v>
      </c>
      <c r="AW19" s="378">
        <v>0</v>
      </c>
      <c r="AX19" s="378">
        <v>2</v>
      </c>
      <c r="AY19" s="378">
        <v>1</v>
      </c>
      <c r="AZ19" s="378">
        <v>2</v>
      </c>
      <c r="BA19" s="378">
        <v>1</v>
      </c>
      <c r="BB19" s="378">
        <v>1</v>
      </c>
      <c r="BC19" s="378">
        <v>3</v>
      </c>
      <c r="BD19" s="378">
        <v>0</v>
      </c>
      <c r="BE19" s="378">
        <v>1</v>
      </c>
      <c r="BF19" s="90">
        <f t="shared" si="14"/>
        <v>0</v>
      </c>
      <c r="BG19" s="90">
        <f t="shared" si="15"/>
        <v>0</v>
      </c>
      <c r="BH19" s="90">
        <f t="shared" si="16"/>
        <v>2</v>
      </c>
      <c r="BI19" s="90">
        <f t="shared" si="17"/>
        <v>5</v>
      </c>
      <c r="BJ19" s="90">
        <f t="shared" si="18"/>
        <v>4</v>
      </c>
      <c r="BK19" s="379">
        <v>35</v>
      </c>
      <c r="BL19" s="379">
        <v>27</v>
      </c>
      <c r="BM19" s="379">
        <v>19</v>
      </c>
      <c r="BN19" s="379">
        <v>40</v>
      </c>
      <c r="BO19" s="385">
        <v>57.3</v>
      </c>
      <c r="BP19" s="385">
        <v>37.1</v>
      </c>
      <c r="BQ19" s="5">
        <f t="shared" si="7"/>
        <v>9</v>
      </c>
      <c r="BR19" s="5">
        <f t="shared" si="8"/>
        <v>9</v>
      </c>
      <c r="BS19" s="302">
        <v>0</v>
      </c>
      <c r="BT19" s="380">
        <v>0</v>
      </c>
      <c r="BU19" s="380">
        <v>1</v>
      </c>
      <c r="BV19" s="380">
        <v>0</v>
      </c>
      <c r="BW19" s="380">
        <v>2</v>
      </c>
      <c r="BX19" s="380">
        <v>6</v>
      </c>
      <c r="BY19" s="381">
        <v>3</v>
      </c>
      <c r="BZ19" s="381">
        <v>0</v>
      </c>
      <c r="CA19" s="381">
        <v>3</v>
      </c>
      <c r="CB19" s="381">
        <v>3</v>
      </c>
      <c r="CC19" s="381">
        <v>0</v>
      </c>
      <c r="CD19" s="382">
        <v>0</v>
      </c>
      <c r="CE19" s="382">
        <v>1</v>
      </c>
      <c r="CF19" s="382">
        <v>0</v>
      </c>
      <c r="CG19" s="382">
        <v>1</v>
      </c>
      <c r="CH19" s="382">
        <v>0</v>
      </c>
      <c r="CI19" s="382">
        <v>0</v>
      </c>
      <c r="CJ19" s="382">
        <v>0</v>
      </c>
      <c r="CK19" s="382">
        <v>0</v>
      </c>
      <c r="CL19" s="382">
        <v>0</v>
      </c>
      <c r="CM19" s="382">
        <v>1</v>
      </c>
      <c r="CN19" s="382">
        <v>0</v>
      </c>
      <c r="CO19" s="382">
        <v>0</v>
      </c>
      <c r="CP19" s="382">
        <v>0</v>
      </c>
      <c r="CQ19" s="382">
        <v>1</v>
      </c>
      <c r="CR19" s="382">
        <v>0</v>
      </c>
      <c r="CS19" s="382">
        <v>2</v>
      </c>
      <c r="CT19" s="382">
        <v>1</v>
      </c>
      <c r="CU19" s="382">
        <v>2</v>
      </c>
      <c r="CV19" s="25">
        <f t="shared" si="9"/>
        <v>1</v>
      </c>
      <c r="CW19" s="25">
        <f t="shared" si="10"/>
        <v>1</v>
      </c>
      <c r="CX19" s="25">
        <f t="shared" si="11"/>
        <v>1</v>
      </c>
      <c r="CY19" s="25">
        <f t="shared" si="12"/>
        <v>1</v>
      </c>
      <c r="CZ19" s="25">
        <f t="shared" si="13"/>
        <v>5</v>
      </c>
      <c r="DA19" s="383">
        <v>0</v>
      </c>
      <c r="DB19" s="383">
        <v>0</v>
      </c>
      <c r="DC19" s="383">
        <v>0</v>
      </c>
      <c r="DD19" s="383">
        <v>1</v>
      </c>
      <c r="DE19" s="383">
        <v>0</v>
      </c>
      <c r="DF19" s="383">
        <v>0</v>
      </c>
      <c r="DG19" s="383">
        <v>0</v>
      </c>
      <c r="DH19" s="383">
        <v>0</v>
      </c>
      <c r="DI19" s="383">
        <v>0</v>
      </c>
      <c r="DJ19" s="383">
        <v>1</v>
      </c>
      <c r="DK19" s="383">
        <v>0</v>
      </c>
      <c r="DL19" s="383">
        <v>0</v>
      </c>
      <c r="DM19" s="383">
        <v>1</v>
      </c>
      <c r="DN19" s="383">
        <v>2</v>
      </c>
      <c r="DO19" s="383">
        <v>0</v>
      </c>
      <c r="DP19" s="383">
        <v>2</v>
      </c>
      <c r="DQ19" s="383">
        <v>1</v>
      </c>
      <c r="DR19" s="383">
        <v>1</v>
      </c>
      <c r="DS19" s="91">
        <f t="shared" si="19"/>
        <v>0</v>
      </c>
      <c r="DT19" s="91">
        <f t="shared" si="20"/>
        <v>1</v>
      </c>
      <c r="DU19" s="91">
        <f t="shared" si="21"/>
        <v>1</v>
      </c>
      <c r="DV19" s="91">
        <f t="shared" si="22"/>
        <v>3</v>
      </c>
      <c r="DW19" s="91">
        <f t="shared" si="23"/>
        <v>4</v>
      </c>
      <c r="DX19" s="384">
        <v>30</v>
      </c>
      <c r="DY19" s="384">
        <v>25</v>
      </c>
      <c r="DZ19" s="384">
        <v>16</v>
      </c>
      <c r="EA19" s="384">
        <v>31</v>
      </c>
      <c r="EB19">
        <v>71.400000000000006</v>
      </c>
      <c r="EC19">
        <v>43.8</v>
      </c>
    </row>
    <row r="20" spans="1:133" ht="12.95" customHeight="1">
      <c r="A20" s="12">
        <v>17</v>
      </c>
      <c r="B20" s="3" t="s">
        <v>65</v>
      </c>
      <c r="C20" s="3" t="s">
        <v>66</v>
      </c>
      <c r="D20" s="4">
        <f t="shared" si="0"/>
        <v>62</v>
      </c>
      <c r="E20" s="4">
        <f t="shared" si="1"/>
        <v>32</v>
      </c>
      <c r="F20" s="305">
        <v>0</v>
      </c>
      <c r="G20" s="375">
        <v>18</v>
      </c>
      <c r="H20" s="375">
        <v>10</v>
      </c>
      <c r="I20" s="375">
        <v>3</v>
      </c>
      <c r="J20" s="375">
        <v>7</v>
      </c>
      <c r="K20" s="375">
        <v>24</v>
      </c>
      <c r="L20" s="376">
        <v>50</v>
      </c>
      <c r="M20" s="376">
        <v>1</v>
      </c>
      <c r="N20" s="376">
        <v>3</v>
      </c>
      <c r="O20" s="376">
        <v>8</v>
      </c>
      <c r="P20" s="376">
        <v>0</v>
      </c>
      <c r="Q20" s="377">
        <v>4</v>
      </c>
      <c r="R20" s="377">
        <v>2</v>
      </c>
      <c r="S20" s="377">
        <v>1</v>
      </c>
      <c r="T20" s="377">
        <v>1</v>
      </c>
      <c r="U20" s="377">
        <v>0</v>
      </c>
      <c r="V20" s="377">
        <v>3</v>
      </c>
      <c r="W20" s="377">
        <v>4</v>
      </c>
      <c r="X20" s="377">
        <v>4</v>
      </c>
      <c r="Y20" s="377">
        <v>3</v>
      </c>
      <c r="Z20" s="377">
        <v>4</v>
      </c>
      <c r="AA20" s="377">
        <v>6</v>
      </c>
      <c r="AB20" s="377">
        <v>5</v>
      </c>
      <c r="AC20" s="377">
        <v>5</v>
      </c>
      <c r="AD20" s="377">
        <v>3</v>
      </c>
      <c r="AE20" s="377">
        <v>4</v>
      </c>
      <c r="AF20" s="377">
        <v>5</v>
      </c>
      <c r="AG20" s="377">
        <v>6</v>
      </c>
      <c r="AH20" s="377">
        <v>2</v>
      </c>
      <c r="AI20" s="24">
        <f t="shared" si="2"/>
        <v>7</v>
      </c>
      <c r="AJ20" s="24">
        <f t="shared" si="3"/>
        <v>4</v>
      </c>
      <c r="AK20" s="24">
        <f t="shared" si="4"/>
        <v>21</v>
      </c>
      <c r="AL20" s="24">
        <f t="shared" si="5"/>
        <v>17</v>
      </c>
      <c r="AM20" s="24">
        <f t="shared" si="6"/>
        <v>13</v>
      </c>
      <c r="AN20" s="378">
        <v>0</v>
      </c>
      <c r="AO20" s="378">
        <v>1</v>
      </c>
      <c r="AP20" s="378">
        <v>0</v>
      </c>
      <c r="AQ20" s="378">
        <v>0</v>
      </c>
      <c r="AR20" s="378">
        <v>1</v>
      </c>
      <c r="AS20" s="378">
        <v>1</v>
      </c>
      <c r="AT20" s="378">
        <v>0</v>
      </c>
      <c r="AU20" s="378">
        <v>0</v>
      </c>
      <c r="AV20" s="378">
        <v>4</v>
      </c>
      <c r="AW20" s="378">
        <v>2</v>
      </c>
      <c r="AX20" s="378">
        <v>2</v>
      </c>
      <c r="AY20" s="378">
        <v>2</v>
      </c>
      <c r="AZ20" s="378">
        <v>3</v>
      </c>
      <c r="BA20" s="378">
        <v>3</v>
      </c>
      <c r="BB20" s="378">
        <v>2</v>
      </c>
      <c r="BC20" s="378">
        <v>3</v>
      </c>
      <c r="BD20" s="378">
        <v>7</v>
      </c>
      <c r="BE20" s="378">
        <v>1</v>
      </c>
      <c r="BF20" s="90">
        <f t="shared" si="14"/>
        <v>1</v>
      </c>
      <c r="BG20" s="90">
        <f t="shared" si="15"/>
        <v>2</v>
      </c>
      <c r="BH20" s="90">
        <f t="shared" si="16"/>
        <v>8</v>
      </c>
      <c r="BI20" s="90">
        <f t="shared" si="17"/>
        <v>10</v>
      </c>
      <c r="BJ20" s="90">
        <f t="shared" si="18"/>
        <v>11</v>
      </c>
      <c r="BK20" s="379">
        <v>346</v>
      </c>
      <c r="BL20" s="379">
        <v>234</v>
      </c>
      <c r="BM20" s="379">
        <v>146</v>
      </c>
      <c r="BN20" s="379">
        <v>392</v>
      </c>
      <c r="BO20" s="385">
        <v>69.599999999999994</v>
      </c>
      <c r="BP20" s="385">
        <v>54.4</v>
      </c>
      <c r="BQ20" s="5">
        <f t="shared" si="7"/>
        <v>63</v>
      </c>
      <c r="BR20" s="5">
        <f t="shared" si="8"/>
        <v>39</v>
      </c>
      <c r="BS20" s="302">
        <v>0</v>
      </c>
      <c r="BT20" s="380">
        <v>19</v>
      </c>
      <c r="BU20" s="380">
        <v>4</v>
      </c>
      <c r="BV20" s="380">
        <v>8</v>
      </c>
      <c r="BW20" s="380">
        <v>8</v>
      </c>
      <c r="BX20" s="380">
        <v>24</v>
      </c>
      <c r="BY20" s="381">
        <v>47</v>
      </c>
      <c r="BZ20" s="381">
        <v>2</v>
      </c>
      <c r="CA20" s="381">
        <v>1</v>
      </c>
      <c r="CB20" s="381">
        <v>11</v>
      </c>
      <c r="CC20" s="381">
        <v>2</v>
      </c>
      <c r="CD20" s="382">
        <v>0</v>
      </c>
      <c r="CE20" s="382">
        <v>1</v>
      </c>
      <c r="CF20" s="382">
        <v>1</v>
      </c>
      <c r="CG20" s="382">
        <v>3</v>
      </c>
      <c r="CH20" s="382">
        <v>1</v>
      </c>
      <c r="CI20" s="382">
        <v>3</v>
      </c>
      <c r="CJ20" s="382">
        <v>2</v>
      </c>
      <c r="CK20" s="382">
        <v>2</v>
      </c>
      <c r="CL20" s="382">
        <v>3</v>
      </c>
      <c r="CM20" s="382">
        <v>4</v>
      </c>
      <c r="CN20" s="382">
        <v>6</v>
      </c>
      <c r="CO20" s="382">
        <v>4</v>
      </c>
      <c r="CP20" s="382">
        <v>3</v>
      </c>
      <c r="CQ20" s="382">
        <v>3</v>
      </c>
      <c r="CR20" s="382">
        <v>8</v>
      </c>
      <c r="CS20" s="382">
        <v>9</v>
      </c>
      <c r="CT20" s="382">
        <v>4</v>
      </c>
      <c r="CU20" s="382">
        <v>6</v>
      </c>
      <c r="CV20" s="25">
        <f t="shared" si="9"/>
        <v>2</v>
      </c>
      <c r="CW20" s="25">
        <f t="shared" si="10"/>
        <v>7</v>
      </c>
      <c r="CX20" s="25">
        <f t="shared" si="11"/>
        <v>17</v>
      </c>
      <c r="CY20" s="25">
        <f t="shared" si="12"/>
        <v>18</v>
      </c>
      <c r="CZ20" s="25">
        <f t="shared" si="13"/>
        <v>19</v>
      </c>
      <c r="DA20" s="383">
        <v>0</v>
      </c>
      <c r="DB20" s="383">
        <v>0</v>
      </c>
      <c r="DC20" s="383">
        <v>0</v>
      </c>
      <c r="DD20" s="383">
        <v>0</v>
      </c>
      <c r="DE20" s="383">
        <v>0</v>
      </c>
      <c r="DF20" s="383">
        <v>2</v>
      </c>
      <c r="DG20" s="383">
        <v>0</v>
      </c>
      <c r="DH20" s="383">
        <v>0</v>
      </c>
      <c r="DI20" s="383">
        <v>2</v>
      </c>
      <c r="DJ20" s="383">
        <v>3</v>
      </c>
      <c r="DK20" s="383">
        <v>3</v>
      </c>
      <c r="DL20" s="383">
        <v>2</v>
      </c>
      <c r="DM20" s="383">
        <v>3</v>
      </c>
      <c r="DN20" s="383">
        <v>4</v>
      </c>
      <c r="DO20" s="383">
        <v>2</v>
      </c>
      <c r="DP20" s="383">
        <v>5</v>
      </c>
      <c r="DQ20" s="383">
        <v>6</v>
      </c>
      <c r="DR20" s="383">
        <v>7</v>
      </c>
      <c r="DS20" s="91">
        <f t="shared" si="19"/>
        <v>0</v>
      </c>
      <c r="DT20" s="91">
        <f t="shared" si="20"/>
        <v>2</v>
      </c>
      <c r="DU20" s="91">
        <f t="shared" si="21"/>
        <v>8</v>
      </c>
      <c r="DV20" s="91">
        <f t="shared" si="22"/>
        <v>11</v>
      </c>
      <c r="DW20" s="91">
        <f t="shared" si="23"/>
        <v>18</v>
      </c>
      <c r="DX20" s="384">
        <v>464</v>
      </c>
      <c r="DY20" s="384">
        <v>349</v>
      </c>
      <c r="DZ20" s="384">
        <v>222</v>
      </c>
      <c r="EA20" s="384">
        <v>504</v>
      </c>
      <c r="EB20">
        <v>77.400000000000006</v>
      </c>
      <c r="EC20">
        <v>64.099999999999994</v>
      </c>
    </row>
    <row r="21" spans="1:133" ht="12.95" customHeight="1">
      <c r="A21" s="2">
        <v>18</v>
      </c>
      <c r="B21" s="3" t="s">
        <v>67</v>
      </c>
      <c r="C21" s="3" t="s">
        <v>68</v>
      </c>
      <c r="D21" s="4">
        <f t="shared" si="0"/>
        <v>108</v>
      </c>
      <c r="E21" s="4">
        <f t="shared" si="1"/>
        <v>42</v>
      </c>
      <c r="F21" s="305">
        <v>0</v>
      </c>
      <c r="G21" s="375">
        <v>46</v>
      </c>
      <c r="H21" s="375">
        <v>30</v>
      </c>
      <c r="I21" s="375">
        <v>11</v>
      </c>
      <c r="J21" s="375">
        <v>6</v>
      </c>
      <c r="K21" s="375">
        <v>15</v>
      </c>
      <c r="L21" s="376">
        <v>90</v>
      </c>
      <c r="M21" s="376">
        <v>5</v>
      </c>
      <c r="N21" s="376">
        <v>4</v>
      </c>
      <c r="O21" s="376">
        <v>9</v>
      </c>
      <c r="P21" s="376">
        <v>0</v>
      </c>
      <c r="Q21" s="377">
        <v>0</v>
      </c>
      <c r="R21" s="377">
        <v>0</v>
      </c>
      <c r="S21" s="377">
        <v>0</v>
      </c>
      <c r="T21" s="377">
        <v>1</v>
      </c>
      <c r="U21" s="377">
        <v>0</v>
      </c>
      <c r="V21" s="377">
        <v>1</v>
      </c>
      <c r="W21" s="377">
        <v>1</v>
      </c>
      <c r="X21" s="377">
        <v>7</v>
      </c>
      <c r="Y21" s="377">
        <v>5</v>
      </c>
      <c r="Z21" s="377">
        <v>7</v>
      </c>
      <c r="AA21" s="377">
        <v>12</v>
      </c>
      <c r="AB21" s="377">
        <v>11</v>
      </c>
      <c r="AC21" s="377">
        <v>12</v>
      </c>
      <c r="AD21" s="377">
        <v>10</v>
      </c>
      <c r="AE21" s="377">
        <v>11</v>
      </c>
      <c r="AF21" s="377">
        <v>13</v>
      </c>
      <c r="AG21" s="377">
        <v>11</v>
      </c>
      <c r="AH21" s="377">
        <v>6</v>
      </c>
      <c r="AI21" s="24">
        <f t="shared" si="2"/>
        <v>0</v>
      </c>
      <c r="AJ21" s="24">
        <f t="shared" si="3"/>
        <v>2</v>
      </c>
      <c r="AK21" s="24">
        <f t="shared" si="4"/>
        <v>32</v>
      </c>
      <c r="AL21" s="24">
        <f t="shared" si="5"/>
        <v>44</v>
      </c>
      <c r="AM21" s="24">
        <f t="shared" si="6"/>
        <v>30</v>
      </c>
      <c r="AN21" s="378">
        <v>0</v>
      </c>
      <c r="AO21" s="378">
        <v>0</v>
      </c>
      <c r="AP21" s="378">
        <v>0</v>
      </c>
      <c r="AQ21" s="378">
        <v>0</v>
      </c>
      <c r="AR21" s="378">
        <v>0</v>
      </c>
      <c r="AS21" s="378">
        <v>1</v>
      </c>
      <c r="AT21" s="378">
        <v>0</v>
      </c>
      <c r="AU21" s="378">
        <v>3</v>
      </c>
      <c r="AV21" s="378">
        <v>1</v>
      </c>
      <c r="AW21" s="378">
        <v>4</v>
      </c>
      <c r="AX21" s="378">
        <v>3</v>
      </c>
      <c r="AY21" s="378">
        <v>3</v>
      </c>
      <c r="AZ21" s="378">
        <v>3</v>
      </c>
      <c r="BA21" s="378">
        <v>3</v>
      </c>
      <c r="BB21" s="378">
        <v>7</v>
      </c>
      <c r="BC21" s="378">
        <v>6</v>
      </c>
      <c r="BD21" s="378">
        <v>4</v>
      </c>
      <c r="BE21" s="378">
        <v>4</v>
      </c>
      <c r="BF21" s="90">
        <f t="shared" si="14"/>
        <v>0</v>
      </c>
      <c r="BG21" s="90">
        <f t="shared" si="15"/>
        <v>1</v>
      </c>
      <c r="BH21" s="90">
        <f t="shared" si="16"/>
        <v>11</v>
      </c>
      <c r="BI21" s="90">
        <f t="shared" si="17"/>
        <v>16</v>
      </c>
      <c r="BJ21" s="90">
        <f t="shared" si="18"/>
        <v>14</v>
      </c>
      <c r="BK21" s="379">
        <v>723</v>
      </c>
      <c r="BL21" s="379">
        <v>430</v>
      </c>
      <c r="BM21" s="379">
        <v>244</v>
      </c>
      <c r="BN21" s="379">
        <v>796</v>
      </c>
      <c r="BO21" s="385">
        <v>85.6</v>
      </c>
      <c r="BP21" s="385">
        <v>54.5</v>
      </c>
      <c r="BQ21" s="5">
        <f t="shared" si="7"/>
        <v>188</v>
      </c>
      <c r="BR21" s="5">
        <f t="shared" si="8"/>
        <v>43</v>
      </c>
      <c r="BS21" s="302">
        <v>0</v>
      </c>
      <c r="BT21" s="380">
        <v>89</v>
      </c>
      <c r="BU21" s="380">
        <v>62</v>
      </c>
      <c r="BV21" s="380">
        <v>18</v>
      </c>
      <c r="BW21" s="380">
        <v>3</v>
      </c>
      <c r="BX21" s="380">
        <v>16</v>
      </c>
      <c r="BY21" s="381">
        <v>170</v>
      </c>
      <c r="BZ21" s="381">
        <v>8</v>
      </c>
      <c r="CA21" s="381">
        <v>0</v>
      </c>
      <c r="CB21" s="381">
        <v>10</v>
      </c>
      <c r="CC21" s="381">
        <v>0</v>
      </c>
      <c r="CD21" s="382">
        <v>0</v>
      </c>
      <c r="CE21" s="382">
        <v>0</v>
      </c>
      <c r="CF21" s="382">
        <v>0</v>
      </c>
      <c r="CG21" s="382">
        <v>0</v>
      </c>
      <c r="CH21" s="382">
        <v>2</v>
      </c>
      <c r="CI21" s="382">
        <v>5</v>
      </c>
      <c r="CJ21" s="382">
        <v>2</v>
      </c>
      <c r="CK21" s="382">
        <v>3</v>
      </c>
      <c r="CL21" s="382">
        <v>8</v>
      </c>
      <c r="CM21" s="382">
        <v>12</v>
      </c>
      <c r="CN21" s="382">
        <v>22</v>
      </c>
      <c r="CO21" s="382">
        <v>16</v>
      </c>
      <c r="CP21" s="382">
        <v>27</v>
      </c>
      <c r="CQ21" s="382">
        <v>25</v>
      </c>
      <c r="CR21" s="382">
        <v>18</v>
      </c>
      <c r="CS21" s="382">
        <v>21</v>
      </c>
      <c r="CT21" s="382">
        <v>10</v>
      </c>
      <c r="CU21" s="382">
        <v>17</v>
      </c>
      <c r="CV21" s="25">
        <f t="shared" si="9"/>
        <v>0</v>
      </c>
      <c r="CW21" s="25">
        <f t="shared" si="10"/>
        <v>7</v>
      </c>
      <c r="CX21" s="25">
        <f t="shared" si="11"/>
        <v>47</v>
      </c>
      <c r="CY21" s="25">
        <f t="shared" si="12"/>
        <v>86</v>
      </c>
      <c r="CZ21" s="25">
        <f t="shared" si="13"/>
        <v>48</v>
      </c>
      <c r="DA21" s="383">
        <v>0</v>
      </c>
      <c r="DB21" s="383">
        <v>0</v>
      </c>
      <c r="DC21" s="383">
        <v>0</v>
      </c>
      <c r="DD21" s="383">
        <v>0</v>
      </c>
      <c r="DE21" s="383">
        <v>0</v>
      </c>
      <c r="DF21" s="383">
        <v>0</v>
      </c>
      <c r="DG21" s="383">
        <v>0</v>
      </c>
      <c r="DH21" s="383">
        <v>0</v>
      </c>
      <c r="DI21" s="383">
        <v>1</v>
      </c>
      <c r="DJ21" s="383">
        <v>1</v>
      </c>
      <c r="DK21" s="383">
        <v>2</v>
      </c>
      <c r="DL21" s="383">
        <v>4</v>
      </c>
      <c r="DM21" s="383">
        <v>7</v>
      </c>
      <c r="DN21" s="383">
        <v>6</v>
      </c>
      <c r="DO21" s="383">
        <v>2</v>
      </c>
      <c r="DP21" s="383">
        <v>7</v>
      </c>
      <c r="DQ21" s="383">
        <v>5</v>
      </c>
      <c r="DR21" s="383">
        <v>8</v>
      </c>
      <c r="DS21" s="91">
        <f t="shared" si="19"/>
        <v>0</v>
      </c>
      <c r="DT21" s="91">
        <f t="shared" si="20"/>
        <v>0</v>
      </c>
      <c r="DU21" s="91">
        <f t="shared" si="21"/>
        <v>4</v>
      </c>
      <c r="DV21" s="91">
        <f t="shared" si="22"/>
        <v>19</v>
      </c>
      <c r="DW21" s="91">
        <f t="shared" si="23"/>
        <v>20</v>
      </c>
      <c r="DX21" s="384">
        <v>1764</v>
      </c>
      <c r="DY21" s="384">
        <v>1189</v>
      </c>
      <c r="DZ21" s="384">
        <v>719</v>
      </c>
      <c r="EA21" s="384">
        <v>1919</v>
      </c>
      <c r="EB21">
        <v>95.1</v>
      </c>
      <c r="EC21">
        <v>75.099999999999994</v>
      </c>
    </row>
    <row r="22" spans="1:133" ht="12.95" customHeight="1">
      <c r="A22" s="12">
        <v>19</v>
      </c>
      <c r="B22" s="3" t="s">
        <v>69</v>
      </c>
      <c r="C22" s="3" t="s">
        <v>70</v>
      </c>
      <c r="D22" s="4">
        <f t="shared" si="0"/>
        <v>867</v>
      </c>
      <c r="E22" s="4">
        <f t="shared" si="1"/>
        <v>22</v>
      </c>
      <c r="F22" s="305">
        <v>0</v>
      </c>
      <c r="G22" s="375">
        <v>555</v>
      </c>
      <c r="H22" s="375">
        <v>247</v>
      </c>
      <c r="I22" s="375">
        <v>5</v>
      </c>
      <c r="J22" s="375">
        <v>6</v>
      </c>
      <c r="K22" s="375">
        <v>54</v>
      </c>
      <c r="L22" s="376">
        <v>772</v>
      </c>
      <c r="M22" s="376">
        <v>87</v>
      </c>
      <c r="N22" s="376">
        <v>5</v>
      </c>
      <c r="O22" s="376">
        <v>3</v>
      </c>
      <c r="P22" s="376">
        <v>1</v>
      </c>
      <c r="Q22" s="377">
        <v>0</v>
      </c>
      <c r="R22" s="377">
        <v>0</v>
      </c>
      <c r="S22" s="377">
        <v>0</v>
      </c>
      <c r="T22" s="377">
        <v>1</v>
      </c>
      <c r="U22" s="377">
        <v>3</v>
      </c>
      <c r="V22" s="377">
        <v>3</v>
      </c>
      <c r="W22" s="377">
        <v>8</v>
      </c>
      <c r="X22" s="377">
        <v>10</v>
      </c>
      <c r="Y22" s="377">
        <v>18</v>
      </c>
      <c r="Z22" s="377">
        <v>23</v>
      </c>
      <c r="AA22" s="377">
        <v>38</v>
      </c>
      <c r="AB22" s="377">
        <v>88</v>
      </c>
      <c r="AC22" s="377">
        <v>93</v>
      </c>
      <c r="AD22" s="377">
        <v>107</v>
      </c>
      <c r="AE22" s="377">
        <v>135</v>
      </c>
      <c r="AF22" s="377">
        <v>164</v>
      </c>
      <c r="AG22" s="377">
        <v>108</v>
      </c>
      <c r="AH22" s="377">
        <v>68</v>
      </c>
      <c r="AI22" s="24">
        <f t="shared" si="2"/>
        <v>0</v>
      </c>
      <c r="AJ22" s="24">
        <f t="shared" si="3"/>
        <v>7</v>
      </c>
      <c r="AK22" s="24">
        <f t="shared" si="4"/>
        <v>97</v>
      </c>
      <c r="AL22" s="24">
        <f t="shared" si="5"/>
        <v>423</v>
      </c>
      <c r="AM22" s="24">
        <f t="shared" si="6"/>
        <v>340</v>
      </c>
      <c r="AN22" s="378">
        <v>0</v>
      </c>
      <c r="AO22" s="378">
        <v>0</v>
      </c>
      <c r="AP22" s="378">
        <v>0</v>
      </c>
      <c r="AQ22" s="378">
        <v>0</v>
      </c>
      <c r="AR22" s="378">
        <v>0</v>
      </c>
      <c r="AS22" s="378">
        <v>0</v>
      </c>
      <c r="AT22" s="378">
        <v>0</v>
      </c>
      <c r="AU22" s="378">
        <v>0</v>
      </c>
      <c r="AV22" s="378">
        <v>0</v>
      </c>
      <c r="AW22" s="378">
        <v>0</v>
      </c>
      <c r="AX22" s="378">
        <v>0</v>
      </c>
      <c r="AY22" s="378">
        <v>2</v>
      </c>
      <c r="AZ22" s="378">
        <v>2</v>
      </c>
      <c r="BA22" s="378">
        <v>1</v>
      </c>
      <c r="BB22" s="378">
        <v>2</v>
      </c>
      <c r="BC22" s="378">
        <v>5</v>
      </c>
      <c r="BD22" s="378">
        <v>4</v>
      </c>
      <c r="BE22" s="378">
        <v>6</v>
      </c>
      <c r="BF22" s="90">
        <f t="shared" si="14"/>
        <v>0</v>
      </c>
      <c r="BG22" s="90">
        <f t="shared" si="15"/>
        <v>0</v>
      </c>
      <c r="BH22" s="90">
        <f t="shared" si="16"/>
        <v>0</v>
      </c>
      <c r="BI22" s="90">
        <f t="shared" si="17"/>
        <v>7</v>
      </c>
      <c r="BJ22" s="90">
        <f t="shared" si="18"/>
        <v>15</v>
      </c>
      <c r="BK22" s="379">
        <v>3167</v>
      </c>
      <c r="BL22" s="379">
        <v>668</v>
      </c>
      <c r="BM22" s="379">
        <v>399</v>
      </c>
      <c r="BN22" s="379">
        <v>3820</v>
      </c>
      <c r="BO22" s="385">
        <v>100</v>
      </c>
      <c r="BP22" s="385">
        <v>100</v>
      </c>
      <c r="BQ22" s="5">
        <f t="shared" si="7"/>
        <v>1375</v>
      </c>
      <c r="BR22" s="5">
        <f t="shared" si="8"/>
        <v>26</v>
      </c>
      <c r="BS22" s="302">
        <v>0</v>
      </c>
      <c r="BT22" s="380">
        <v>962</v>
      </c>
      <c r="BU22" s="380">
        <v>342</v>
      </c>
      <c r="BV22" s="380">
        <v>7</v>
      </c>
      <c r="BW22" s="380">
        <v>7</v>
      </c>
      <c r="BX22" s="380">
        <v>57</v>
      </c>
      <c r="BY22" s="381">
        <v>1211</v>
      </c>
      <c r="BZ22" s="381">
        <v>154</v>
      </c>
      <c r="CA22" s="381">
        <v>2</v>
      </c>
      <c r="CB22" s="381">
        <v>7</v>
      </c>
      <c r="CC22" s="381">
        <v>1</v>
      </c>
      <c r="CD22" s="382">
        <v>0</v>
      </c>
      <c r="CE22" s="382">
        <v>0</v>
      </c>
      <c r="CF22" s="382">
        <v>0</v>
      </c>
      <c r="CG22" s="382">
        <v>0</v>
      </c>
      <c r="CH22" s="382">
        <v>3</v>
      </c>
      <c r="CI22" s="382">
        <v>4</v>
      </c>
      <c r="CJ22" s="382">
        <v>10</v>
      </c>
      <c r="CK22" s="382">
        <v>16</v>
      </c>
      <c r="CL22" s="382">
        <v>28</v>
      </c>
      <c r="CM22" s="382">
        <v>51</v>
      </c>
      <c r="CN22" s="382">
        <v>73</v>
      </c>
      <c r="CO22" s="382">
        <v>98</v>
      </c>
      <c r="CP22" s="382">
        <v>123</v>
      </c>
      <c r="CQ22" s="382">
        <v>175</v>
      </c>
      <c r="CR22" s="382">
        <v>193</v>
      </c>
      <c r="CS22" s="382">
        <v>259</v>
      </c>
      <c r="CT22" s="382">
        <v>194</v>
      </c>
      <c r="CU22" s="382">
        <v>148</v>
      </c>
      <c r="CV22" s="25">
        <f t="shared" si="9"/>
        <v>0</v>
      </c>
      <c r="CW22" s="25">
        <f t="shared" si="10"/>
        <v>7</v>
      </c>
      <c r="CX22" s="25">
        <f t="shared" si="11"/>
        <v>178</v>
      </c>
      <c r="CY22" s="25">
        <f t="shared" si="12"/>
        <v>589</v>
      </c>
      <c r="CZ22" s="25">
        <f t="shared" si="13"/>
        <v>601</v>
      </c>
      <c r="DA22" s="383">
        <v>0</v>
      </c>
      <c r="DB22" s="383">
        <v>0</v>
      </c>
      <c r="DC22" s="383">
        <v>0</v>
      </c>
      <c r="DD22" s="383">
        <v>0</v>
      </c>
      <c r="DE22" s="383">
        <v>0</v>
      </c>
      <c r="DF22" s="383">
        <v>0</v>
      </c>
      <c r="DG22" s="383">
        <v>0</v>
      </c>
      <c r="DH22" s="383">
        <v>0</v>
      </c>
      <c r="DI22" s="383">
        <v>0</v>
      </c>
      <c r="DJ22" s="383">
        <v>0</v>
      </c>
      <c r="DK22" s="383">
        <v>0</v>
      </c>
      <c r="DL22" s="383">
        <v>1</v>
      </c>
      <c r="DM22" s="383">
        <v>1</v>
      </c>
      <c r="DN22" s="383">
        <v>1</v>
      </c>
      <c r="DO22" s="383">
        <v>5</v>
      </c>
      <c r="DP22" s="383">
        <v>3</v>
      </c>
      <c r="DQ22" s="383">
        <v>6</v>
      </c>
      <c r="DR22" s="383">
        <v>9</v>
      </c>
      <c r="DS22" s="91">
        <f t="shared" si="19"/>
        <v>0</v>
      </c>
      <c r="DT22" s="91">
        <f t="shared" si="20"/>
        <v>0</v>
      </c>
      <c r="DU22" s="91">
        <f t="shared" si="21"/>
        <v>0</v>
      </c>
      <c r="DV22" s="91">
        <f t="shared" si="22"/>
        <v>8</v>
      </c>
      <c r="DW22" s="91">
        <f t="shared" si="23"/>
        <v>18</v>
      </c>
      <c r="DX22" s="384">
        <v>6028</v>
      </c>
      <c r="DY22" s="384">
        <v>1274</v>
      </c>
      <c r="DZ22" s="384">
        <v>783</v>
      </c>
      <c r="EA22" s="384">
        <v>7220</v>
      </c>
      <c r="EB22">
        <v>100</v>
      </c>
      <c r="EC22">
        <v>100</v>
      </c>
    </row>
    <row r="23" spans="1:133" ht="12.95" customHeight="1">
      <c r="A23" s="2">
        <v>20</v>
      </c>
      <c r="B23" s="3" t="s">
        <v>71</v>
      </c>
      <c r="C23" s="3" t="s">
        <v>72</v>
      </c>
      <c r="D23" s="4">
        <f t="shared" si="0"/>
        <v>14</v>
      </c>
      <c r="E23" s="4">
        <f t="shared" si="1"/>
        <v>8</v>
      </c>
      <c r="F23" s="305">
        <v>0</v>
      </c>
      <c r="G23" s="375">
        <v>4</v>
      </c>
      <c r="H23" s="375">
        <v>7</v>
      </c>
      <c r="I23" s="375">
        <v>1</v>
      </c>
      <c r="J23" s="375">
        <v>1</v>
      </c>
      <c r="K23" s="375">
        <v>1</v>
      </c>
      <c r="L23" s="376">
        <v>13</v>
      </c>
      <c r="M23" s="376">
        <v>0</v>
      </c>
      <c r="N23" s="376">
        <v>0</v>
      </c>
      <c r="O23" s="376">
        <v>1</v>
      </c>
      <c r="P23" s="376">
        <v>0</v>
      </c>
      <c r="Q23" s="377">
        <v>0</v>
      </c>
      <c r="R23" s="377">
        <v>0</v>
      </c>
      <c r="S23" s="377">
        <v>0</v>
      </c>
      <c r="T23" s="377">
        <v>0</v>
      </c>
      <c r="U23" s="377">
        <v>0</v>
      </c>
      <c r="V23" s="377">
        <v>0</v>
      </c>
      <c r="W23" s="377">
        <v>0</v>
      </c>
      <c r="X23" s="377">
        <v>1</v>
      </c>
      <c r="Y23" s="377">
        <v>0</v>
      </c>
      <c r="Z23" s="377">
        <v>0</v>
      </c>
      <c r="AA23" s="377">
        <v>1</v>
      </c>
      <c r="AB23" s="377">
        <v>2</v>
      </c>
      <c r="AC23" s="377">
        <v>0</v>
      </c>
      <c r="AD23" s="377">
        <v>2</v>
      </c>
      <c r="AE23" s="377">
        <v>4</v>
      </c>
      <c r="AF23" s="377">
        <v>4</v>
      </c>
      <c r="AG23" s="377">
        <v>0</v>
      </c>
      <c r="AH23" s="377">
        <v>0</v>
      </c>
      <c r="AI23" s="24">
        <f t="shared" si="2"/>
        <v>0</v>
      </c>
      <c r="AJ23" s="24">
        <f t="shared" si="3"/>
        <v>0</v>
      </c>
      <c r="AK23" s="24">
        <f t="shared" si="4"/>
        <v>2</v>
      </c>
      <c r="AL23" s="24">
        <f t="shared" si="5"/>
        <v>8</v>
      </c>
      <c r="AM23" s="24">
        <f t="shared" si="6"/>
        <v>4</v>
      </c>
      <c r="AN23" s="378">
        <v>0</v>
      </c>
      <c r="AO23" s="378">
        <v>0</v>
      </c>
      <c r="AP23" s="378">
        <v>0</v>
      </c>
      <c r="AQ23" s="378">
        <v>0</v>
      </c>
      <c r="AR23" s="378">
        <v>0</v>
      </c>
      <c r="AS23" s="378">
        <v>0</v>
      </c>
      <c r="AT23" s="378">
        <v>0</v>
      </c>
      <c r="AU23" s="378">
        <v>0</v>
      </c>
      <c r="AV23" s="378">
        <v>0</v>
      </c>
      <c r="AW23" s="378">
        <v>1</v>
      </c>
      <c r="AX23" s="378">
        <v>0</v>
      </c>
      <c r="AY23" s="378">
        <v>2</v>
      </c>
      <c r="AZ23" s="378">
        <v>1</v>
      </c>
      <c r="BA23" s="378">
        <v>1</v>
      </c>
      <c r="BB23" s="378">
        <v>1</v>
      </c>
      <c r="BC23" s="378">
        <v>1</v>
      </c>
      <c r="BD23" s="378">
        <v>1</v>
      </c>
      <c r="BE23" s="378">
        <v>0</v>
      </c>
      <c r="BF23" s="90">
        <f t="shared" si="14"/>
        <v>0</v>
      </c>
      <c r="BG23" s="90">
        <f t="shared" si="15"/>
        <v>0</v>
      </c>
      <c r="BH23" s="90">
        <f t="shared" si="16"/>
        <v>1</v>
      </c>
      <c r="BI23" s="90">
        <f t="shared" si="17"/>
        <v>5</v>
      </c>
      <c r="BJ23" s="90">
        <f t="shared" si="18"/>
        <v>2</v>
      </c>
      <c r="BK23" s="379">
        <v>73</v>
      </c>
      <c r="BL23" s="379">
        <v>44</v>
      </c>
      <c r="BM23" s="379">
        <v>20</v>
      </c>
      <c r="BN23" s="379">
        <v>83</v>
      </c>
      <c r="BO23" s="385">
        <v>79.099999999999994</v>
      </c>
      <c r="BP23" s="385">
        <v>48.6</v>
      </c>
      <c r="BQ23" s="5">
        <f t="shared" si="7"/>
        <v>1655</v>
      </c>
      <c r="BR23" s="5">
        <f t="shared" si="8"/>
        <v>512</v>
      </c>
      <c r="BS23" s="302">
        <v>0</v>
      </c>
      <c r="BT23" s="380">
        <v>553</v>
      </c>
      <c r="BU23" s="380">
        <v>629</v>
      </c>
      <c r="BV23" s="380">
        <v>273</v>
      </c>
      <c r="BW23" s="380">
        <v>80</v>
      </c>
      <c r="BX23" s="380">
        <v>120</v>
      </c>
      <c r="BY23" s="381">
        <v>1512</v>
      </c>
      <c r="BZ23" s="381">
        <v>25</v>
      </c>
      <c r="CA23" s="381">
        <v>17</v>
      </c>
      <c r="CB23" s="381">
        <v>98</v>
      </c>
      <c r="CC23" s="381">
        <v>4</v>
      </c>
      <c r="CD23" s="382">
        <v>0</v>
      </c>
      <c r="CE23" s="382">
        <v>0</v>
      </c>
      <c r="CF23" s="382">
        <v>0</v>
      </c>
      <c r="CG23" s="382">
        <v>0</v>
      </c>
      <c r="CH23" s="382">
        <v>2</v>
      </c>
      <c r="CI23" s="382">
        <v>5</v>
      </c>
      <c r="CJ23" s="382">
        <v>13</v>
      </c>
      <c r="CK23" s="382">
        <v>41</v>
      </c>
      <c r="CL23" s="382">
        <v>94</v>
      </c>
      <c r="CM23" s="382">
        <v>151</v>
      </c>
      <c r="CN23" s="382">
        <v>201</v>
      </c>
      <c r="CO23" s="382">
        <v>208</v>
      </c>
      <c r="CP23" s="382">
        <v>203</v>
      </c>
      <c r="CQ23" s="382">
        <v>210</v>
      </c>
      <c r="CR23" s="382">
        <v>173</v>
      </c>
      <c r="CS23" s="382">
        <v>166</v>
      </c>
      <c r="CT23" s="382">
        <v>111</v>
      </c>
      <c r="CU23" s="382">
        <v>77</v>
      </c>
      <c r="CV23" s="25">
        <f t="shared" si="9"/>
        <v>0</v>
      </c>
      <c r="CW23" s="25">
        <f t="shared" si="10"/>
        <v>7</v>
      </c>
      <c r="CX23" s="25">
        <f t="shared" si="11"/>
        <v>500</v>
      </c>
      <c r="CY23" s="25">
        <f t="shared" si="12"/>
        <v>794</v>
      </c>
      <c r="CZ23" s="25">
        <f t="shared" si="13"/>
        <v>354</v>
      </c>
      <c r="DA23" s="383">
        <v>0</v>
      </c>
      <c r="DB23" s="383">
        <v>0</v>
      </c>
      <c r="DC23" s="383">
        <v>0</v>
      </c>
      <c r="DD23" s="383">
        <v>0</v>
      </c>
      <c r="DE23" s="383">
        <v>0</v>
      </c>
      <c r="DF23" s="383">
        <v>1</v>
      </c>
      <c r="DG23" s="383">
        <v>2</v>
      </c>
      <c r="DH23" s="383">
        <v>5</v>
      </c>
      <c r="DI23" s="383">
        <v>17</v>
      </c>
      <c r="DJ23" s="383">
        <v>22</v>
      </c>
      <c r="DK23" s="383">
        <v>36</v>
      </c>
      <c r="DL23" s="383">
        <v>56</v>
      </c>
      <c r="DM23" s="383">
        <v>63</v>
      </c>
      <c r="DN23" s="383">
        <v>47</v>
      </c>
      <c r="DO23" s="383">
        <v>77</v>
      </c>
      <c r="DP23" s="383">
        <v>77</v>
      </c>
      <c r="DQ23" s="383">
        <v>54</v>
      </c>
      <c r="DR23" s="383">
        <v>55</v>
      </c>
      <c r="DS23" s="91">
        <f t="shared" si="19"/>
        <v>0</v>
      </c>
      <c r="DT23" s="91">
        <f t="shared" si="20"/>
        <v>1</v>
      </c>
      <c r="DU23" s="91">
        <f t="shared" si="21"/>
        <v>82</v>
      </c>
      <c r="DV23" s="91">
        <f t="shared" si="22"/>
        <v>243</v>
      </c>
      <c r="DW23" s="91">
        <f t="shared" si="23"/>
        <v>186</v>
      </c>
      <c r="DX23" s="384">
        <v>13364</v>
      </c>
      <c r="DY23" s="384">
        <v>9089</v>
      </c>
      <c r="DZ23" s="384">
        <v>5239</v>
      </c>
      <c r="EA23" s="384">
        <v>14702</v>
      </c>
      <c r="EB23">
        <v>91.6</v>
      </c>
      <c r="EC23">
        <v>75.599999999999994</v>
      </c>
    </row>
    <row r="24" spans="1:133" ht="12.95" customHeight="1">
      <c r="A24" s="12">
        <v>21</v>
      </c>
      <c r="B24" s="3" t="s">
        <v>79</v>
      </c>
      <c r="C24" s="3" t="s">
        <v>80</v>
      </c>
      <c r="D24" s="4">
        <f>SUM(F24:K24)</f>
        <v>0</v>
      </c>
      <c r="E24" s="4">
        <f>SUM(AN24:BE24)</f>
        <v>0</v>
      </c>
      <c r="F24" s="305">
        <v>0</v>
      </c>
      <c r="G24" s="375">
        <v>0</v>
      </c>
      <c r="H24" s="375">
        <v>0</v>
      </c>
      <c r="I24" s="375">
        <v>0</v>
      </c>
      <c r="J24" s="375">
        <v>0</v>
      </c>
      <c r="K24" s="375">
        <v>0</v>
      </c>
      <c r="L24" s="376">
        <v>0</v>
      </c>
      <c r="M24" s="376">
        <v>0</v>
      </c>
      <c r="N24" s="376">
        <v>0</v>
      </c>
      <c r="O24" s="376">
        <v>0</v>
      </c>
      <c r="P24" s="376">
        <v>0</v>
      </c>
      <c r="Q24" s="377">
        <v>0</v>
      </c>
      <c r="R24" s="377">
        <v>0</v>
      </c>
      <c r="S24" s="377">
        <v>0</v>
      </c>
      <c r="T24" s="377">
        <v>0</v>
      </c>
      <c r="U24" s="377">
        <v>0</v>
      </c>
      <c r="V24" s="377">
        <v>0</v>
      </c>
      <c r="W24" s="377">
        <v>0</v>
      </c>
      <c r="X24" s="377">
        <v>0</v>
      </c>
      <c r="Y24" s="377">
        <v>0</v>
      </c>
      <c r="Z24" s="377">
        <v>0</v>
      </c>
      <c r="AA24" s="377">
        <v>0</v>
      </c>
      <c r="AB24" s="377">
        <v>0</v>
      </c>
      <c r="AC24" s="377">
        <v>0</v>
      </c>
      <c r="AD24" s="377">
        <v>0</v>
      </c>
      <c r="AE24" s="377">
        <v>0</v>
      </c>
      <c r="AF24" s="377">
        <v>0</v>
      </c>
      <c r="AG24" s="377">
        <v>0</v>
      </c>
      <c r="AH24" s="377">
        <v>0</v>
      </c>
      <c r="AI24" s="24">
        <f>Q24+R24+S24</f>
        <v>0</v>
      </c>
      <c r="AJ24" s="24">
        <f>T24+U24+V24</f>
        <v>0</v>
      </c>
      <c r="AK24" s="24">
        <f>W24+X24+Y24+Z24+AA24</f>
        <v>0</v>
      </c>
      <c r="AL24" s="24">
        <f>AB24+AC24+AD24+AE24</f>
        <v>0</v>
      </c>
      <c r="AM24" s="24">
        <f>AF24+AG24+AH24</f>
        <v>0</v>
      </c>
      <c r="AN24" s="378">
        <v>0</v>
      </c>
      <c r="AO24" s="378">
        <v>0</v>
      </c>
      <c r="AP24" s="378">
        <v>0</v>
      </c>
      <c r="AQ24" s="378">
        <v>0</v>
      </c>
      <c r="AR24" s="378">
        <v>0</v>
      </c>
      <c r="AS24" s="378">
        <v>0</v>
      </c>
      <c r="AT24" s="378">
        <v>0</v>
      </c>
      <c r="AU24" s="378">
        <v>0</v>
      </c>
      <c r="AV24" s="378">
        <v>0</v>
      </c>
      <c r="AW24" s="378">
        <v>0</v>
      </c>
      <c r="AX24" s="378">
        <v>0</v>
      </c>
      <c r="AY24" s="378">
        <v>0</v>
      </c>
      <c r="AZ24" s="378">
        <v>0</v>
      </c>
      <c r="BA24" s="378">
        <v>0</v>
      </c>
      <c r="BB24" s="378">
        <v>0</v>
      </c>
      <c r="BC24" s="378">
        <v>0</v>
      </c>
      <c r="BD24" s="378">
        <v>0</v>
      </c>
      <c r="BE24" s="378">
        <v>0</v>
      </c>
      <c r="BF24" s="90">
        <f t="shared" si="14"/>
        <v>0</v>
      </c>
      <c r="BG24" s="90">
        <f t="shared" si="15"/>
        <v>0</v>
      </c>
      <c r="BH24" s="90">
        <f t="shared" si="16"/>
        <v>0</v>
      </c>
      <c r="BI24" s="90">
        <f t="shared" si="17"/>
        <v>0</v>
      </c>
      <c r="BJ24" s="90">
        <f t="shared" si="18"/>
        <v>0</v>
      </c>
      <c r="BK24" s="379">
        <v>0</v>
      </c>
      <c r="BL24" s="379">
        <v>0</v>
      </c>
      <c r="BM24" s="379">
        <v>0</v>
      </c>
      <c r="BN24" s="379">
        <v>0</v>
      </c>
      <c r="BO24" s="385"/>
      <c r="BP24" s="385"/>
      <c r="BQ24" s="5">
        <f>SUM(BS24:BX24)</f>
        <v>46</v>
      </c>
      <c r="BR24" s="5">
        <f>SUM(DA24:DR24)</f>
        <v>30</v>
      </c>
      <c r="BS24" s="302">
        <v>0</v>
      </c>
      <c r="BT24" s="380">
        <v>14</v>
      </c>
      <c r="BU24" s="380">
        <v>4</v>
      </c>
      <c r="BV24" s="380">
        <v>11</v>
      </c>
      <c r="BW24" s="380">
        <v>6</v>
      </c>
      <c r="BX24" s="380">
        <v>11</v>
      </c>
      <c r="BY24" s="381">
        <v>37</v>
      </c>
      <c r="BZ24" s="381">
        <v>0</v>
      </c>
      <c r="CA24" s="381">
        <v>0</v>
      </c>
      <c r="CB24" s="381">
        <v>8</v>
      </c>
      <c r="CC24" s="381">
        <v>1</v>
      </c>
      <c r="CD24" s="382">
        <v>0</v>
      </c>
      <c r="CE24" s="382">
        <v>0</v>
      </c>
      <c r="CF24" s="382">
        <v>0</v>
      </c>
      <c r="CG24" s="382">
        <v>0</v>
      </c>
      <c r="CH24" s="382">
        <v>0</v>
      </c>
      <c r="CI24" s="382">
        <v>0</v>
      </c>
      <c r="CJ24" s="382">
        <v>0</v>
      </c>
      <c r="CK24" s="382">
        <v>0</v>
      </c>
      <c r="CL24" s="382">
        <v>0</v>
      </c>
      <c r="CM24" s="382">
        <v>0</v>
      </c>
      <c r="CN24" s="382">
        <v>2</v>
      </c>
      <c r="CO24" s="382">
        <v>2</v>
      </c>
      <c r="CP24" s="382">
        <v>5</v>
      </c>
      <c r="CQ24" s="382">
        <v>7</v>
      </c>
      <c r="CR24" s="382">
        <v>5</v>
      </c>
      <c r="CS24" s="382">
        <v>4</v>
      </c>
      <c r="CT24" s="382">
        <v>9</v>
      </c>
      <c r="CU24" s="382">
        <v>12</v>
      </c>
      <c r="CV24" s="25">
        <f>CD24+CE24+CF24</f>
        <v>0</v>
      </c>
      <c r="CW24" s="25">
        <f>CG24+CH24+CI24</f>
        <v>0</v>
      </c>
      <c r="CX24" s="25">
        <f>CJ24+CK24+CL24+CM24+CN24</f>
        <v>2</v>
      </c>
      <c r="CY24" s="25">
        <f>CO24+CP24+CQ24+CR24</f>
        <v>19</v>
      </c>
      <c r="CZ24" s="25">
        <f>CS24+CT24+CU24</f>
        <v>25</v>
      </c>
      <c r="DA24" s="383">
        <v>0</v>
      </c>
      <c r="DB24" s="383">
        <v>0</v>
      </c>
      <c r="DC24" s="383">
        <v>0</v>
      </c>
      <c r="DD24" s="383">
        <v>0</v>
      </c>
      <c r="DE24" s="383">
        <v>0</v>
      </c>
      <c r="DF24" s="383">
        <v>0</v>
      </c>
      <c r="DG24" s="383">
        <v>0</v>
      </c>
      <c r="DH24" s="383">
        <v>1</v>
      </c>
      <c r="DI24" s="383">
        <v>0</v>
      </c>
      <c r="DJ24" s="383">
        <v>0</v>
      </c>
      <c r="DK24" s="383">
        <v>1</v>
      </c>
      <c r="DL24" s="383">
        <v>2</v>
      </c>
      <c r="DM24" s="383">
        <v>3</v>
      </c>
      <c r="DN24" s="383">
        <v>2</v>
      </c>
      <c r="DO24" s="383">
        <v>2</v>
      </c>
      <c r="DP24" s="383">
        <v>5</v>
      </c>
      <c r="DQ24" s="383">
        <v>7</v>
      </c>
      <c r="DR24" s="383">
        <v>7</v>
      </c>
      <c r="DS24" s="91">
        <f t="shared" si="19"/>
        <v>0</v>
      </c>
      <c r="DT24" s="91">
        <f t="shared" si="20"/>
        <v>0</v>
      </c>
      <c r="DU24" s="91">
        <f t="shared" si="21"/>
        <v>2</v>
      </c>
      <c r="DV24" s="91">
        <f t="shared" si="22"/>
        <v>9</v>
      </c>
      <c r="DW24" s="91">
        <f t="shared" si="23"/>
        <v>19</v>
      </c>
      <c r="DX24" s="384">
        <v>275</v>
      </c>
      <c r="DY24" s="384">
        <v>174</v>
      </c>
      <c r="DZ24" s="384">
        <v>94</v>
      </c>
      <c r="EA24" s="384">
        <v>300</v>
      </c>
      <c r="EB24">
        <v>83.1</v>
      </c>
      <c r="EC24">
        <v>63.5</v>
      </c>
    </row>
    <row r="25" spans="1:133" ht="12.95" customHeight="1">
      <c r="A25" s="2">
        <v>22</v>
      </c>
      <c r="B25" s="3" t="s">
        <v>73</v>
      </c>
      <c r="C25" s="3" t="s">
        <v>74</v>
      </c>
      <c r="D25" s="4">
        <f t="shared" si="0"/>
        <v>0</v>
      </c>
      <c r="E25" s="4">
        <f t="shared" si="1"/>
        <v>0</v>
      </c>
      <c r="F25" s="305">
        <v>0</v>
      </c>
      <c r="G25" s="375">
        <v>0</v>
      </c>
      <c r="H25" s="375">
        <v>0</v>
      </c>
      <c r="I25" s="375">
        <v>0</v>
      </c>
      <c r="J25" s="375">
        <v>0</v>
      </c>
      <c r="K25" s="375">
        <v>0</v>
      </c>
      <c r="L25" s="376">
        <v>0</v>
      </c>
      <c r="M25" s="376">
        <v>0</v>
      </c>
      <c r="N25" s="376">
        <v>0</v>
      </c>
      <c r="O25" s="376">
        <v>0</v>
      </c>
      <c r="P25" s="376">
        <v>0</v>
      </c>
      <c r="Q25" s="377">
        <v>0</v>
      </c>
      <c r="R25" s="377">
        <v>0</v>
      </c>
      <c r="S25" s="377">
        <v>0</v>
      </c>
      <c r="T25" s="377">
        <v>0</v>
      </c>
      <c r="U25" s="377">
        <v>0</v>
      </c>
      <c r="V25" s="377">
        <v>0</v>
      </c>
      <c r="W25" s="377">
        <v>0</v>
      </c>
      <c r="X25" s="377">
        <v>0</v>
      </c>
      <c r="Y25" s="377">
        <v>0</v>
      </c>
      <c r="Z25" s="377">
        <v>0</v>
      </c>
      <c r="AA25" s="377">
        <v>0</v>
      </c>
      <c r="AB25" s="377">
        <v>0</v>
      </c>
      <c r="AC25" s="377">
        <v>0</v>
      </c>
      <c r="AD25" s="377">
        <v>0</v>
      </c>
      <c r="AE25" s="377">
        <v>0</v>
      </c>
      <c r="AF25" s="377">
        <v>0</v>
      </c>
      <c r="AG25" s="377">
        <v>0</v>
      </c>
      <c r="AH25" s="377">
        <v>0</v>
      </c>
      <c r="AI25" s="24">
        <f t="shared" si="2"/>
        <v>0</v>
      </c>
      <c r="AJ25" s="24">
        <f t="shared" si="3"/>
        <v>0</v>
      </c>
      <c r="AK25" s="24">
        <f t="shared" si="4"/>
        <v>0</v>
      </c>
      <c r="AL25" s="24">
        <f t="shared" si="5"/>
        <v>0</v>
      </c>
      <c r="AM25" s="24">
        <f t="shared" si="6"/>
        <v>0</v>
      </c>
      <c r="AN25" s="378">
        <v>0</v>
      </c>
      <c r="AO25" s="378">
        <v>0</v>
      </c>
      <c r="AP25" s="378">
        <v>0</v>
      </c>
      <c r="AQ25" s="378">
        <v>0</v>
      </c>
      <c r="AR25" s="378">
        <v>0</v>
      </c>
      <c r="AS25" s="378">
        <v>0</v>
      </c>
      <c r="AT25" s="378">
        <v>0</v>
      </c>
      <c r="AU25" s="378">
        <v>0</v>
      </c>
      <c r="AV25" s="378">
        <v>0</v>
      </c>
      <c r="AW25" s="378">
        <v>0</v>
      </c>
      <c r="AX25" s="378">
        <v>0</v>
      </c>
      <c r="AY25" s="378">
        <v>0</v>
      </c>
      <c r="AZ25" s="378">
        <v>0</v>
      </c>
      <c r="BA25" s="378">
        <v>0</v>
      </c>
      <c r="BB25" s="378">
        <v>0</v>
      </c>
      <c r="BC25" s="378">
        <v>0</v>
      </c>
      <c r="BD25" s="378">
        <v>0</v>
      </c>
      <c r="BE25" s="378">
        <v>0</v>
      </c>
      <c r="BF25" s="90">
        <f t="shared" si="14"/>
        <v>0</v>
      </c>
      <c r="BG25" s="90">
        <f t="shared" si="15"/>
        <v>0</v>
      </c>
      <c r="BH25" s="90">
        <f t="shared" si="16"/>
        <v>0</v>
      </c>
      <c r="BI25" s="90">
        <f t="shared" si="17"/>
        <v>0</v>
      </c>
      <c r="BJ25" s="90">
        <f t="shared" si="18"/>
        <v>0</v>
      </c>
      <c r="BK25" s="379">
        <v>0</v>
      </c>
      <c r="BL25" s="379">
        <v>0</v>
      </c>
      <c r="BM25" s="379">
        <v>0</v>
      </c>
      <c r="BN25" s="379">
        <v>0</v>
      </c>
      <c r="BO25" s="385"/>
      <c r="BP25" s="385"/>
      <c r="BQ25" s="5">
        <f t="shared" si="7"/>
        <v>366</v>
      </c>
      <c r="BR25" s="5">
        <f t="shared" si="8"/>
        <v>180</v>
      </c>
      <c r="BS25" s="302">
        <v>0</v>
      </c>
      <c r="BT25" s="380">
        <v>124</v>
      </c>
      <c r="BU25" s="380">
        <v>73</v>
      </c>
      <c r="BV25" s="380">
        <v>75</v>
      </c>
      <c r="BW25" s="380">
        <v>40</v>
      </c>
      <c r="BX25" s="380">
        <v>54</v>
      </c>
      <c r="BY25" s="381">
        <v>322</v>
      </c>
      <c r="BZ25" s="381">
        <v>1</v>
      </c>
      <c r="CA25" s="381">
        <v>11</v>
      </c>
      <c r="CB25" s="381">
        <v>29</v>
      </c>
      <c r="CC25" s="381">
        <v>3</v>
      </c>
      <c r="CD25" s="382">
        <v>0</v>
      </c>
      <c r="CE25" s="382">
        <v>0</v>
      </c>
      <c r="CF25" s="382">
        <v>0</v>
      </c>
      <c r="CG25" s="382">
        <v>0</v>
      </c>
      <c r="CH25" s="382">
        <v>0</v>
      </c>
      <c r="CI25" s="382">
        <v>17</v>
      </c>
      <c r="CJ25" s="382">
        <v>14</v>
      </c>
      <c r="CK25" s="382">
        <v>20</v>
      </c>
      <c r="CL25" s="382">
        <v>45</v>
      </c>
      <c r="CM25" s="382">
        <v>43</v>
      </c>
      <c r="CN25" s="382">
        <v>48</v>
      </c>
      <c r="CO25" s="382">
        <v>36</v>
      </c>
      <c r="CP25" s="382">
        <v>31</v>
      </c>
      <c r="CQ25" s="382">
        <v>22</v>
      </c>
      <c r="CR25" s="382">
        <v>24</v>
      </c>
      <c r="CS25" s="382">
        <v>29</v>
      </c>
      <c r="CT25" s="382">
        <v>22</v>
      </c>
      <c r="CU25" s="382">
        <v>15</v>
      </c>
      <c r="CV25" s="25">
        <f t="shared" si="9"/>
        <v>0</v>
      </c>
      <c r="CW25" s="25">
        <f t="shared" si="10"/>
        <v>17</v>
      </c>
      <c r="CX25" s="25">
        <f t="shared" si="11"/>
        <v>170</v>
      </c>
      <c r="CY25" s="25">
        <f t="shared" si="12"/>
        <v>113</v>
      </c>
      <c r="CZ25" s="25">
        <f t="shared" si="13"/>
        <v>66</v>
      </c>
      <c r="DA25" s="383">
        <v>0</v>
      </c>
      <c r="DB25" s="383">
        <v>0</v>
      </c>
      <c r="DC25" s="383">
        <v>0</v>
      </c>
      <c r="DD25" s="383">
        <v>0</v>
      </c>
      <c r="DE25" s="383">
        <v>0</v>
      </c>
      <c r="DF25" s="383">
        <v>1</v>
      </c>
      <c r="DG25" s="383">
        <v>4</v>
      </c>
      <c r="DH25" s="383">
        <v>5</v>
      </c>
      <c r="DI25" s="383">
        <v>15</v>
      </c>
      <c r="DJ25" s="383">
        <v>14</v>
      </c>
      <c r="DK25" s="383">
        <v>20</v>
      </c>
      <c r="DL25" s="383">
        <v>20</v>
      </c>
      <c r="DM25" s="383">
        <v>22</v>
      </c>
      <c r="DN25" s="383">
        <v>17</v>
      </c>
      <c r="DO25" s="383">
        <v>14</v>
      </c>
      <c r="DP25" s="383">
        <v>15</v>
      </c>
      <c r="DQ25" s="383">
        <v>21</v>
      </c>
      <c r="DR25" s="383">
        <v>12</v>
      </c>
      <c r="DS25" s="91">
        <f t="shared" si="19"/>
        <v>0</v>
      </c>
      <c r="DT25" s="91">
        <f t="shared" si="20"/>
        <v>1</v>
      </c>
      <c r="DU25" s="91">
        <f t="shared" si="21"/>
        <v>58</v>
      </c>
      <c r="DV25" s="91">
        <f t="shared" si="22"/>
        <v>73</v>
      </c>
      <c r="DW25" s="91">
        <f t="shared" si="23"/>
        <v>48</v>
      </c>
      <c r="DX25" s="384">
        <v>4627</v>
      </c>
      <c r="DY25" s="384">
        <v>3549</v>
      </c>
      <c r="DZ25" s="384">
        <v>2268</v>
      </c>
      <c r="EA25" s="384">
        <v>4906</v>
      </c>
      <c r="EB25">
        <v>84.3</v>
      </c>
      <c r="EC25">
        <v>64.3</v>
      </c>
    </row>
    <row r="26" spans="1:133" ht="12.95" customHeight="1">
      <c r="A26" s="12">
        <v>23</v>
      </c>
      <c r="B26" s="3" t="s">
        <v>75</v>
      </c>
      <c r="C26" s="3" t="s">
        <v>76</v>
      </c>
      <c r="D26" s="4">
        <f t="shared" si="0"/>
        <v>0</v>
      </c>
      <c r="E26" s="4">
        <f t="shared" si="1"/>
        <v>0</v>
      </c>
      <c r="F26" s="305">
        <v>0</v>
      </c>
      <c r="G26" s="375">
        <v>0</v>
      </c>
      <c r="H26" s="375">
        <v>0</v>
      </c>
      <c r="I26" s="375">
        <v>0</v>
      </c>
      <c r="J26" s="375">
        <v>0</v>
      </c>
      <c r="K26" s="375">
        <v>0</v>
      </c>
      <c r="L26" s="376">
        <v>0</v>
      </c>
      <c r="M26" s="376">
        <v>0</v>
      </c>
      <c r="N26" s="376">
        <v>0</v>
      </c>
      <c r="O26" s="376">
        <v>0</v>
      </c>
      <c r="P26" s="376">
        <v>0</v>
      </c>
      <c r="Q26" s="377">
        <v>0</v>
      </c>
      <c r="R26" s="377">
        <v>0</v>
      </c>
      <c r="S26" s="377">
        <v>0</v>
      </c>
      <c r="T26" s="377">
        <v>0</v>
      </c>
      <c r="U26" s="377">
        <v>0</v>
      </c>
      <c r="V26" s="377">
        <v>0</v>
      </c>
      <c r="W26" s="377">
        <v>0</v>
      </c>
      <c r="X26" s="377">
        <v>0</v>
      </c>
      <c r="Y26" s="377">
        <v>0</v>
      </c>
      <c r="Z26" s="377">
        <v>0</v>
      </c>
      <c r="AA26" s="377">
        <v>0</v>
      </c>
      <c r="AB26" s="377">
        <v>0</v>
      </c>
      <c r="AC26" s="377">
        <v>0</v>
      </c>
      <c r="AD26" s="377">
        <v>0</v>
      </c>
      <c r="AE26" s="377">
        <v>0</v>
      </c>
      <c r="AF26" s="377">
        <v>0</v>
      </c>
      <c r="AG26" s="377">
        <v>0</v>
      </c>
      <c r="AH26" s="377">
        <v>0</v>
      </c>
      <c r="AI26" s="24">
        <f t="shared" si="2"/>
        <v>0</v>
      </c>
      <c r="AJ26" s="24">
        <f t="shared" si="3"/>
        <v>0</v>
      </c>
      <c r="AK26" s="24">
        <f t="shared" si="4"/>
        <v>0</v>
      </c>
      <c r="AL26" s="24">
        <f t="shared" si="5"/>
        <v>0</v>
      </c>
      <c r="AM26" s="24">
        <f t="shared" si="6"/>
        <v>0</v>
      </c>
      <c r="AN26" s="378">
        <v>0</v>
      </c>
      <c r="AO26" s="378">
        <v>0</v>
      </c>
      <c r="AP26" s="378">
        <v>0</v>
      </c>
      <c r="AQ26" s="378">
        <v>0</v>
      </c>
      <c r="AR26" s="378">
        <v>0</v>
      </c>
      <c r="AS26" s="378">
        <v>0</v>
      </c>
      <c r="AT26" s="378">
        <v>0</v>
      </c>
      <c r="AU26" s="378">
        <v>0</v>
      </c>
      <c r="AV26" s="378">
        <v>0</v>
      </c>
      <c r="AW26" s="378">
        <v>0</v>
      </c>
      <c r="AX26" s="378">
        <v>0</v>
      </c>
      <c r="AY26" s="378">
        <v>0</v>
      </c>
      <c r="AZ26" s="378">
        <v>0</v>
      </c>
      <c r="BA26" s="378">
        <v>0</v>
      </c>
      <c r="BB26" s="378">
        <v>0</v>
      </c>
      <c r="BC26" s="378">
        <v>0</v>
      </c>
      <c r="BD26" s="378">
        <v>0</v>
      </c>
      <c r="BE26" s="378">
        <v>0</v>
      </c>
      <c r="BF26" s="90">
        <f t="shared" si="14"/>
        <v>0</v>
      </c>
      <c r="BG26" s="90">
        <f t="shared" si="15"/>
        <v>0</v>
      </c>
      <c r="BH26" s="90">
        <f t="shared" si="16"/>
        <v>0</v>
      </c>
      <c r="BI26" s="90">
        <f t="shared" si="17"/>
        <v>0</v>
      </c>
      <c r="BJ26" s="90">
        <f t="shared" si="18"/>
        <v>0</v>
      </c>
      <c r="BK26" s="379">
        <v>0</v>
      </c>
      <c r="BL26" s="379">
        <v>0</v>
      </c>
      <c r="BM26" s="379">
        <v>0</v>
      </c>
      <c r="BN26" s="379">
        <v>0</v>
      </c>
      <c r="BO26" s="385"/>
      <c r="BP26" s="385"/>
      <c r="BQ26" s="5">
        <f t="shared" si="7"/>
        <v>616</v>
      </c>
      <c r="BR26" s="5">
        <f t="shared" si="8"/>
        <v>154</v>
      </c>
      <c r="BS26" s="302">
        <v>0</v>
      </c>
      <c r="BT26" s="380">
        <v>402</v>
      </c>
      <c r="BU26" s="380">
        <v>45</v>
      </c>
      <c r="BV26" s="380">
        <v>54</v>
      </c>
      <c r="BW26" s="380">
        <v>31</v>
      </c>
      <c r="BX26" s="380">
        <v>84</v>
      </c>
      <c r="BY26" s="381">
        <v>580</v>
      </c>
      <c r="BZ26" s="381">
        <v>0</v>
      </c>
      <c r="CA26" s="381">
        <v>4</v>
      </c>
      <c r="CB26" s="381">
        <v>32</v>
      </c>
      <c r="CC26" s="381">
        <v>1</v>
      </c>
      <c r="CD26" s="382">
        <v>0</v>
      </c>
      <c r="CE26" s="382">
        <v>0</v>
      </c>
      <c r="CF26" s="382">
        <v>0</v>
      </c>
      <c r="CG26" s="382">
        <v>0</v>
      </c>
      <c r="CH26" s="382">
        <v>0</v>
      </c>
      <c r="CI26" s="382">
        <v>0</v>
      </c>
      <c r="CJ26" s="382">
        <v>2</v>
      </c>
      <c r="CK26" s="382">
        <v>4</v>
      </c>
      <c r="CL26" s="382">
        <v>16</v>
      </c>
      <c r="CM26" s="382">
        <v>39</v>
      </c>
      <c r="CN26" s="382">
        <v>74</v>
      </c>
      <c r="CO26" s="382">
        <v>88</v>
      </c>
      <c r="CP26" s="382">
        <v>82</v>
      </c>
      <c r="CQ26" s="382">
        <v>88</v>
      </c>
      <c r="CR26" s="382">
        <v>84</v>
      </c>
      <c r="CS26" s="382">
        <v>75</v>
      </c>
      <c r="CT26" s="382">
        <v>43</v>
      </c>
      <c r="CU26" s="382">
        <v>21</v>
      </c>
      <c r="CV26" s="25">
        <f t="shared" si="9"/>
        <v>0</v>
      </c>
      <c r="CW26" s="25">
        <f t="shared" si="10"/>
        <v>0</v>
      </c>
      <c r="CX26" s="25">
        <f t="shared" si="11"/>
        <v>135</v>
      </c>
      <c r="CY26" s="25">
        <f t="shared" si="12"/>
        <v>342</v>
      </c>
      <c r="CZ26" s="25">
        <f t="shared" si="13"/>
        <v>139</v>
      </c>
      <c r="DA26" s="383">
        <v>0</v>
      </c>
      <c r="DB26" s="383">
        <v>0</v>
      </c>
      <c r="DC26" s="383">
        <v>0</v>
      </c>
      <c r="DD26" s="383">
        <v>0</v>
      </c>
      <c r="DE26" s="383">
        <v>0</v>
      </c>
      <c r="DF26" s="383">
        <v>0</v>
      </c>
      <c r="DG26" s="383">
        <v>0</v>
      </c>
      <c r="DH26" s="383">
        <v>1</v>
      </c>
      <c r="DI26" s="383">
        <v>1</v>
      </c>
      <c r="DJ26" s="383">
        <v>7</v>
      </c>
      <c r="DK26" s="383">
        <v>7</v>
      </c>
      <c r="DL26" s="383">
        <v>5</v>
      </c>
      <c r="DM26" s="383">
        <v>14</v>
      </c>
      <c r="DN26" s="383">
        <v>23</v>
      </c>
      <c r="DO26" s="383">
        <v>31</v>
      </c>
      <c r="DP26" s="383">
        <v>28</v>
      </c>
      <c r="DQ26" s="383">
        <v>21</v>
      </c>
      <c r="DR26" s="383">
        <v>16</v>
      </c>
      <c r="DS26" s="91">
        <f t="shared" si="19"/>
        <v>0</v>
      </c>
      <c r="DT26" s="91">
        <f t="shared" si="20"/>
        <v>0</v>
      </c>
      <c r="DU26" s="91">
        <f t="shared" si="21"/>
        <v>16</v>
      </c>
      <c r="DV26" s="91">
        <f t="shared" si="22"/>
        <v>73</v>
      </c>
      <c r="DW26" s="91">
        <f t="shared" si="23"/>
        <v>65</v>
      </c>
      <c r="DX26" s="384">
        <v>6201</v>
      </c>
      <c r="DY26" s="384">
        <v>4393</v>
      </c>
      <c r="DZ26" s="384">
        <v>2766</v>
      </c>
      <c r="EA26" s="384">
        <v>6690</v>
      </c>
      <c r="EB26">
        <v>89.4</v>
      </c>
      <c r="EC26">
        <v>77.099999999999994</v>
      </c>
    </row>
    <row r="27" spans="1:133" ht="12.95" customHeight="1">
      <c r="A27" s="2">
        <v>24</v>
      </c>
      <c r="B27" s="3" t="s">
        <v>77</v>
      </c>
      <c r="C27" s="3" t="s">
        <v>78</v>
      </c>
      <c r="D27" s="4">
        <f t="shared" si="0"/>
        <v>0</v>
      </c>
      <c r="E27" s="4">
        <f t="shared" si="1"/>
        <v>0</v>
      </c>
      <c r="F27" s="305">
        <v>0</v>
      </c>
      <c r="G27" s="375">
        <v>0</v>
      </c>
      <c r="H27" s="375">
        <v>0</v>
      </c>
      <c r="I27" s="375">
        <v>0</v>
      </c>
      <c r="J27" s="375">
        <v>0</v>
      </c>
      <c r="K27" s="375">
        <v>0</v>
      </c>
      <c r="L27" s="376">
        <v>0</v>
      </c>
      <c r="M27" s="376">
        <v>0</v>
      </c>
      <c r="N27" s="376">
        <v>0</v>
      </c>
      <c r="O27" s="376">
        <v>0</v>
      </c>
      <c r="P27" s="376">
        <v>0</v>
      </c>
      <c r="Q27" s="377">
        <v>0</v>
      </c>
      <c r="R27" s="377">
        <v>0</v>
      </c>
      <c r="S27" s="377">
        <v>0</v>
      </c>
      <c r="T27" s="377">
        <v>0</v>
      </c>
      <c r="U27" s="377">
        <v>0</v>
      </c>
      <c r="V27" s="377">
        <v>0</v>
      </c>
      <c r="W27" s="377">
        <v>0</v>
      </c>
      <c r="X27" s="377">
        <v>0</v>
      </c>
      <c r="Y27" s="377">
        <v>0</v>
      </c>
      <c r="Z27" s="377">
        <v>0</v>
      </c>
      <c r="AA27" s="377">
        <v>0</v>
      </c>
      <c r="AB27" s="377">
        <v>0</v>
      </c>
      <c r="AC27" s="377">
        <v>0</v>
      </c>
      <c r="AD27" s="377">
        <v>0</v>
      </c>
      <c r="AE27" s="377">
        <v>0</v>
      </c>
      <c r="AF27" s="377">
        <v>0</v>
      </c>
      <c r="AG27" s="377">
        <v>0</v>
      </c>
      <c r="AH27" s="377">
        <v>0</v>
      </c>
      <c r="AI27" s="24">
        <f t="shared" si="2"/>
        <v>0</v>
      </c>
      <c r="AJ27" s="24">
        <f t="shared" si="3"/>
        <v>0</v>
      </c>
      <c r="AK27" s="24">
        <f t="shared" si="4"/>
        <v>0</v>
      </c>
      <c r="AL27" s="24">
        <f t="shared" si="5"/>
        <v>0</v>
      </c>
      <c r="AM27" s="24">
        <f t="shared" si="6"/>
        <v>0</v>
      </c>
      <c r="AN27" s="378">
        <v>0</v>
      </c>
      <c r="AO27" s="378">
        <v>0</v>
      </c>
      <c r="AP27" s="378">
        <v>0</v>
      </c>
      <c r="AQ27" s="378">
        <v>0</v>
      </c>
      <c r="AR27" s="378">
        <v>0</v>
      </c>
      <c r="AS27" s="378">
        <v>0</v>
      </c>
      <c r="AT27" s="378">
        <v>0</v>
      </c>
      <c r="AU27" s="378">
        <v>0</v>
      </c>
      <c r="AV27" s="378">
        <v>0</v>
      </c>
      <c r="AW27" s="378">
        <v>0</v>
      </c>
      <c r="AX27" s="378">
        <v>0</v>
      </c>
      <c r="AY27" s="378">
        <v>0</v>
      </c>
      <c r="AZ27" s="378">
        <v>0</v>
      </c>
      <c r="BA27" s="378">
        <v>0</v>
      </c>
      <c r="BB27" s="378">
        <v>0</v>
      </c>
      <c r="BC27" s="378">
        <v>0</v>
      </c>
      <c r="BD27" s="378">
        <v>0</v>
      </c>
      <c r="BE27" s="378">
        <v>0</v>
      </c>
      <c r="BF27" s="90">
        <f t="shared" si="14"/>
        <v>0</v>
      </c>
      <c r="BG27" s="90">
        <f t="shared" si="15"/>
        <v>0</v>
      </c>
      <c r="BH27" s="90">
        <f t="shared" si="16"/>
        <v>0</v>
      </c>
      <c r="BI27" s="90">
        <f t="shared" si="17"/>
        <v>0</v>
      </c>
      <c r="BJ27" s="90">
        <f t="shared" si="18"/>
        <v>0</v>
      </c>
      <c r="BK27" s="379">
        <v>0</v>
      </c>
      <c r="BL27" s="379">
        <v>0</v>
      </c>
      <c r="BM27" s="379">
        <v>0</v>
      </c>
      <c r="BN27" s="379">
        <v>0</v>
      </c>
      <c r="BO27" s="385"/>
      <c r="BP27" s="385"/>
      <c r="BQ27" s="5">
        <f t="shared" si="7"/>
        <v>404</v>
      </c>
      <c r="BR27" s="5">
        <f t="shared" si="8"/>
        <v>272</v>
      </c>
      <c r="BS27" s="302">
        <v>0</v>
      </c>
      <c r="BT27" s="380">
        <v>73</v>
      </c>
      <c r="BU27" s="380">
        <v>30</v>
      </c>
      <c r="BV27" s="380">
        <v>151</v>
      </c>
      <c r="BW27" s="380">
        <v>86</v>
      </c>
      <c r="BX27" s="380">
        <v>64</v>
      </c>
      <c r="BY27" s="381">
        <v>316</v>
      </c>
      <c r="BZ27" s="381">
        <v>11</v>
      </c>
      <c r="CA27" s="381">
        <v>23</v>
      </c>
      <c r="CB27" s="381">
        <v>51</v>
      </c>
      <c r="CC27" s="381">
        <v>4</v>
      </c>
      <c r="CD27" s="382">
        <v>0</v>
      </c>
      <c r="CE27" s="382">
        <v>0</v>
      </c>
      <c r="CF27" s="382">
        <v>0</v>
      </c>
      <c r="CG27" s="382">
        <v>2</v>
      </c>
      <c r="CH27" s="382">
        <v>4</v>
      </c>
      <c r="CI27" s="382">
        <v>5</v>
      </c>
      <c r="CJ27" s="382">
        <v>5</v>
      </c>
      <c r="CK27" s="382">
        <v>4</v>
      </c>
      <c r="CL27" s="382">
        <v>18</v>
      </c>
      <c r="CM27" s="382">
        <v>43</v>
      </c>
      <c r="CN27" s="382">
        <v>49</v>
      </c>
      <c r="CO27" s="382">
        <v>47</v>
      </c>
      <c r="CP27" s="382">
        <v>42</v>
      </c>
      <c r="CQ27" s="382">
        <v>32</v>
      </c>
      <c r="CR27" s="382">
        <v>54</v>
      </c>
      <c r="CS27" s="382">
        <v>48</v>
      </c>
      <c r="CT27" s="382">
        <v>36</v>
      </c>
      <c r="CU27" s="382">
        <v>15</v>
      </c>
      <c r="CV27" s="25">
        <f t="shared" si="9"/>
        <v>0</v>
      </c>
      <c r="CW27" s="25">
        <f t="shared" si="10"/>
        <v>11</v>
      </c>
      <c r="CX27" s="25">
        <f t="shared" si="11"/>
        <v>119</v>
      </c>
      <c r="CY27" s="25">
        <f t="shared" si="12"/>
        <v>175</v>
      </c>
      <c r="CZ27" s="25">
        <f t="shared" si="13"/>
        <v>99</v>
      </c>
      <c r="DA27" s="383">
        <v>0</v>
      </c>
      <c r="DB27" s="383">
        <v>0</v>
      </c>
      <c r="DC27" s="383">
        <v>0</v>
      </c>
      <c r="DD27" s="383">
        <v>0</v>
      </c>
      <c r="DE27" s="383">
        <v>0</v>
      </c>
      <c r="DF27" s="383">
        <v>0</v>
      </c>
      <c r="DG27" s="383">
        <v>1</v>
      </c>
      <c r="DH27" s="383">
        <v>0</v>
      </c>
      <c r="DI27" s="383">
        <v>7</v>
      </c>
      <c r="DJ27" s="383">
        <v>14</v>
      </c>
      <c r="DK27" s="383">
        <v>22</v>
      </c>
      <c r="DL27" s="383">
        <v>29</v>
      </c>
      <c r="DM27" s="383">
        <v>20</v>
      </c>
      <c r="DN27" s="383">
        <v>38</v>
      </c>
      <c r="DO27" s="383">
        <v>37</v>
      </c>
      <c r="DP27" s="383">
        <v>42</v>
      </c>
      <c r="DQ27" s="383">
        <v>45</v>
      </c>
      <c r="DR27" s="383">
        <v>17</v>
      </c>
      <c r="DS27" s="91">
        <f t="shared" si="19"/>
        <v>0</v>
      </c>
      <c r="DT27" s="91">
        <f t="shared" si="20"/>
        <v>0</v>
      </c>
      <c r="DU27" s="91">
        <f t="shared" si="21"/>
        <v>44</v>
      </c>
      <c r="DV27" s="91">
        <f t="shared" si="22"/>
        <v>124</v>
      </c>
      <c r="DW27" s="91">
        <f t="shared" si="23"/>
        <v>104</v>
      </c>
      <c r="DX27" s="384">
        <v>2252</v>
      </c>
      <c r="DY27" s="384">
        <v>1576</v>
      </c>
      <c r="DZ27" s="384">
        <v>1038</v>
      </c>
      <c r="EA27" s="384">
        <v>2501</v>
      </c>
      <c r="EB27">
        <v>71.400000000000006</v>
      </c>
      <c r="EC27">
        <v>39.5</v>
      </c>
    </row>
    <row r="28" spans="1:133" ht="12.95" customHeight="1">
      <c r="A28" s="12">
        <v>25</v>
      </c>
      <c r="B28" s="3" t="s">
        <v>81</v>
      </c>
      <c r="C28" s="3" t="s">
        <v>82</v>
      </c>
      <c r="D28" s="4">
        <f t="shared" si="0"/>
        <v>3230</v>
      </c>
      <c r="E28" s="4">
        <f t="shared" si="1"/>
        <v>520</v>
      </c>
      <c r="F28" s="305">
        <v>0</v>
      </c>
      <c r="G28" s="375">
        <v>622</v>
      </c>
      <c r="H28" s="375">
        <v>921</v>
      </c>
      <c r="I28" s="375">
        <v>515</v>
      </c>
      <c r="J28" s="375">
        <v>98</v>
      </c>
      <c r="K28" s="375">
        <v>1074</v>
      </c>
      <c r="L28" s="376">
        <v>3043</v>
      </c>
      <c r="M28" s="376">
        <v>18</v>
      </c>
      <c r="N28" s="376">
        <v>45</v>
      </c>
      <c r="O28" s="376">
        <v>111</v>
      </c>
      <c r="P28" s="376">
        <v>14</v>
      </c>
      <c r="Q28" s="377">
        <v>0</v>
      </c>
      <c r="R28" s="377">
        <v>0</v>
      </c>
      <c r="S28" s="377">
        <v>0</v>
      </c>
      <c r="T28" s="377">
        <v>0</v>
      </c>
      <c r="U28" s="377">
        <v>0</v>
      </c>
      <c r="V28" s="377">
        <v>0</v>
      </c>
      <c r="W28" s="377">
        <v>0</v>
      </c>
      <c r="X28" s="377">
        <v>0</v>
      </c>
      <c r="Y28" s="377">
        <v>8</v>
      </c>
      <c r="Z28" s="377">
        <v>29</v>
      </c>
      <c r="AA28" s="377">
        <v>289</v>
      </c>
      <c r="AB28" s="377">
        <v>459</v>
      </c>
      <c r="AC28" s="377">
        <v>577</v>
      </c>
      <c r="AD28" s="377">
        <v>631</v>
      </c>
      <c r="AE28" s="377">
        <v>637</v>
      </c>
      <c r="AF28" s="377">
        <v>299</v>
      </c>
      <c r="AG28" s="377">
        <v>204</v>
      </c>
      <c r="AH28" s="377">
        <v>97</v>
      </c>
      <c r="AI28" s="24">
        <f t="shared" si="2"/>
        <v>0</v>
      </c>
      <c r="AJ28" s="24">
        <f t="shared" si="3"/>
        <v>0</v>
      </c>
      <c r="AK28" s="24">
        <f t="shared" si="4"/>
        <v>326</v>
      </c>
      <c r="AL28" s="24">
        <f t="shared" si="5"/>
        <v>2304</v>
      </c>
      <c r="AM28" s="24">
        <f t="shared" si="6"/>
        <v>600</v>
      </c>
      <c r="AN28" s="378">
        <v>0</v>
      </c>
      <c r="AO28" s="378">
        <v>0</v>
      </c>
      <c r="AP28" s="378">
        <v>0</v>
      </c>
      <c r="AQ28" s="378">
        <v>0</v>
      </c>
      <c r="AR28" s="378">
        <v>0</v>
      </c>
      <c r="AS28" s="378">
        <v>0</v>
      </c>
      <c r="AT28" s="378">
        <v>0</v>
      </c>
      <c r="AU28" s="378">
        <v>0</v>
      </c>
      <c r="AV28" s="378">
        <v>0</v>
      </c>
      <c r="AW28" s="378">
        <v>1</v>
      </c>
      <c r="AX28" s="378">
        <v>5</v>
      </c>
      <c r="AY28" s="378">
        <v>16</v>
      </c>
      <c r="AZ28" s="378">
        <v>30</v>
      </c>
      <c r="BA28" s="378">
        <v>46</v>
      </c>
      <c r="BB28" s="378">
        <v>88</v>
      </c>
      <c r="BC28" s="378">
        <v>118</v>
      </c>
      <c r="BD28" s="378">
        <v>120</v>
      </c>
      <c r="BE28" s="378">
        <v>96</v>
      </c>
      <c r="BF28" s="90">
        <f t="shared" si="14"/>
        <v>0</v>
      </c>
      <c r="BG28" s="90">
        <f t="shared" si="15"/>
        <v>0</v>
      </c>
      <c r="BH28" s="90">
        <f t="shared" si="16"/>
        <v>6</v>
      </c>
      <c r="BI28" s="90">
        <f t="shared" si="17"/>
        <v>180</v>
      </c>
      <c r="BJ28" s="90">
        <f t="shared" si="18"/>
        <v>334</v>
      </c>
      <c r="BK28" s="379">
        <v>22563</v>
      </c>
      <c r="BL28" s="379">
        <v>12871</v>
      </c>
      <c r="BM28" s="379">
        <v>2190</v>
      </c>
      <c r="BN28" s="379">
        <v>25383</v>
      </c>
      <c r="BO28" s="385">
        <v>98.5</v>
      </c>
      <c r="BP28" s="385">
        <v>98.5</v>
      </c>
      <c r="BQ28" s="5">
        <f t="shared" si="7"/>
        <v>0</v>
      </c>
      <c r="BR28" s="5">
        <f t="shared" si="8"/>
        <v>0</v>
      </c>
      <c r="BS28" s="302">
        <v>0</v>
      </c>
      <c r="BT28" s="380">
        <v>0</v>
      </c>
      <c r="BU28" s="380">
        <v>0</v>
      </c>
      <c r="BV28" s="380">
        <v>0</v>
      </c>
      <c r="BW28" s="380">
        <v>0</v>
      </c>
      <c r="BX28" s="380">
        <v>0</v>
      </c>
      <c r="BY28" s="381">
        <v>0</v>
      </c>
      <c r="BZ28" s="381">
        <v>0</v>
      </c>
      <c r="CA28" s="381">
        <v>0</v>
      </c>
      <c r="CB28" s="381">
        <v>0</v>
      </c>
      <c r="CC28" s="381">
        <v>0</v>
      </c>
      <c r="CD28" s="382">
        <v>0</v>
      </c>
      <c r="CE28" s="382">
        <v>0</v>
      </c>
      <c r="CF28" s="382">
        <v>0</v>
      </c>
      <c r="CG28" s="382">
        <v>0</v>
      </c>
      <c r="CH28" s="382">
        <v>0</v>
      </c>
      <c r="CI28" s="382">
        <v>0</v>
      </c>
      <c r="CJ28" s="382">
        <v>0</v>
      </c>
      <c r="CK28" s="382">
        <v>0</v>
      </c>
      <c r="CL28" s="382">
        <v>0</v>
      </c>
      <c r="CM28" s="382">
        <v>0</v>
      </c>
      <c r="CN28" s="382">
        <v>0</v>
      </c>
      <c r="CO28" s="382">
        <v>0</v>
      </c>
      <c r="CP28" s="382">
        <v>0</v>
      </c>
      <c r="CQ28" s="382">
        <v>0</v>
      </c>
      <c r="CR28" s="382">
        <v>0</v>
      </c>
      <c r="CS28" s="382">
        <v>0</v>
      </c>
      <c r="CT28" s="382">
        <v>0</v>
      </c>
      <c r="CU28" s="382">
        <v>0</v>
      </c>
      <c r="CV28" s="25">
        <f t="shared" si="9"/>
        <v>0</v>
      </c>
      <c r="CW28" s="25">
        <f t="shared" si="10"/>
        <v>0</v>
      </c>
      <c r="CX28" s="25">
        <f t="shared" si="11"/>
        <v>0</v>
      </c>
      <c r="CY28" s="25">
        <f t="shared" si="12"/>
        <v>0</v>
      </c>
      <c r="CZ28" s="25">
        <f t="shared" si="13"/>
        <v>0</v>
      </c>
      <c r="DA28" s="383">
        <v>0</v>
      </c>
      <c r="DB28" s="383">
        <v>0</v>
      </c>
      <c r="DC28" s="383">
        <v>0</v>
      </c>
      <c r="DD28" s="383">
        <v>0</v>
      </c>
      <c r="DE28" s="383">
        <v>0</v>
      </c>
      <c r="DF28" s="383">
        <v>0</v>
      </c>
      <c r="DG28" s="383">
        <v>0</v>
      </c>
      <c r="DH28" s="383">
        <v>0</v>
      </c>
      <c r="DI28" s="383">
        <v>0</v>
      </c>
      <c r="DJ28" s="383">
        <v>0</v>
      </c>
      <c r="DK28" s="383">
        <v>0</v>
      </c>
      <c r="DL28" s="383">
        <v>0</v>
      </c>
      <c r="DM28" s="383">
        <v>0</v>
      </c>
      <c r="DN28" s="383">
        <v>0</v>
      </c>
      <c r="DO28" s="383">
        <v>0</v>
      </c>
      <c r="DP28" s="383">
        <v>0</v>
      </c>
      <c r="DQ28" s="383">
        <v>0</v>
      </c>
      <c r="DR28" s="383">
        <v>0</v>
      </c>
      <c r="DS28" s="91">
        <f t="shared" si="19"/>
        <v>0</v>
      </c>
      <c r="DT28" s="91">
        <f t="shared" si="20"/>
        <v>0</v>
      </c>
      <c r="DU28" s="91">
        <f t="shared" si="21"/>
        <v>0</v>
      </c>
      <c r="DV28" s="91">
        <f t="shared" si="22"/>
        <v>0</v>
      </c>
      <c r="DW28" s="91">
        <f t="shared" si="23"/>
        <v>0</v>
      </c>
      <c r="DX28" s="384">
        <v>0</v>
      </c>
      <c r="DY28" s="384">
        <v>0</v>
      </c>
      <c r="DZ28" s="384">
        <v>0</v>
      </c>
      <c r="EA28" s="384">
        <v>0</v>
      </c>
    </row>
    <row r="29" spans="1:133" ht="12.95" customHeight="1">
      <c r="A29" s="2">
        <v>26</v>
      </c>
      <c r="B29" s="3" t="s">
        <v>83</v>
      </c>
      <c r="C29" s="3" t="s">
        <v>84</v>
      </c>
      <c r="D29" s="4">
        <f t="shared" si="0"/>
        <v>31</v>
      </c>
      <c r="E29" s="4">
        <f t="shared" si="1"/>
        <v>2</v>
      </c>
      <c r="F29" s="305">
        <v>0</v>
      </c>
      <c r="G29" s="375">
        <v>24</v>
      </c>
      <c r="H29" s="375">
        <v>2</v>
      </c>
      <c r="I29" s="375">
        <v>3</v>
      </c>
      <c r="J29" s="375">
        <v>1</v>
      </c>
      <c r="K29" s="375">
        <v>1</v>
      </c>
      <c r="L29" s="376">
        <v>30</v>
      </c>
      <c r="M29" s="376">
        <v>0</v>
      </c>
      <c r="N29" s="376">
        <v>0</v>
      </c>
      <c r="O29" s="376">
        <v>1</v>
      </c>
      <c r="P29" s="376">
        <v>0</v>
      </c>
      <c r="Q29" s="377">
        <v>0</v>
      </c>
      <c r="R29" s="377">
        <v>0</v>
      </c>
      <c r="S29" s="377">
        <v>0</v>
      </c>
      <c r="T29" s="377">
        <v>4</v>
      </c>
      <c r="U29" s="377">
        <v>3</v>
      </c>
      <c r="V29" s="377">
        <v>7</v>
      </c>
      <c r="W29" s="377">
        <v>5</v>
      </c>
      <c r="X29" s="377">
        <v>2</v>
      </c>
      <c r="Y29" s="377">
        <v>5</v>
      </c>
      <c r="Z29" s="377">
        <v>2</v>
      </c>
      <c r="AA29" s="377">
        <v>2</v>
      </c>
      <c r="AB29" s="377">
        <v>1</v>
      </c>
      <c r="AC29" s="377">
        <v>0</v>
      </c>
      <c r="AD29" s="377">
        <v>0</v>
      </c>
      <c r="AE29" s="377">
        <v>0</v>
      </c>
      <c r="AF29" s="377">
        <v>0</v>
      </c>
      <c r="AG29" s="377">
        <v>0</v>
      </c>
      <c r="AH29" s="377">
        <v>0</v>
      </c>
      <c r="AI29" s="24">
        <f t="shared" si="2"/>
        <v>0</v>
      </c>
      <c r="AJ29" s="24">
        <f t="shared" si="3"/>
        <v>14</v>
      </c>
      <c r="AK29" s="24">
        <f t="shared" si="4"/>
        <v>16</v>
      </c>
      <c r="AL29" s="24">
        <f t="shared" si="5"/>
        <v>1</v>
      </c>
      <c r="AM29" s="24">
        <f t="shared" si="6"/>
        <v>0</v>
      </c>
      <c r="AN29" s="378">
        <v>0</v>
      </c>
      <c r="AO29" s="378">
        <v>0</v>
      </c>
      <c r="AP29" s="378">
        <v>0</v>
      </c>
      <c r="AQ29" s="378">
        <v>0</v>
      </c>
      <c r="AR29" s="378">
        <v>0</v>
      </c>
      <c r="AS29" s="378">
        <v>0</v>
      </c>
      <c r="AT29" s="378">
        <v>1</v>
      </c>
      <c r="AU29" s="378">
        <v>0</v>
      </c>
      <c r="AV29" s="378">
        <v>1</v>
      </c>
      <c r="AW29" s="378">
        <v>0</v>
      </c>
      <c r="AX29" s="378">
        <v>0</v>
      </c>
      <c r="AY29" s="378">
        <v>0</v>
      </c>
      <c r="AZ29" s="378">
        <v>0</v>
      </c>
      <c r="BA29" s="378">
        <v>0</v>
      </c>
      <c r="BB29" s="378">
        <v>0</v>
      </c>
      <c r="BC29" s="378">
        <v>0</v>
      </c>
      <c r="BD29" s="378">
        <v>0</v>
      </c>
      <c r="BE29" s="378">
        <v>0</v>
      </c>
      <c r="BF29" s="90">
        <f t="shared" si="14"/>
        <v>0</v>
      </c>
      <c r="BG29" s="90">
        <f t="shared" si="15"/>
        <v>0</v>
      </c>
      <c r="BH29" s="90">
        <f t="shared" si="16"/>
        <v>2</v>
      </c>
      <c r="BI29" s="90">
        <f t="shared" si="17"/>
        <v>0</v>
      </c>
      <c r="BJ29" s="90">
        <f t="shared" si="18"/>
        <v>0</v>
      </c>
      <c r="BK29" s="379">
        <v>540</v>
      </c>
      <c r="BL29" s="379">
        <v>393</v>
      </c>
      <c r="BM29" s="379">
        <v>248</v>
      </c>
      <c r="BN29" s="379">
        <v>570</v>
      </c>
      <c r="BO29" s="385">
        <v>95.6</v>
      </c>
      <c r="BP29" s="385">
        <v>95.5</v>
      </c>
      <c r="BQ29" s="5">
        <f t="shared" si="7"/>
        <v>0</v>
      </c>
      <c r="BR29" s="5">
        <f t="shared" si="8"/>
        <v>0</v>
      </c>
      <c r="BS29" s="302">
        <v>0</v>
      </c>
      <c r="BT29" s="380">
        <v>0</v>
      </c>
      <c r="BU29" s="380">
        <v>0</v>
      </c>
      <c r="BV29" s="380">
        <v>0</v>
      </c>
      <c r="BW29" s="380">
        <v>0</v>
      </c>
      <c r="BX29" s="380">
        <v>0</v>
      </c>
      <c r="BY29" s="381">
        <v>0</v>
      </c>
      <c r="BZ29" s="381">
        <v>0</v>
      </c>
      <c r="CA29" s="381">
        <v>0</v>
      </c>
      <c r="CB29" s="381">
        <v>0</v>
      </c>
      <c r="CC29" s="381">
        <v>0</v>
      </c>
      <c r="CD29" s="382">
        <v>0</v>
      </c>
      <c r="CE29" s="382">
        <v>0</v>
      </c>
      <c r="CF29" s="382">
        <v>0</v>
      </c>
      <c r="CG29" s="382">
        <v>0</v>
      </c>
      <c r="CH29" s="382">
        <v>0</v>
      </c>
      <c r="CI29" s="382">
        <v>0</v>
      </c>
      <c r="CJ29" s="382">
        <v>0</v>
      </c>
      <c r="CK29" s="382">
        <v>0</v>
      </c>
      <c r="CL29" s="382">
        <v>0</v>
      </c>
      <c r="CM29" s="382">
        <v>0</v>
      </c>
      <c r="CN29" s="382">
        <v>0</v>
      </c>
      <c r="CO29" s="382">
        <v>0</v>
      </c>
      <c r="CP29" s="382">
        <v>0</v>
      </c>
      <c r="CQ29" s="382">
        <v>0</v>
      </c>
      <c r="CR29" s="382">
        <v>0</v>
      </c>
      <c r="CS29" s="382">
        <v>0</v>
      </c>
      <c r="CT29" s="382">
        <v>0</v>
      </c>
      <c r="CU29" s="382">
        <v>0</v>
      </c>
      <c r="CV29" s="25">
        <f t="shared" si="9"/>
        <v>0</v>
      </c>
      <c r="CW29" s="25">
        <f t="shared" si="10"/>
        <v>0</v>
      </c>
      <c r="CX29" s="25">
        <f t="shared" si="11"/>
        <v>0</v>
      </c>
      <c r="CY29" s="25">
        <f t="shared" si="12"/>
        <v>0</v>
      </c>
      <c r="CZ29" s="25">
        <f t="shared" si="13"/>
        <v>0</v>
      </c>
      <c r="DA29" s="383">
        <v>0</v>
      </c>
      <c r="DB29" s="383">
        <v>0</v>
      </c>
      <c r="DC29" s="383">
        <v>0</v>
      </c>
      <c r="DD29" s="383">
        <v>0</v>
      </c>
      <c r="DE29" s="383">
        <v>0</v>
      </c>
      <c r="DF29" s="383">
        <v>0</v>
      </c>
      <c r="DG29" s="383">
        <v>0</v>
      </c>
      <c r="DH29" s="383">
        <v>0</v>
      </c>
      <c r="DI29" s="383">
        <v>0</v>
      </c>
      <c r="DJ29" s="383">
        <v>0</v>
      </c>
      <c r="DK29" s="383">
        <v>0</v>
      </c>
      <c r="DL29" s="383">
        <v>0</v>
      </c>
      <c r="DM29" s="383">
        <v>0</v>
      </c>
      <c r="DN29" s="383">
        <v>0</v>
      </c>
      <c r="DO29" s="383">
        <v>0</v>
      </c>
      <c r="DP29" s="383">
        <v>0</v>
      </c>
      <c r="DQ29" s="383">
        <v>0</v>
      </c>
      <c r="DR29" s="383">
        <v>0</v>
      </c>
      <c r="DS29" s="91">
        <f t="shared" si="19"/>
        <v>0</v>
      </c>
      <c r="DT29" s="91">
        <f t="shared" si="20"/>
        <v>0</v>
      </c>
      <c r="DU29" s="91">
        <f t="shared" si="21"/>
        <v>0</v>
      </c>
      <c r="DV29" s="91">
        <f t="shared" si="22"/>
        <v>0</v>
      </c>
      <c r="DW29" s="91">
        <f t="shared" si="23"/>
        <v>0</v>
      </c>
      <c r="DX29" s="384">
        <v>0</v>
      </c>
      <c r="DY29" s="384">
        <v>0</v>
      </c>
      <c r="DZ29" s="384">
        <v>0</v>
      </c>
      <c r="EA29" s="384">
        <v>0</v>
      </c>
    </row>
    <row r="30" spans="1:133" ht="12.95" customHeight="1">
      <c r="A30" s="12">
        <v>27</v>
      </c>
      <c r="B30" s="3" t="s">
        <v>85</v>
      </c>
      <c r="C30" s="3" t="s">
        <v>86</v>
      </c>
      <c r="D30" s="4">
        <f t="shared" si="0"/>
        <v>21</v>
      </c>
      <c r="E30" s="4">
        <f t="shared" si="1"/>
        <v>10</v>
      </c>
      <c r="F30" s="305">
        <v>0</v>
      </c>
      <c r="G30" s="375">
        <v>7</v>
      </c>
      <c r="H30" s="375">
        <v>9</v>
      </c>
      <c r="I30" s="375">
        <v>1</v>
      </c>
      <c r="J30" s="375">
        <v>0</v>
      </c>
      <c r="K30" s="375">
        <v>4</v>
      </c>
      <c r="L30" s="376">
        <v>17</v>
      </c>
      <c r="M30" s="376">
        <v>0</v>
      </c>
      <c r="N30" s="376">
        <v>1</v>
      </c>
      <c r="O30" s="376">
        <v>3</v>
      </c>
      <c r="P30" s="376">
        <v>0</v>
      </c>
      <c r="Q30" s="377">
        <v>0</v>
      </c>
      <c r="R30" s="377">
        <v>0</v>
      </c>
      <c r="S30" s="377">
        <v>0</v>
      </c>
      <c r="T30" s="377">
        <v>0</v>
      </c>
      <c r="U30" s="377">
        <v>0</v>
      </c>
      <c r="V30" s="377">
        <v>0</v>
      </c>
      <c r="W30" s="377">
        <v>1</v>
      </c>
      <c r="X30" s="377">
        <v>0</v>
      </c>
      <c r="Y30" s="377">
        <v>0</v>
      </c>
      <c r="Z30" s="377">
        <v>1</v>
      </c>
      <c r="AA30" s="377">
        <v>1</v>
      </c>
      <c r="AB30" s="377">
        <v>1</v>
      </c>
      <c r="AC30" s="377">
        <v>4</v>
      </c>
      <c r="AD30" s="377">
        <v>3</v>
      </c>
      <c r="AE30" s="377">
        <v>6</v>
      </c>
      <c r="AF30" s="377">
        <v>1</v>
      </c>
      <c r="AG30" s="377">
        <v>1</v>
      </c>
      <c r="AH30" s="377">
        <v>2</v>
      </c>
      <c r="AI30" s="24">
        <f t="shared" si="2"/>
        <v>0</v>
      </c>
      <c r="AJ30" s="24">
        <f t="shared" si="3"/>
        <v>0</v>
      </c>
      <c r="AK30" s="24">
        <f t="shared" si="4"/>
        <v>3</v>
      </c>
      <c r="AL30" s="24">
        <f t="shared" si="5"/>
        <v>14</v>
      </c>
      <c r="AM30" s="24">
        <f t="shared" si="6"/>
        <v>4</v>
      </c>
      <c r="AN30" s="378">
        <v>0</v>
      </c>
      <c r="AO30" s="378">
        <v>0</v>
      </c>
      <c r="AP30" s="378">
        <v>0</v>
      </c>
      <c r="AQ30" s="378">
        <v>0</v>
      </c>
      <c r="AR30" s="378">
        <v>0</v>
      </c>
      <c r="AS30" s="378">
        <v>0</v>
      </c>
      <c r="AT30" s="378">
        <v>0</v>
      </c>
      <c r="AU30" s="378">
        <v>0</v>
      </c>
      <c r="AV30" s="378">
        <v>1</v>
      </c>
      <c r="AW30" s="378">
        <v>0</v>
      </c>
      <c r="AX30" s="378">
        <v>1</v>
      </c>
      <c r="AY30" s="378">
        <v>1</v>
      </c>
      <c r="AZ30" s="378">
        <v>1</v>
      </c>
      <c r="BA30" s="378">
        <v>0</v>
      </c>
      <c r="BB30" s="378">
        <v>4</v>
      </c>
      <c r="BC30" s="378">
        <v>0</v>
      </c>
      <c r="BD30" s="378">
        <v>1</v>
      </c>
      <c r="BE30" s="378">
        <v>1</v>
      </c>
      <c r="BF30" s="90">
        <f t="shared" si="14"/>
        <v>0</v>
      </c>
      <c r="BG30" s="90">
        <f t="shared" si="15"/>
        <v>0</v>
      </c>
      <c r="BH30" s="90">
        <f t="shared" si="16"/>
        <v>2</v>
      </c>
      <c r="BI30" s="90">
        <f t="shared" si="17"/>
        <v>6</v>
      </c>
      <c r="BJ30" s="90">
        <f t="shared" si="18"/>
        <v>2</v>
      </c>
      <c r="BK30" s="379">
        <v>169</v>
      </c>
      <c r="BL30" s="379">
        <v>106</v>
      </c>
      <c r="BM30" s="379">
        <v>60</v>
      </c>
      <c r="BN30" s="379">
        <v>183</v>
      </c>
      <c r="BO30" s="385">
        <v>77.3</v>
      </c>
      <c r="BP30" s="385">
        <v>62.4</v>
      </c>
      <c r="BQ30" s="5">
        <f t="shared" si="7"/>
        <v>33</v>
      </c>
      <c r="BR30" s="5">
        <f t="shared" si="8"/>
        <v>13</v>
      </c>
      <c r="BS30" s="302">
        <v>0</v>
      </c>
      <c r="BT30" s="380">
        <v>12</v>
      </c>
      <c r="BU30" s="380">
        <v>5</v>
      </c>
      <c r="BV30" s="380">
        <v>1</v>
      </c>
      <c r="BW30" s="380">
        <v>3</v>
      </c>
      <c r="BX30" s="380">
        <v>12</v>
      </c>
      <c r="BY30" s="381">
        <v>24</v>
      </c>
      <c r="BZ30" s="381">
        <v>0</v>
      </c>
      <c r="CA30" s="381">
        <v>4</v>
      </c>
      <c r="CB30" s="381">
        <v>3</v>
      </c>
      <c r="CC30" s="381">
        <v>2</v>
      </c>
      <c r="CD30" s="382">
        <v>0</v>
      </c>
      <c r="CE30" s="382">
        <v>0</v>
      </c>
      <c r="CF30" s="382">
        <v>0</v>
      </c>
      <c r="CG30" s="382">
        <v>0</v>
      </c>
      <c r="CH30" s="382">
        <v>0</v>
      </c>
      <c r="CI30" s="382">
        <v>1</v>
      </c>
      <c r="CJ30" s="382">
        <v>1</v>
      </c>
      <c r="CK30" s="382">
        <v>0</v>
      </c>
      <c r="CL30" s="382">
        <v>1</v>
      </c>
      <c r="CM30" s="382">
        <v>1</v>
      </c>
      <c r="CN30" s="382">
        <v>4</v>
      </c>
      <c r="CO30" s="382">
        <v>2</v>
      </c>
      <c r="CP30" s="382">
        <v>1</v>
      </c>
      <c r="CQ30" s="382">
        <v>5</v>
      </c>
      <c r="CR30" s="382">
        <v>4</v>
      </c>
      <c r="CS30" s="382">
        <v>3</v>
      </c>
      <c r="CT30" s="382">
        <v>6</v>
      </c>
      <c r="CU30" s="382">
        <v>4</v>
      </c>
      <c r="CV30" s="25">
        <f t="shared" si="9"/>
        <v>0</v>
      </c>
      <c r="CW30" s="25">
        <f t="shared" si="10"/>
        <v>1</v>
      </c>
      <c r="CX30" s="25">
        <f t="shared" si="11"/>
        <v>7</v>
      </c>
      <c r="CY30" s="25">
        <f t="shared" si="12"/>
        <v>12</v>
      </c>
      <c r="CZ30" s="25">
        <f t="shared" si="13"/>
        <v>13</v>
      </c>
      <c r="DA30" s="383">
        <v>0</v>
      </c>
      <c r="DB30" s="383">
        <v>0</v>
      </c>
      <c r="DC30" s="383">
        <v>0</v>
      </c>
      <c r="DD30" s="383">
        <v>0</v>
      </c>
      <c r="DE30" s="383">
        <v>0</v>
      </c>
      <c r="DF30" s="383">
        <v>0</v>
      </c>
      <c r="DG30" s="383">
        <v>0</v>
      </c>
      <c r="DH30" s="383">
        <v>0</v>
      </c>
      <c r="DI30" s="383">
        <v>0</v>
      </c>
      <c r="DJ30" s="383">
        <v>1</v>
      </c>
      <c r="DK30" s="383">
        <v>0</v>
      </c>
      <c r="DL30" s="383">
        <v>2</v>
      </c>
      <c r="DM30" s="383">
        <v>1</v>
      </c>
      <c r="DN30" s="383">
        <v>1</v>
      </c>
      <c r="DO30" s="383">
        <v>1</v>
      </c>
      <c r="DP30" s="383">
        <v>2</v>
      </c>
      <c r="DQ30" s="383">
        <v>4</v>
      </c>
      <c r="DR30" s="383">
        <v>1</v>
      </c>
      <c r="DS30" s="91">
        <f t="shared" si="19"/>
        <v>0</v>
      </c>
      <c r="DT30" s="91">
        <f t="shared" si="20"/>
        <v>0</v>
      </c>
      <c r="DU30" s="91">
        <f t="shared" si="21"/>
        <v>1</v>
      </c>
      <c r="DV30" s="91">
        <f t="shared" si="22"/>
        <v>5</v>
      </c>
      <c r="DW30" s="91">
        <f t="shared" si="23"/>
        <v>7</v>
      </c>
      <c r="DX30" s="384">
        <v>168</v>
      </c>
      <c r="DY30" s="384">
        <v>107</v>
      </c>
      <c r="DZ30" s="384">
        <v>76</v>
      </c>
      <c r="EA30" s="384">
        <v>187</v>
      </c>
      <c r="EB30">
        <v>88</v>
      </c>
      <c r="EC30">
        <v>63.7</v>
      </c>
    </row>
    <row r="31" spans="1:133" ht="12.95" customHeight="1">
      <c r="A31" s="2">
        <v>28</v>
      </c>
      <c r="B31" s="3" t="s">
        <v>87</v>
      </c>
      <c r="C31" s="3" t="s">
        <v>88</v>
      </c>
      <c r="D31" s="4">
        <f t="shared" si="0"/>
        <v>421</v>
      </c>
      <c r="E31" s="4">
        <f t="shared" si="1"/>
        <v>177</v>
      </c>
      <c r="F31" s="305">
        <v>0</v>
      </c>
      <c r="G31" s="375">
        <v>150</v>
      </c>
      <c r="H31" s="375">
        <v>25</v>
      </c>
      <c r="I31" s="375">
        <v>91</v>
      </c>
      <c r="J31" s="375">
        <v>79</v>
      </c>
      <c r="K31" s="375">
        <v>76</v>
      </c>
      <c r="L31" s="376">
        <v>324</v>
      </c>
      <c r="M31" s="376">
        <v>0</v>
      </c>
      <c r="N31" s="376">
        <v>37</v>
      </c>
      <c r="O31" s="376">
        <v>59</v>
      </c>
      <c r="P31" s="376">
        <v>1</v>
      </c>
      <c r="Q31" s="377">
        <v>0</v>
      </c>
      <c r="R31" s="377">
        <v>1</v>
      </c>
      <c r="S31" s="377">
        <v>0</v>
      </c>
      <c r="T31" s="377">
        <v>0</v>
      </c>
      <c r="U31" s="377">
        <v>0</v>
      </c>
      <c r="V31" s="377">
        <v>1</v>
      </c>
      <c r="W31" s="377">
        <v>5</v>
      </c>
      <c r="X31" s="377">
        <v>7</v>
      </c>
      <c r="Y31" s="377">
        <v>13</v>
      </c>
      <c r="Z31" s="377">
        <v>23</v>
      </c>
      <c r="AA31" s="377">
        <v>26</v>
      </c>
      <c r="AB31" s="377">
        <v>65</v>
      </c>
      <c r="AC31" s="377">
        <v>58</v>
      </c>
      <c r="AD31" s="377">
        <v>73</v>
      </c>
      <c r="AE31" s="377">
        <v>64</v>
      </c>
      <c r="AF31" s="377">
        <v>43</v>
      </c>
      <c r="AG31" s="377">
        <v>32</v>
      </c>
      <c r="AH31" s="377">
        <v>10</v>
      </c>
      <c r="AI31" s="24">
        <f t="shared" si="2"/>
        <v>1</v>
      </c>
      <c r="AJ31" s="24">
        <f t="shared" si="3"/>
        <v>1</v>
      </c>
      <c r="AK31" s="24">
        <f t="shared" si="4"/>
        <v>74</v>
      </c>
      <c r="AL31" s="24">
        <f t="shared" si="5"/>
        <v>260</v>
      </c>
      <c r="AM31" s="24">
        <f t="shared" si="6"/>
        <v>85</v>
      </c>
      <c r="AN31" s="378">
        <v>0</v>
      </c>
      <c r="AO31" s="378">
        <v>1</v>
      </c>
      <c r="AP31" s="378">
        <v>0</v>
      </c>
      <c r="AQ31" s="378">
        <v>0</v>
      </c>
      <c r="AR31" s="378">
        <v>0</v>
      </c>
      <c r="AS31" s="378">
        <v>0</v>
      </c>
      <c r="AT31" s="378">
        <v>0</v>
      </c>
      <c r="AU31" s="378">
        <v>0</v>
      </c>
      <c r="AV31" s="378">
        <v>2</v>
      </c>
      <c r="AW31" s="378">
        <v>9</v>
      </c>
      <c r="AX31" s="378">
        <v>10</v>
      </c>
      <c r="AY31" s="378">
        <v>19</v>
      </c>
      <c r="AZ31" s="378">
        <v>20</v>
      </c>
      <c r="BA31" s="378">
        <v>28</v>
      </c>
      <c r="BB31" s="378">
        <v>26</v>
      </c>
      <c r="BC31" s="378">
        <v>29</v>
      </c>
      <c r="BD31" s="378">
        <v>22</v>
      </c>
      <c r="BE31" s="378">
        <v>11</v>
      </c>
      <c r="BF31" s="90">
        <f t="shared" si="14"/>
        <v>1</v>
      </c>
      <c r="BG31" s="90">
        <f t="shared" si="15"/>
        <v>0</v>
      </c>
      <c r="BH31" s="90">
        <f t="shared" si="16"/>
        <v>21</v>
      </c>
      <c r="BI31" s="90">
        <f t="shared" si="17"/>
        <v>93</v>
      </c>
      <c r="BJ31" s="90">
        <f t="shared" si="18"/>
        <v>62</v>
      </c>
      <c r="BK31" s="379">
        <v>2242</v>
      </c>
      <c r="BL31" s="379">
        <v>1445</v>
      </c>
      <c r="BM31" s="379">
        <v>717</v>
      </c>
      <c r="BN31" s="379">
        <v>2486</v>
      </c>
      <c r="BO31" s="385">
        <v>69.3</v>
      </c>
      <c r="BP31" s="385">
        <v>58.2</v>
      </c>
      <c r="BQ31" s="5">
        <f t="shared" si="7"/>
        <v>266</v>
      </c>
      <c r="BR31" s="5">
        <f t="shared" si="8"/>
        <v>100</v>
      </c>
      <c r="BS31" s="302">
        <v>0</v>
      </c>
      <c r="BT31" s="380">
        <v>121</v>
      </c>
      <c r="BU31" s="380">
        <v>13</v>
      </c>
      <c r="BV31" s="380">
        <v>48</v>
      </c>
      <c r="BW31" s="380">
        <v>32</v>
      </c>
      <c r="BX31" s="380">
        <v>52</v>
      </c>
      <c r="BY31" s="381">
        <v>203</v>
      </c>
      <c r="BZ31" s="381">
        <v>1</v>
      </c>
      <c r="CA31" s="381">
        <v>23</v>
      </c>
      <c r="CB31" s="381">
        <v>38</v>
      </c>
      <c r="CC31" s="381">
        <v>1</v>
      </c>
      <c r="CD31" s="382">
        <v>0</v>
      </c>
      <c r="CE31" s="382">
        <v>0</v>
      </c>
      <c r="CF31" s="382">
        <v>0</v>
      </c>
      <c r="CG31" s="382">
        <v>0</v>
      </c>
      <c r="CH31" s="382">
        <v>1</v>
      </c>
      <c r="CI31" s="382">
        <v>1</v>
      </c>
      <c r="CJ31" s="382">
        <v>1</v>
      </c>
      <c r="CK31" s="382">
        <v>2</v>
      </c>
      <c r="CL31" s="382">
        <v>4</v>
      </c>
      <c r="CM31" s="382">
        <v>11</v>
      </c>
      <c r="CN31" s="382">
        <v>16</v>
      </c>
      <c r="CO31" s="382">
        <v>27</v>
      </c>
      <c r="CP31" s="382">
        <v>33</v>
      </c>
      <c r="CQ31" s="382">
        <v>33</v>
      </c>
      <c r="CR31" s="382">
        <v>43</v>
      </c>
      <c r="CS31" s="382">
        <v>38</v>
      </c>
      <c r="CT31" s="382">
        <v>37</v>
      </c>
      <c r="CU31" s="382">
        <v>19</v>
      </c>
      <c r="CV31" s="25">
        <f t="shared" si="9"/>
        <v>0</v>
      </c>
      <c r="CW31" s="25">
        <f t="shared" si="10"/>
        <v>2</v>
      </c>
      <c r="CX31" s="25">
        <f t="shared" si="11"/>
        <v>34</v>
      </c>
      <c r="CY31" s="25">
        <f t="shared" si="12"/>
        <v>136</v>
      </c>
      <c r="CZ31" s="25">
        <f t="shared" si="13"/>
        <v>94</v>
      </c>
      <c r="DA31" s="383">
        <v>0</v>
      </c>
      <c r="DB31" s="383">
        <v>0</v>
      </c>
      <c r="DC31" s="383">
        <v>0</v>
      </c>
      <c r="DD31" s="383">
        <v>0</v>
      </c>
      <c r="DE31" s="383">
        <v>0</v>
      </c>
      <c r="DF31" s="383">
        <v>0</v>
      </c>
      <c r="DG31" s="383">
        <v>0</v>
      </c>
      <c r="DH31" s="383">
        <v>0</v>
      </c>
      <c r="DI31" s="383">
        <v>0</v>
      </c>
      <c r="DJ31" s="383">
        <v>1</v>
      </c>
      <c r="DK31" s="383">
        <v>4</v>
      </c>
      <c r="DL31" s="383">
        <v>5</v>
      </c>
      <c r="DM31" s="383">
        <v>6</v>
      </c>
      <c r="DN31" s="383">
        <v>12</v>
      </c>
      <c r="DO31" s="383">
        <v>12</v>
      </c>
      <c r="DP31" s="383">
        <v>18</v>
      </c>
      <c r="DQ31" s="383">
        <v>19</v>
      </c>
      <c r="DR31" s="383">
        <v>23</v>
      </c>
      <c r="DS31" s="91">
        <f t="shared" si="19"/>
        <v>0</v>
      </c>
      <c r="DT31" s="91">
        <f t="shared" si="20"/>
        <v>0</v>
      </c>
      <c r="DU31" s="91">
        <f t="shared" si="21"/>
        <v>5</v>
      </c>
      <c r="DV31" s="91">
        <f t="shared" si="22"/>
        <v>35</v>
      </c>
      <c r="DW31" s="91">
        <f t="shared" si="23"/>
        <v>60</v>
      </c>
      <c r="DX31" s="384">
        <v>2195</v>
      </c>
      <c r="DY31" s="384">
        <v>1487</v>
      </c>
      <c r="DZ31" s="384">
        <v>795</v>
      </c>
      <c r="EA31" s="384">
        <v>2367</v>
      </c>
      <c r="EB31">
        <v>90.1</v>
      </c>
      <c r="EC31">
        <v>80.900000000000006</v>
      </c>
    </row>
    <row r="32" spans="1:133" ht="12.95" customHeight="1">
      <c r="A32" s="12">
        <v>29</v>
      </c>
      <c r="B32" s="3" t="s">
        <v>89</v>
      </c>
      <c r="C32" s="3" t="s">
        <v>90</v>
      </c>
      <c r="D32" s="4">
        <f t="shared" si="0"/>
        <v>272</v>
      </c>
      <c r="E32" s="4">
        <f t="shared" si="1"/>
        <v>172</v>
      </c>
      <c r="F32" s="305">
        <v>0</v>
      </c>
      <c r="G32" s="375">
        <v>133</v>
      </c>
      <c r="H32" s="375">
        <v>56</v>
      </c>
      <c r="I32" s="375">
        <v>13</v>
      </c>
      <c r="J32" s="375">
        <v>21</v>
      </c>
      <c r="K32" s="375">
        <v>49</v>
      </c>
      <c r="L32" s="376">
        <v>223</v>
      </c>
      <c r="M32" s="376">
        <v>2</v>
      </c>
      <c r="N32" s="376">
        <v>6</v>
      </c>
      <c r="O32" s="376">
        <v>38</v>
      </c>
      <c r="P32" s="376">
        <v>3</v>
      </c>
      <c r="Q32" s="377">
        <v>0</v>
      </c>
      <c r="R32" s="377">
        <v>0</v>
      </c>
      <c r="S32" s="377">
        <v>0</v>
      </c>
      <c r="T32" s="377">
        <v>0</v>
      </c>
      <c r="U32" s="377">
        <v>0</v>
      </c>
      <c r="V32" s="377">
        <v>0</v>
      </c>
      <c r="W32" s="377">
        <v>2</v>
      </c>
      <c r="X32" s="377">
        <v>2</v>
      </c>
      <c r="Y32" s="377">
        <v>2</v>
      </c>
      <c r="Z32" s="377">
        <v>8</v>
      </c>
      <c r="AA32" s="377">
        <v>11</v>
      </c>
      <c r="AB32" s="377">
        <v>19</v>
      </c>
      <c r="AC32" s="377">
        <v>26</v>
      </c>
      <c r="AD32" s="377">
        <v>46</v>
      </c>
      <c r="AE32" s="377">
        <v>46</v>
      </c>
      <c r="AF32" s="377">
        <v>45</v>
      </c>
      <c r="AG32" s="377">
        <v>38</v>
      </c>
      <c r="AH32" s="377">
        <v>27</v>
      </c>
      <c r="AI32" s="24">
        <f t="shared" si="2"/>
        <v>0</v>
      </c>
      <c r="AJ32" s="24">
        <f t="shared" si="3"/>
        <v>0</v>
      </c>
      <c r="AK32" s="24">
        <f t="shared" si="4"/>
        <v>25</v>
      </c>
      <c r="AL32" s="24">
        <f t="shared" si="5"/>
        <v>137</v>
      </c>
      <c r="AM32" s="24">
        <f t="shared" si="6"/>
        <v>110</v>
      </c>
      <c r="AN32" s="378">
        <v>0</v>
      </c>
      <c r="AO32" s="378">
        <v>0</v>
      </c>
      <c r="AP32" s="378">
        <v>0</v>
      </c>
      <c r="AQ32" s="378">
        <v>0</v>
      </c>
      <c r="AR32" s="378">
        <v>0</v>
      </c>
      <c r="AS32" s="378">
        <v>0</v>
      </c>
      <c r="AT32" s="378">
        <v>0</v>
      </c>
      <c r="AU32" s="378">
        <v>0</v>
      </c>
      <c r="AV32" s="378">
        <v>0</v>
      </c>
      <c r="AW32" s="378">
        <v>1</v>
      </c>
      <c r="AX32" s="378">
        <v>3</v>
      </c>
      <c r="AY32" s="378">
        <v>5</v>
      </c>
      <c r="AZ32" s="378">
        <v>14</v>
      </c>
      <c r="BA32" s="378">
        <v>22</v>
      </c>
      <c r="BB32" s="378">
        <v>25</v>
      </c>
      <c r="BC32" s="378">
        <v>44</v>
      </c>
      <c r="BD32" s="378">
        <v>36</v>
      </c>
      <c r="BE32" s="378">
        <v>22</v>
      </c>
      <c r="BF32" s="90">
        <f t="shared" si="14"/>
        <v>0</v>
      </c>
      <c r="BG32" s="90">
        <f t="shared" si="15"/>
        <v>0</v>
      </c>
      <c r="BH32" s="90">
        <f t="shared" si="16"/>
        <v>4</v>
      </c>
      <c r="BI32" s="90">
        <f t="shared" si="17"/>
        <v>66</v>
      </c>
      <c r="BJ32" s="90">
        <f t="shared" si="18"/>
        <v>102</v>
      </c>
      <c r="BK32" s="379">
        <v>1423</v>
      </c>
      <c r="BL32" s="379">
        <v>958</v>
      </c>
      <c r="BM32" s="379">
        <v>558</v>
      </c>
      <c r="BN32" s="379">
        <v>1581</v>
      </c>
      <c r="BO32" s="385">
        <v>69.5</v>
      </c>
      <c r="BP32" s="385">
        <v>48.8</v>
      </c>
      <c r="BQ32" s="5">
        <f t="shared" si="7"/>
        <v>67</v>
      </c>
      <c r="BR32" s="5">
        <f t="shared" si="8"/>
        <v>56</v>
      </c>
      <c r="BS32" s="302">
        <v>0</v>
      </c>
      <c r="BT32" s="380">
        <v>26</v>
      </c>
      <c r="BU32" s="380">
        <v>14</v>
      </c>
      <c r="BV32" s="380">
        <v>3</v>
      </c>
      <c r="BW32" s="380">
        <v>4</v>
      </c>
      <c r="BX32" s="380">
        <v>20</v>
      </c>
      <c r="BY32" s="381">
        <v>45</v>
      </c>
      <c r="BZ32" s="381">
        <v>2</v>
      </c>
      <c r="CA32" s="381">
        <v>1</v>
      </c>
      <c r="CB32" s="381">
        <v>19</v>
      </c>
      <c r="CC32" s="381">
        <v>0</v>
      </c>
      <c r="CD32" s="382">
        <v>0</v>
      </c>
      <c r="CE32" s="382">
        <v>0</v>
      </c>
      <c r="CF32" s="382">
        <v>0</v>
      </c>
      <c r="CG32" s="382">
        <v>0</v>
      </c>
      <c r="CH32" s="382">
        <v>0</v>
      </c>
      <c r="CI32" s="382">
        <v>0</v>
      </c>
      <c r="CJ32" s="382">
        <v>0</v>
      </c>
      <c r="CK32" s="382">
        <v>1</v>
      </c>
      <c r="CL32" s="382">
        <v>0</v>
      </c>
      <c r="CM32" s="382">
        <v>0</v>
      </c>
      <c r="CN32" s="382">
        <v>3</v>
      </c>
      <c r="CO32" s="382">
        <v>1</v>
      </c>
      <c r="CP32" s="382">
        <v>2</v>
      </c>
      <c r="CQ32" s="382">
        <v>8</v>
      </c>
      <c r="CR32" s="382">
        <v>9</v>
      </c>
      <c r="CS32" s="382">
        <v>22</v>
      </c>
      <c r="CT32" s="382">
        <v>12</v>
      </c>
      <c r="CU32" s="382">
        <v>9</v>
      </c>
      <c r="CV32" s="25">
        <f t="shared" si="9"/>
        <v>0</v>
      </c>
      <c r="CW32" s="25">
        <f t="shared" si="10"/>
        <v>0</v>
      </c>
      <c r="CX32" s="25">
        <f t="shared" si="11"/>
        <v>4</v>
      </c>
      <c r="CY32" s="25">
        <f t="shared" si="12"/>
        <v>20</v>
      </c>
      <c r="CZ32" s="25">
        <f t="shared" si="13"/>
        <v>43</v>
      </c>
      <c r="DA32" s="383">
        <v>0</v>
      </c>
      <c r="DB32" s="383">
        <v>0</v>
      </c>
      <c r="DC32" s="383">
        <v>0</v>
      </c>
      <c r="DD32" s="383">
        <v>0</v>
      </c>
      <c r="DE32" s="383">
        <v>0</v>
      </c>
      <c r="DF32" s="383">
        <v>0</v>
      </c>
      <c r="DG32" s="383">
        <v>0</v>
      </c>
      <c r="DH32" s="383">
        <v>0</v>
      </c>
      <c r="DI32" s="383">
        <v>0</v>
      </c>
      <c r="DJ32" s="383">
        <v>0</v>
      </c>
      <c r="DK32" s="383">
        <v>0</v>
      </c>
      <c r="DL32" s="383">
        <v>1</v>
      </c>
      <c r="DM32" s="383">
        <v>2</v>
      </c>
      <c r="DN32" s="383">
        <v>3</v>
      </c>
      <c r="DO32" s="383">
        <v>9</v>
      </c>
      <c r="DP32" s="383">
        <v>12</v>
      </c>
      <c r="DQ32" s="383">
        <v>18</v>
      </c>
      <c r="DR32" s="383">
        <v>11</v>
      </c>
      <c r="DS32" s="91">
        <f t="shared" si="19"/>
        <v>0</v>
      </c>
      <c r="DT32" s="91">
        <f t="shared" si="20"/>
        <v>0</v>
      </c>
      <c r="DU32" s="91">
        <f t="shared" si="21"/>
        <v>0</v>
      </c>
      <c r="DV32" s="91">
        <f t="shared" si="22"/>
        <v>15</v>
      </c>
      <c r="DW32" s="91">
        <f t="shared" si="23"/>
        <v>41</v>
      </c>
      <c r="DX32" s="384">
        <v>543</v>
      </c>
      <c r="DY32" s="384">
        <v>399</v>
      </c>
      <c r="DZ32" s="384">
        <v>235</v>
      </c>
      <c r="EA32" s="384">
        <v>578</v>
      </c>
      <c r="EB32">
        <v>69.400000000000006</v>
      </c>
      <c r="EC32">
        <v>49.6</v>
      </c>
    </row>
    <row r="33" spans="1:133" ht="12.95" customHeight="1">
      <c r="A33" s="2">
        <v>30</v>
      </c>
      <c r="B33" s="3" t="s">
        <v>91</v>
      </c>
      <c r="C33" s="3" t="s">
        <v>92</v>
      </c>
      <c r="D33" s="4">
        <f t="shared" si="0"/>
        <v>18</v>
      </c>
      <c r="E33" s="4">
        <f t="shared" si="1"/>
        <v>8</v>
      </c>
      <c r="F33" s="305">
        <v>0</v>
      </c>
      <c r="G33" s="375">
        <v>2</v>
      </c>
      <c r="H33" s="375">
        <v>2</v>
      </c>
      <c r="I33" s="375">
        <v>5</v>
      </c>
      <c r="J33" s="375">
        <v>6</v>
      </c>
      <c r="K33" s="375">
        <v>3</v>
      </c>
      <c r="L33" s="376">
        <v>16</v>
      </c>
      <c r="M33" s="376">
        <v>0</v>
      </c>
      <c r="N33" s="376">
        <v>0</v>
      </c>
      <c r="O33" s="376">
        <v>2</v>
      </c>
      <c r="P33" s="376">
        <v>0</v>
      </c>
      <c r="Q33" s="377">
        <v>0</v>
      </c>
      <c r="R33" s="377">
        <v>0</v>
      </c>
      <c r="S33" s="377">
        <v>0</v>
      </c>
      <c r="T33" s="377">
        <v>0</v>
      </c>
      <c r="U33" s="377">
        <v>0</v>
      </c>
      <c r="V33" s="377">
        <v>0</v>
      </c>
      <c r="W33" s="377">
        <v>0</v>
      </c>
      <c r="X33" s="377">
        <v>1</v>
      </c>
      <c r="Y33" s="377">
        <v>0</v>
      </c>
      <c r="Z33" s="377">
        <v>0</v>
      </c>
      <c r="AA33" s="377">
        <v>1</v>
      </c>
      <c r="AB33" s="377">
        <v>1</v>
      </c>
      <c r="AC33" s="377">
        <v>3</v>
      </c>
      <c r="AD33" s="377">
        <v>2</v>
      </c>
      <c r="AE33" s="377">
        <v>3</v>
      </c>
      <c r="AF33" s="377">
        <v>5</v>
      </c>
      <c r="AG33" s="377">
        <v>1</v>
      </c>
      <c r="AH33" s="377">
        <v>1</v>
      </c>
      <c r="AI33" s="24">
        <f t="shared" si="2"/>
        <v>0</v>
      </c>
      <c r="AJ33" s="24">
        <f t="shared" si="3"/>
        <v>0</v>
      </c>
      <c r="AK33" s="24">
        <f t="shared" si="4"/>
        <v>2</v>
      </c>
      <c r="AL33" s="24">
        <f t="shared" si="5"/>
        <v>9</v>
      </c>
      <c r="AM33" s="24">
        <f t="shared" si="6"/>
        <v>7</v>
      </c>
      <c r="AN33" s="378">
        <v>0</v>
      </c>
      <c r="AO33" s="378">
        <v>0</v>
      </c>
      <c r="AP33" s="378">
        <v>0</v>
      </c>
      <c r="AQ33" s="378">
        <v>0</v>
      </c>
      <c r="AR33" s="378">
        <v>0</v>
      </c>
      <c r="AS33" s="378">
        <v>0</v>
      </c>
      <c r="AT33" s="378">
        <v>0</v>
      </c>
      <c r="AU33" s="378">
        <v>0</v>
      </c>
      <c r="AV33" s="378">
        <v>0</v>
      </c>
      <c r="AW33" s="378">
        <v>0</v>
      </c>
      <c r="AX33" s="378">
        <v>2</v>
      </c>
      <c r="AY33" s="378">
        <v>0</v>
      </c>
      <c r="AZ33" s="378">
        <v>1</v>
      </c>
      <c r="BA33" s="378">
        <v>2</v>
      </c>
      <c r="BB33" s="378">
        <v>1</v>
      </c>
      <c r="BC33" s="378">
        <v>2</v>
      </c>
      <c r="BD33" s="378">
        <v>0</v>
      </c>
      <c r="BE33" s="378">
        <v>0</v>
      </c>
      <c r="BF33" s="90">
        <f t="shared" si="14"/>
        <v>0</v>
      </c>
      <c r="BG33" s="90">
        <f t="shared" si="15"/>
        <v>0</v>
      </c>
      <c r="BH33" s="90">
        <f t="shared" si="16"/>
        <v>2</v>
      </c>
      <c r="BI33" s="90">
        <f t="shared" si="17"/>
        <v>4</v>
      </c>
      <c r="BJ33" s="90">
        <f t="shared" si="18"/>
        <v>2</v>
      </c>
      <c r="BK33" s="379">
        <v>68</v>
      </c>
      <c r="BL33" s="379">
        <v>48</v>
      </c>
      <c r="BM33" s="379">
        <v>30</v>
      </c>
      <c r="BN33" s="379">
        <v>83</v>
      </c>
      <c r="BO33" s="385">
        <v>74</v>
      </c>
      <c r="BP33" s="385">
        <v>96</v>
      </c>
      <c r="BQ33" s="5">
        <f t="shared" si="7"/>
        <v>25</v>
      </c>
      <c r="BR33" s="5">
        <f t="shared" si="8"/>
        <v>11</v>
      </c>
      <c r="BS33" s="302">
        <v>0</v>
      </c>
      <c r="BT33" s="380">
        <v>2</v>
      </c>
      <c r="BU33" s="380">
        <v>4</v>
      </c>
      <c r="BV33" s="380">
        <v>4</v>
      </c>
      <c r="BW33" s="380">
        <v>2</v>
      </c>
      <c r="BX33" s="380">
        <v>13</v>
      </c>
      <c r="BY33" s="381">
        <v>13</v>
      </c>
      <c r="BZ33" s="381">
        <v>0</v>
      </c>
      <c r="CA33" s="381">
        <v>2</v>
      </c>
      <c r="CB33" s="381">
        <v>9</v>
      </c>
      <c r="CC33" s="381">
        <v>1</v>
      </c>
      <c r="CD33" s="382">
        <v>0</v>
      </c>
      <c r="CE33" s="382">
        <v>0</v>
      </c>
      <c r="CF33" s="382">
        <v>0</v>
      </c>
      <c r="CG33" s="382">
        <v>0</v>
      </c>
      <c r="CH33" s="382">
        <v>0</v>
      </c>
      <c r="CI33" s="382">
        <v>0</v>
      </c>
      <c r="CJ33" s="382">
        <v>0</v>
      </c>
      <c r="CK33" s="382">
        <v>0</v>
      </c>
      <c r="CL33" s="382">
        <v>0</v>
      </c>
      <c r="CM33" s="382">
        <v>0</v>
      </c>
      <c r="CN33" s="382">
        <v>1</v>
      </c>
      <c r="CO33" s="382">
        <v>3</v>
      </c>
      <c r="CP33" s="382">
        <v>2</v>
      </c>
      <c r="CQ33" s="382">
        <v>1</v>
      </c>
      <c r="CR33" s="382">
        <v>1</v>
      </c>
      <c r="CS33" s="382">
        <v>11</v>
      </c>
      <c r="CT33" s="382">
        <v>3</v>
      </c>
      <c r="CU33" s="382">
        <v>3</v>
      </c>
      <c r="CV33" s="25">
        <f t="shared" si="9"/>
        <v>0</v>
      </c>
      <c r="CW33" s="25">
        <f t="shared" si="10"/>
        <v>0</v>
      </c>
      <c r="CX33" s="25">
        <f t="shared" si="11"/>
        <v>1</v>
      </c>
      <c r="CY33" s="25">
        <f t="shared" si="12"/>
        <v>7</v>
      </c>
      <c r="CZ33" s="25">
        <f t="shared" si="13"/>
        <v>17</v>
      </c>
      <c r="DA33" s="383">
        <v>0</v>
      </c>
      <c r="DB33" s="383">
        <v>0</v>
      </c>
      <c r="DC33" s="383">
        <v>0</v>
      </c>
      <c r="DD33" s="383">
        <v>0</v>
      </c>
      <c r="DE33" s="383">
        <v>0</v>
      </c>
      <c r="DF33" s="383">
        <v>0</v>
      </c>
      <c r="DG33" s="383">
        <v>0</v>
      </c>
      <c r="DH33" s="383">
        <v>0</v>
      </c>
      <c r="DI33" s="383">
        <v>0</v>
      </c>
      <c r="DJ33" s="383">
        <v>0</v>
      </c>
      <c r="DK33" s="383">
        <v>1</v>
      </c>
      <c r="DL33" s="383">
        <v>0</v>
      </c>
      <c r="DM33" s="383">
        <v>0</v>
      </c>
      <c r="DN33" s="383">
        <v>1</v>
      </c>
      <c r="DO33" s="383">
        <v>1</v>
      </c>
      <c r="DP33" s="383">
        <v>5</v>
      </c>
      <c r="DQ33" s="383">
        <v>2</v>
      </c>
      <c r="DR33" s="383">
        <v>1</v>
      </c>
      <c r="DS33" s="91">
        <f t="shared" si="19"/>
        <v>0</v>
      </c>
      <c r="DT33" s="91">
        <f t="shared" si="20"/>
        <v>0</v>
      </c>
      <c r="DU33" s="91">
        <f t="shared" si="21"/>
        <v>1</v>
      </c>
      <c r="DV33" s="91">
        <f t="shared" si="22"/>
        <v>2</v>
      </c>
      <c r="DW33" s="91">
        <f t="shared" si="23"/>
        <v>8</v>
      </c>
      <c r="DX33" s="384">
        <v>68</v>
      </c>
      <c r="DY33" s="384">
        <v>41</v>
      </c>
      <c r="DZ33" s="384">
        <v>28</v>
      </c>
      <c r="EA33" s="384">
        <v>80</v>
      </c>
      <c r="EB33">
        <v>45.9</v>
      </c>
      <c r="EC33">
        <v>38.4</v>
      </c>
    </row>
    <row r="34" spans="1:133" ht="12.95" customHeight="1">
      <c r="A34" s="12">
        <v>31</v>
      </c>
      <c r="B34" s="3" t="s">
        <v>93</v>
      </c>
      <c r="C34" s="3" t="s">
        <v>94</v>
      </c>
      <c r="D34" s="4">
        <f t="shared" si="0"/>
        <v>10</v>
      </c>
      <c r="E34" s="4">
        <f t="shared" si="1"/>
        <v>4</v>
      </c>
      <c r="F34" s="305">
        <v>0</v>
      </c>
      <c r="G34" s="375">
        <v>2</v>
      </c>
      <c r="H34" s="375">
        <v>2</v>
      </c>
      <c r="I34" s="375">
        <v>3</v>
      </c>
      <c r="J34" s="375">
        <v>1</v>
      </c>
      <c r="K34" s="375">
        <v>2</v>
      </c>
      <c r="L34" s="376">
        <v>8</v>
      </c>
      <c r="M34" s="376">
        <v>0</v>
      </c>
      <c r="N34" s="376">
        <v>1</v>
      </c>
      <c r="O34" s="376">
        <v>1</v>
      </c>
      <c r="P34" s="376">
        <v>0</v>
      </c>
      <c r="Q34" s="377">
        <v>1</v>
      </c>
      <c r="R34" s="377">
        <v>0</v>
      </c>
      <c r="S34" s="377">
        <v>0</v>
      </c>
      <c r="T34" s="377">
        <v>0</v>
      </c>
      <c r="U34" s="377">
        <v>0</v>
      </c>
      <c r="V34" s="377">
        <v>0</v>
      </c>
      <c r="W34" s="377">
        <v>0</v>
      </c>
      <c r="X34" s="377">
        <v>1</v>
      </c>
      <c r="Y34" s="377">
        <v>0</v>
      </c>
      <c r="Z34" s="377">
        <v>1</v>
      </c>
      <c r="AA34" s="377">
        <v>0</v>
      </c>
      <c r="AB34" s="377">
        <v>0</v>
      </c>
      <c r="AC34" s="377">
        <v>0</v>
      </c>
      <c r="AD34" s="377">
        <v>0</v>
      </c>
      <c r="AE34" s="377">
        <v>4</v>
      </c>
      <c r="AF34" s="377">
        <v>2</v>
      </c>
      <c r="AG34" s="377">
        <v>1</v>
      </c>
      <c r="AH34" s="377">
        <v>0</v>
      </c>
      <c r="AI34" s="24">
        <f t="shared" si="2"/>
        <v>1</v>
      </c>
      <c r="AJ34" s="24">
        <f t="shared" si="3"/>
        <v>0</v>
      </c>
      <c r="AK34" s="24">
        <f t="shared" si="4"/>
        <v>2</v>
      </c>
      <c r="AL34" s="24">
        <f t="shared" si="5"/>
        <v>4</v>
      </c>
      <c r="AM34" s="24">
        <f t="shared" si="6"/>
        <v>3</v>
      </c>
      <c r="AN34" s="378">
        <v>0</v>
      </c>
      <c r="AO34" s="378">
        <v>0</v>
      </c>
      <c r="AP34" s="378">
        <v>0</v>
      </c>
      <c r="AQ34" s="378">
        <v>0</v>
      </c>
      <c r="AR34" s="378">
        <v>0</v>
      </c>
      <c r="AS34" s="378">
        <v>0</v>
      </c>
      <c r="AT34" s="378">
        <v>0</v>
      </c>
      <c r="AU34" s="378">
        <v>0</v>
      </c>
      <c r="AV34" s="378">
        <v>0</v>
      </c>
      <c r="AW34" s="378">
        <v>0</v>
      </c>
      <c r="AX34" s="378">
        <v>0</v>
      </c>
      <c r="AY34" s="378">
        <v>0</v>
      </c>
      <c r="AZ34" s="378">
        <v>1</v>
      </c>
      <c r="BA34" s="378">
        <v>1</v>
      </c>
      <c r="BB34" s="378">
        <v>2</v>
      </c>
      <c r="BC34" s="378">
        <v>0</v>
      </c>
      <c r="BD34" s="378">
        <v>0</v>
      </c>
      <c r="BE34" s="378">
        <v>0</v>
      </c>
      <c r="BF34" s="90">
        <f t="shared" si="14"/>
        <v>0</v>
      </c>
      <c r="BG34" s="90">
        <f t="shared" si="15"/>
        <v>0</v>
      </c>
      <c r="BH34" s="90">
        <f t="shared" si="16"/>
        <v>0</v>
      </c>
      <c r="BI34" s="90">
        <f t="shared" si="17"/>
        <v>4</v>
      </c>
      <c r="BJ34" s="90">
        <f t="shared" si="18"/>
        <v>0</v>
      </c>
      <c r="BK34" s="379">
        <v>89</v>
      </c>
      <c r="BL34" s="379">
        <v>62</v>
      </c>
      <c r="BM34" s="379">
        <v>39</v>
      </c>
      <c r="BN34" s="379">
        <v>94</v>
      </c>
      <c r="BO34" s="385">
        <v>93.1</v>
      </c>
      <c r="BP34" s="385">
        <v>83.4</v>
      </c>
      <c r="BQ34" s="5">
        <f t="shared" si="7"/>
        <v>22</v>
      </c>
      <c r="BR34" s="5">
        <f t="shared" si="8"/>
        <v>6</v>
      </c>
      <c r="BS34" s="302">
        <v>0</v>
      </c>
      <c r="BT34" s="380">
        <v>2</v>
      </c>
      <c r="BU34" s="380">
        <v>12</v>
      </c>
      <c r="BV34" s="380">
        <v>3</v>
      </c>
      <c r="BW34" s="380">
        <v>3</v>
      </c>
      <c r="BX34" s="380">
        <v>2</v>
      </c>
      <c r="BY34" s="381">
        <v>12</v>
      </c>
      <c r="BZ34" s="381">
        <v>0</v>
      </c>
      <c r="CA34" s="381">
        <v>9</v>
      </c>
      <c r="CB34" s="381">
        <v>0</v>
      </c>
      <c r="CC34" s="381">
        <v>1</v>
      </c>
      <c r="CD34" s="382">
        <v>0</v>
      </c>
      <c r="CE34" s="382">
        <v>0</v>
      </c>
      <c r="CF34" s="382">
        <v>0</v>
      </c>
      <c r="CG34" s="382">
        <v>0</v>
      </c>
      <c r="CH34" s="382">
        <v>0</v>
      </c>
      <c r="CI34" s="382">
        <v>0</v>
      </c>
      <c r="CJ34" s="382">
        <v>0</v>
      </c>
      <c r="CK34" s="382">
        <v>2</v>
      </c>
      <c r="CL34" s="382">
        <v>0</v>
      </c>
      <c r="CM34" s="382">
        <v>1</v>
      </c>
      <c r="CN34" s="382">
        <v>4</v>
      </c>
      <c r="CO34" s="382">
        <v>1</v>
      </c>
      <c r="CP34" s="382">
        <v>2</v>
      </c>
      <c r="CQ34" s="382">
        <v>4</v>
      </c>
      <c r="CR34" s="382">
        <v>5</v>
      </c>
      <c r="CS34" s="382">
        <v>0</v>
      </c>
      <c r="CT34" s="382">
        <v>2</v>
      </c>
      <c r="CU34" s="382">
        <v>1</v>
      </c>
      <c r="CV34" s="25">
        <f t="shared" si="9"/>
        <v>0</v>
      </c>
      <c r="CW34" s="25">
        <f t="shared" si="10"/>
        <v>0</v>
      </c>
      <c r="CX34" s="25">
        <f t="shared" si="11"/>
        <v>7</v>
      </c>
      <c r="CY34" s="25">
        <f t="shared" si="12"/>
        <v>12</v>
      </c>
      <c r="CZ34" s="25">
        <f t="shared" si="13"/>
        <v>3</v>
      </c>
      <c r="DA34" s="383">
        <v>0</v>
      </c>
      <c r="DB34" s="383">
        <v>0</v>
      </c>
      <c r="DC34" s="383">
        <v>0</v>
      </c>
      <c r="DD34" s="383">
        <v>0</v>
      </c>
      <c r="DE34" s="383">
        <v>0</v>
      </c>
      <c r="DF34" s="383">
        <v>0</v>
      </c>
      <c r="DG34" s="383">
        <v>0</v>
      </c>
      <c r="DH34" s="383">
        <v>0</v>
      </c>
      <c r="DI34" s="383">
        <v>0</v>
      </c>
      <c r="DJ34" s="383">
        <v>0</v>
      </c>
      <c r="DK34" s="383">
        <v>0</v>
      </c>
      <c r="DL34" s="383">
        <v>2</v>
      </c>
      <c r="DM34" s="383">
        <v>1</v>
      </c>
      <c r="DN34" s="383">
        <v>0</v>
      </c>
      <c r="DO34" s="383">
        <v>1</v>
      </c>
      <c r="DP34" s="383">
        <v>0</v>
      </c>
      <c r="DQ34" s="383">
        <v>0</v>
      </c>
      <c r="DR34" s="383">
        <v>2</v>
      </c>
      <c r="DS34" s="91">
        <f t="shared" si="19"/>
        <v>0</v>
      </c>
      <c r="DT34" s="91">
        <f t="shared" si="20"/>
        <v>0</v>
      </c>
      <c r="DU34" s="91">
        <f t="shared" si="21"/>
        <v>0</v>
      </c>
      <c r="DV34" s="91">
        <f t="shared" si="22"/>
        <v>4</v>
      </c>
      <c r="DW34" s="91">
        <f t="shared" si="23"/>
        <v>2</v>
      </c>
      <c r="DX34" s="384">
        <v>154</v>
      </c>
      <c r="DY34" s="384">
        <v>115</v>
      </c>
      <c r="DZ34" s="384">
        <v>74</v>
      </c>
      <c r="EA34" s="384">
        <v>172</v>
      </c>
      <c r="EB34">
        <v>91.7</v>
      </c>
      <c r="EC34">
        <v>76</v>
      </c>
    </row>
    <row r="35" spans="1:133" ht="12.95" customHeight="1">
      <c r="A35" s="2">
        <v>32</v>
      </c>
      <c r="B35" s="3" t="s">
        <v>95</v>
      </c>
      <c r="C35" s="3" t="s">
        <v>96</v>
      </c>
      <c r="D35" s="4">
        <f t="shared" si="0"/>
        <v>146</v>
      </c>
      <c r="E35" s="4">
        <f t="shared" si="1"/>
        <v>127</v>
      </c>
      <c r="F35" s="305">
        <v>0</v>
      </c>
      <c r="G35" s="375">
        <v>0</v>
      </c>
      <c r="H35" s="375">
        <v>0</v>
      </c>
      <c r="I35" s="375">
        <v>0</v>
      </c>
      <c r="J35" s="375">
        <v>0</v>
      </c>
      <c r="K35" s="375">
        <v>146</v>
      </c>
      <c r="L35" s="376">
        <v>110</v>
      </c>
      <c r="M35" s="376">
        <v>0</v>
      </c>
      <c r="N35" s="376">
        <v>12</v>
      </c>
      <c r="O35" s="376">
        <v>23</v>
      </c>
      <c r="P35" s="376">
        <v>2</v>
      </c>
      <c r="Q35" s="377">
        <v>3</v>
      </c>
      <c r="R35" s="377">
        <v>3</v>
      </c>
      <c r="S35" s="377">
        <v>3</v>
      </c>
      <c r="T35" s="377">
        <v>1</v>
      </c>
      <c r="U35" s="377">
        <v>2</v>
      </c>
      <c r="V35" s="377">
        <v>1</v>
      </c>
      <c r="W35" s="377">
        <v>4</v>
      </c>
      <c r="X35" s="377">
        <v>4</v>
      </c>
      <c r="Y35" s="377">
        <v>10</v>
      </c>
      <c r="Z35" s="377">
        <v>7</v>
      </c>
      <c r="AA35" s="377">
        <v>19</v>
      </c>
      <c r="AB35" s="377">
        <v>13</v>
      </c>
      <c r="AC35" s="377">
        <v>11</v>
      </c>
      <c r="AD35" s="377">
        <v>17</v>
      </c>
      <c r="AE35" s="377">
        <v>17</v>
      </c>
      <c r="AF35" s="377">
        <v>16</v>
      </c>
      <c r="AG35" s="377">
        <v>13</v>
      </c>
      <c r="AH35" s="377">
        <v>2</v>
      </c>
      <c r="AI35" s="24">
        <f t="shared" si="2"/>
        <v>9</v>
      </c>
      <c r="AJ35" s="24">
        <f t="shared" si="3"/>
        <v>4</v>
      </c>
      <c r="AK35" s="24">
        <f t="shared" si="4"/>
        <v>44</v>
      </c>
      <c r="AL35" s="24">
        <f t="shared" si="5"/>
        <v>58</v>
      </c>
      <c r="AM35" s="24">
        <f t="shared" si="6"/>
        <v>31</v>
      </c>
      <c r="AN35" s="378">
        <v>1</v>
      </c>
      <c r="AO35" s="378">
        <v>1</v>
      </c>
      <c r="AP35" s="378">
        <v>1</v>
      </c>
      <c r="AQ35" s="378">
        <v>1</v>
      </c>
      <c r="AR35" s="378">
        <v>1</v>
      </c>
      <c r="AS35" s="378">
        <v>1</v>
      </c>
      <c r="AT35" s="378">
        <v>2</v>
      </c>
      <c r="AU35" s="378">
        <v>6</v>
      </c>
      <c r="AV35" s="378">
        <v>4</v>
      </c>
      <c r="AW35" s="378">
        <v>4</v>
      </c>
      <c r="AX35" s="378">
        <v>15</v>
      </c>
      <c r="AY35" s="378">
        <v>8</v>
      </c>
      <c r="AZ35" s="378">
        <v>14</v>
      </c>
      <c r="BA35" s="378">
        <v>19</v>
      </c>
      <c r="BB35" s="378">
        <v>21</v>
      </c>
      <c r="BC35" s="378">
        <v>16</v>
      </c>
      <c r="BD35" s="378">
        <v>10</v>
      </c>
      <c r="BE35" s="378">
        <v>2</v>
      </c>
      <c r="BF35" s="90">
        <f t="shared" si="14"/>
        <v>3</v>
      </c>
      <c r="BG35" s="90">
        <f t="shared" si="15"/>
        <v>3</v>
      </c>
      <c r="BH35" s="90">
        <f t="shared" si="16"/>
        <v>31</v>
      </c>
      <c r="BI35" s="90">
        <f t="shared" si="17"/>
        <v>62</v>
      </c>
      <c r="BJ35" s="90">
        <f t="shared" si="18"/>
        <v>28</v>
      </c>
      <c r="BK35" s="379">
        <v>345</v>
      </c>
      <c r="BL35" s="379">
        <v>228</v>
      </c>
      <c r="BM35" s="379">
        <v>136</v>
      </c>
      <c r="BN35" s="379">
        <v>426</v>
      </c>
      <c r="BO35" s="385">
        <v>39.6</v>
      </c>
      <c r="BP35" s="385">
        <v>18.600000000000001</v>
      </c>
      <c r="BQ35" s="5">
        <f t="shared" si="7"/>
        <v>135</v>
      </c>
      <c r="BR35" s="5">
        <f t="shared" si="8"/>
        <v>112</v>
      </c>
      <c r="BS35" s="302">
        <v>0</v>
      </c>
      <c r="BT35" s="380">
        <v>0</v>
      </c>
      <c r="BU35" s="380">
        <v>0</v>
      </c>
      <c r="BV35" s="380">
        <v>0</v>
      </c>
      <c r="BW35" s="380">
        <v>0</v>
      </c>
      <c r="BX35" s="380">
        <v>135</v>
      </c>
      <c r="BY35" s="381">
        <v>81</v>
      </c>
      <c r="BZ35" s="381">
        <v>0</v>
      </c>
      <c r="CA35" s="381">
        <v>19</v>
      </c>
      <c r="CB35" s="381">
        <v>28</v>
      </c>
      <c r="CC35" s="381">
        <v>8</v>
      </c>
      <c r="CD35" s="382">
        <v>0</v>
      </c>
      <c r="CE35" s="382">
        <v>0</v>
      </c>
      <c r="CF35" s="382">
        <v>5</v>
      </c>
      <c r="CG35" s="382">
        <v>4</v>
      </c>
      <c r="CH35" s="382">
        <v>3</v>
      </c>
      <c r="CI35" s="382">
        <v>2</v>
      </c>
      <c r="CJ35" s="382">
        <v>2</v>
      </c>
      <c r="CK35" s="382">
        <v>1</v>
      </c>
      <c r="CL35" s="382">
        <v>1</v>
      </c>
      <c r="CM35" s="382">
        <v>7</v>
      </c>
      <c r="CN35" s="382">
        <v>10</v>
      </c>
      <c r="CO35" s="382">
        <v>17</v>
      </c>
      <c r="CP35" s="382">
        <v>12</v>
      </c>
      <c r="CQ35" s="382">
        <v>16</v>
      </c>
      <c r="CR35" s="382">
        <v>20</v>
      </c>
      <c r="CS35" s="382">
        <v>14</v>
      </c>
      <c r="CT35" s="382">
        <v>11</v>
      </c>
      <c r="CU35" s="382">
        <v>10</v>
      </c>
      <c r="CV35" s="25">
        <f t="shared" si="9"/>
        <v>5</v>
      </c>
      <c r="CW35" s="25">
        <f t="shared" si="10"/>
        <v>9</v>
      </c>
      <c r="CX35" s="25">
        <f t="shared" si="11"/>
        <v>21</v>
      </c>
      <c r="CY35" s="25">
        <f t="shared" si="12"/>
        <v>65</v>
      </c>
      <c r="CZ35" s="25">
        <f t="shared" si="13"/>
        <v>35</v>
      </c>
      <c r="DA35" s="383">
        <v>0</v>
      </c>
      <c r="DB35" s="383">
        <v>2</v>
      </c>
      <c r="DC35" s="383">
        <v>1</v>
      </c>
      <c r="DD35" s="383">
        <v>0</v>
      </c>
      <c r="DE35" s="383">
        <v>0</v>
      </c>
      <c r="DF35" s="383">
        <v>0</v>
      </c>
      <c r="DG35" s="383">
        <v>2</v>
      </c>
      <c r="DH35" s="383">
        <v>1</v>
      </c>
      <c r="DI35" s="383">
        <v>4</v>
      </c>
      <c r="DJ35" s="383">
        <v>4</v>
      </c>
      <c r="DK35" s="383">
        <v>4</v>
      </c>
      <c r="DL35" s="383">
        <v>10</v>
      </c>
      <c r="DM35" s="383">
        <v>13</v>
      </c>
      <c r="DN35" s="383">
        <v>9</v>
      </c>
      <c r="DO35" s="383">
        <v>22</v>
      </c>
      <c r="DP35" s="383">
        <v>18</v>
      </c>
      <c r="DQ35" s="383">
        <v>12</v>
      </c>
      <c r="DR35" s="383">
        <v>10</v>
      </c>
      <c r="DS35" s="91">
        <f t="shared" si="19"/>
        <v>3</v>
      </c>
      <c r="DT35" s="91">
        <f t="shared" si="20"/>
        <v>0</v>
      </c>
      <c r="DU35" s="91">
        <f t="shared" si="21"/>
        <v>15</v>
      </c>
      <c r="DV35" s="91">
        <f t="shared" si="22"/>
        <v>54</v>
      </c>
      <c r="DW35" s="91">
        <f t="shared" si="23"/>
        <v>40</v>
      </c>
      <c r="DX35" s="384">
        <v>380</v>
      </c>
      <c r="DY35" s="384">
        <v>241</v>
      </c>
      <c r="DZ35" s="384">
        <v>146</v>
      </c>
      <c r="EA35" s="384">
        <v>450</v>
      </c>
      <c r="EB35">
        <v>43.3</v>
      </c>
      <c r="EC35">
        <v>17.600000000000001</v>
      </c>
    </row>
    <row r="36" spans="1:133" ht="12.95" customHeight="1">
      <c r="A36" s="12">
        <v>33</v>
      </c>
      <c r="B36" s="3" t="s">
        <v>97</v>
      </c>
      <c r="C36" s="3" t="s">
        <v>98</v>
      </c>
      <c r="D36" s="4">
        <f t="shared" si="0"/>
        <v>53</v>
      </c>
      <c r="E36" s="4">
        <f t="shared" si="1"/>
        <v>7</v>
      </c>
      <c r="F36" s="305">
        <v>0</v>
      </c>
      <c r="G36" s="375">
        <v>28</v>
      </c>
      <c r="H36" s="375">
        <v>5</v>
      </c>
      <c r="I36" s="375">
        <v>13</v>
      </c>
      <c r="J36" s="375">
        <v>6</v>
      </c>
      <c r="K36" s="375">
        <v>1</v>
      </c>
      <c r="L36" s="376">
        <v>50</v>
      </c>
      <c r="M36" s="376">
        <v>2</v>
      </c>
      <c r="N36" s="376">
        <v>0</v>
      </c>
      <c r="O36" s="376">
        <v>1</v>
      </c>
      <c r="P36" s="376">
        <v>0</v>
      </c>
      <c r="Q36" s="377">
        <v>0</v>
      </c>
      <c r="R36" s="377">
        <v>0</v>
      </c>
      <c r="S36" s="377">
        <v>1</v>
      </c>
      <c r="T36" s="377">
        <v>0</v>
      </c>
      <c r="U36" s="377">
        <v>3</v>
      </c>
      <c r="V36" s="377">
        <v>1</v>
      </c>
      <c r="W36" s="377">
        <v>3</v>
      </c>
      <c r="X36" s="377">
        <v>4</v>
      </c>
      <c r="Y36" s="377">
        <v>3</v>
      </c>
      <c r="Z36" s="377">
        <v>4</v>
      </c>
      <c r="AA36" s="377">
        <v>10</v>
      </c>
      <c r="AB36" s="377">
        <v>5</v>
      </c>
      <c r="AC36" s="377">
        <v>5</v>
      </c>
      <c r="AD36" s="377">
        <v>6</v>
      </c>
      <c r="AE36" s="377">
        <v>4</v>
      </c>
      <c r="AF36" s="377">
        <v>4</v>
      </c>
      <c r="AG36" s="377">
        <v>0</v>
      </c>
      <c r="AH36" s="377">
        <v>0</v>
      </c>
      <c r="AI36" s="24">
        <f t="shared" si="2"/>
        <v>1</v>
      </c>
      <c r="AJ36" s="24">
        <f t="shared" si="3"/>
        <v>4</v>
      </c>
      <c r="AK36" s="24">
        <f t="shared" si="4"/>
        <v>24</v>
      </c>
      <c r="AL36" s="24">
        <f t="shared" si="5"/>
        <v>20</v>
      </c>
      <c r="AM36" s="24">
        <f t="shared" si="6"/>
        <v>4</v>
      </c>
      <c r="AN36" s="378">
        <v>0</v>
      </c>
      <c r="AO36" s="378">
        <v>0</v>
      </c>
      <c r="AP36" s="378">
        <v>0</v>
      </c>
      <c r="AQ36" s="378">
        <v>0</v>
      </c>
      <c r="AR36" s="378">
        <v>0</v>
      </c>
      <c r="AS36" s="378">
        <v>0</v>
      </c>
      <c r="AT36" s="378">
        <v>0</v>
      </c>
      <c r="AU36" s="378">
        <v>0</v>
      </c>
      <c r="AV36" s="378">
        <v>0</v>
      </c>
      <c r="AW36" s="378">
        <v>0</v>
      </c>
      <c r="AX36" s="378">
        <v>2</v>
      </c>
      <c r="AY36" s="378">
        <v>0</v>
      </c>
      <c r="AZ36" s="378">
        <v>1</v>
      </c>
      <c r="BA36" s="378">
        <v>1</v>
      </c>
      <c r="BB36" s="378">
        <v>1</v>
      </c>
      <c r="BC36" s="378">
        <v>2</v>
      </c>
      <c r="BD36" s="378">
        <v>0</v>
      </c>
      <c r="BE36" s="378">
        <v>0</v>
      </c>
      <c r="BF36" s="90">
        <f t="shared" si="14"/>
        <v>0</v>
      </c>
      <c r="BG36" s="90">
        <f t="shared" si="15"/>
        <v>0</v>
      </c>
      <c r="BH36" s="90">
        <f t="shared" si="16"/>
        <v>2</v>
      </c>
      <c r="BI36" s="90">
        <f t="shared" si="17"/>
        <v>3</v>
      </c>
      <c r="BJ36" s="90">
        <f t="shared" si="18"/>
        <v>2</v>
      </c>
      <c r="BK36" s="379">
        <v>507</v>
      </c>
      <c r="BL36" s="379">
        <v>322</v>
      </c>
      <c r="BM36" s="379">
        <v>157</v>
      </c>
      <c r="BN36" s="379">
        <v>555</v>
      </c>
      <c r="BO36" s="385">
        <v>94.7</v>
      </c>
      <c r="BP36" s="385">
        <v>95.5</v>
      </c>
      <c r="BQ36" s="5">
        <f t="shared" si="7"/>
        <v>294</v>
      </c>
      <c r="BR36" s="5">
        <f t="shared" si="8"/>
        <v>19</v>
      </c>
      <c r="BS36" s="302">
        <v>0</v>
      </c>
      <c r="BT36" s="380">
        <v>184</v>
      </c>
      <c r="BU36" s="380">
        <v>21</v>
      </c>
      <c r="BV36" s="380">
        <v>67</v>
      </c>
      <c r="BW36" s="380">
        <v>19</v>
      </c>
      <c r="BX36" s="380">
        <v>3</v>
      </c>
      <c r="BY36" s="381">
        <v>281</v>
      </c>
      <c r="BZ36" s="381">
        <v>11</v>
      </c>
      <c r="CA36" s="381">
        <v>0</v>
      </c>
      <c r="CB36" s="381">
        <v>2</v>
      </c>
      <c r="CC36" s="381">
        <v>0</v>
      </c>
      <c r="CD36" s="382">
        <v>0</v>
      </c>
      <c r="CE36" s="382">
        <v>0</v>
      </c>
      <c r="CF36" s="382">
        <v>0</v>
      </c>
      <c r="CG36" s="382">
        <v>6</v>
      </c>
      <c r="CH36" s="382">
        <v>5</v>
      </c>
      <c r="CI36" s="382">
        <v>12</v>
      </c>
      <c r="CJ36" s="382">
        <v>19</v>
      </c>
      <c r="CK36" s="382">
        <v>14</v>
      </c>
      <c r="CL36" s="382">
        <v>21</v>
      </c>
      <c r="CM36" s="382">
        <v>34</v>
      </c>
      <c r="CN36" s="382">
        <v>31</v>
      </c>
      <c r="CO36" s="382">
        <v>42</v>
      </c>
      <c r="CP36" s="382">
        <v>37</v>
      </c>
      <c r="CQ36" s="382">
        <v>23</v>
      </c>
      <c r="CR36" s="382">
        <v>17</v>
      </c>
      <c r="CS36" s="382">
        <v>20</v>
      </c>
      <c r="CT36" s="382">
        <v>11</v>
      </c>
      <c r="CU36" s="382">
        <v>2</v>
      </c>
      <c r="CV36" s="25">
        <f t="shared" si="9"/>
        <v>0</v>
      </c>
      <c r="CW36" s="25">
        <f t="shared" si="10"/>
        <v>23</v>
      </c>
      <c r="CX36" s="25">
        <f t="shared" si="11"/>
        <v>119</v>
      </c>
      <c r="CY36" s="25">
        <f t="shared" si="12"/>
        <v>119</v>
      </c>
      <c r="CZ36" s="25">
        <f t="shared" si="13"/>
        <v>33</v>
      </c>
      <c r="DA36" s="383">
        <v>0</v>
      </c>
      <c r="DB36" s="383">
        <v>0</v>
      </c>
      <c r="DC36" s="383">
        <v>0</v>
      </c>
      <c r="DD36" s="383">
        <v>0</v>
      </c>
      <c r="DE36" s="383">
        <v>0</v>
      </c>
      <c r="DF36" s="383">
        <v>0</v>
      </c>
      <c r="DG36" s="383">
        <v>0</v>
      </c>
      <c r="DH36" s="383">
        <v>0</v>
      </c>
      <c r="DI36" s="383">
        <v>0</v>
      </c>
      <c r="DJ36" s="383">
        <v>0</v>
      </c>
      <c r="DK36" s="383">
        <v>0</v>
      </c>
      <c r="DL36" s="383">
        <v>1</v>
      </c>
      <c r="DM36" s="383">
        <v>2</v>
      </c>
      <c r="DN36" s="383">
        <v>2</v>
      </c>
      <c r="DO36" s="383">
        <v>3</v>
      </c>
      <c r="DP36" s="383">
        <v>4</v>
      </c>
      <c r="DQ36" s="383">
        <v>4</v>
      </c>
      <c r="DR36" s="383">
        <v>3</v>
      </c>
      <c r="DS36" s="91">
        <f t="shared" si="19"/>
        <v>0</v>
      </c>
      <c r="DT36" s="91">
        <f t="shared" si="20"/>
        <v>0</v>
      </c>
      <c r="DU36" s="91">
        <f t="shared" si="21"/>
        <v>0</v>
      </c>
      <c r="DV36" s="91">
        <f t="shared" si="22"/>
        <v>8</v>
      </c>
      <c r="DW36" s="91">
        <f t="shared" si="23"/>
        <v>11</v>
      </c>
      <c r="DX36" s="384">
        <v>3718</v>
      </c>
      <c r="DY36" s="384">
        <v>2699</v>
      </c>
      <c r="DZ36" s="384">
        <v>1442</v>
      </c>
      <c r="EA36" s="384">
        <v>3972</v>
      </c>
      <c r="EB36">
        <v>97.6</v>
      </c>
      <c r="EC36">
        <v>96.8</v>
      </c>
    </row>
    <row r="37" spans="1:133" ht="12.95" customHeight="1">
      <c r="A37" s="2">
        <v>34</v>
      </c>
      <c r="B37" s="3" t="s">
        <v>99</v>
      </c>
      <c r="C37" s="3" t="s">
        <v>100</v>
      </c>
      <c r="D37" s="4">
        <f t="shared" si="0"/>
        <v>9</v>
      </c>
      <c r="E37" s="4">
        <f t="shared" si="1"/>
        <v>2</v>
      </c>
      <c r="F37" s="305">
        <v>0</v>
      </c>
      <c r="G37" s="375">
        <v>0</v>
      </c>
      <c r="H37" s="375">
        <v>0</v>
      </c>
      <c r="I37" s="375">
        <v>0</v>
      </c>
      <c r="J37" s="375">
        <v>3</v>
      </c>
      <c r="K37" s="375">
        <v>6</v>
      </c>
      <c r="L37" s="376">
        <v>6</v>
      </c>
      <c r="M37" s="376">
        <v>0</v>
      </c>
      <c r="N37" s="376">
        <v>2</v>
      </c>
      <c r="O37" s="376">
        <v>1</v>
      </c>
      <c r="P37" s="376">
        <v>0</v>
      </c>
      <c r="Q37" s="377">
        <v>3</v>
      </c>
      <c r="R37" s="377">
        <v>1</v>
      </c>
      <c r="S37" s="377">
        <v>0</v>
      </c>
      <c r="T37" s="377">
        <v>0</v>
      </c>
      <c r="U37" s="377">
        <v>0</v>
      </c>
      <c r="V37" s="377">
        <v>0</v>
      </c>
      <c r="W37" s="377">
        <v>0</v>
      </c>
      <c r="X37" s="377">
        <v>1</v>
      </c>
      <c r="Y37" s="377">
        <v>0</v>
      </c>
      <c r="Z37" s="377">
        <v>0</v>
      </c>
      <c r="AA37" s="377">
        <v>1</v>
      </c>
      <c r="AB37" s="377">
        <v>0</v>
      </c>
      <c r="AC37" s="377">
        <v>1</v>
      </c>
      <c r="AD37" s="377">
        <v>0</v>
      </c>
      <c r="AE37" s="377">
        <v>0</v>
      </c>
      <c r="AF37" s="377">
        <v>2</v>
      </c>
      <c r="AG37" s="377">
        <v>0</v>
      </c>
      <c r="AH37" s="377">
        <v>0</v>
      </c>
      <c r="AI37" s="24">
        <f t="shared" si="2"/>
        <v>4</v>
      </c>
      <c r="AJ37" s="24">
        <f t="shared" si="3"/>
        <v>0</v>
      </c>
      <c r="AK37" s="24">
        <f t="shared" si="4"/>
        <v>2</v>
      </c>
      <c r="AL37" s="24">
        <f t="shared" si="5"/>
        <v>1</v>
      </c>
      <c r="AM37" s="24">
        <f t="shared" si="6"/>
        <v>2</v>
      </c>
      <c r="AN37" s="378">
        <v>0</v>
      </c>
      <c r="AO37" s="378">
        <v>0</v>
      </c>
      <c r="AP37" s="378">
        <v>0</v>
      </c>
      <c r="AQ37" s="378">
        <v>0</v>
      </c>
      <c r="AR37" s="378">
        <v>0</v>
      </c>
      <c r="AS37" s="378">
        <v>0</v>
      </c>
      <c r="AT37" s="378">
        <v>0</v>
      </c>
      <c r="AU37" s="378">
        <v>0</v>
      </c>
      <c r="AV37" s="378">
        <v>0</v>
      </c>
      <c r="AW37" s="378">
        <v>0</v>
      </c>
      <c r="AX37" s="378">
        <v>0</v>
      </c>
      <c r="AY37" s="378">
        <v>0</v>
      </c>
      <c r="AZ37" s="378">
        <v>1</v>
      </c>
      <c r="BA37" s="378">
        <v>0</v>
      </c>
      <c r="BB37" s="378">
        <v>0</v>
      </c>
      <c r="BC37" s="378">
        <v>1</v>
      </c>
      <c r="BD37" s="378">
        <v>0</v>
      </c>
      <c r="BE37" s="378">
        <v>0</v>
      </c>
      <c r="BF37" s="90">
        <f t="shared" si="14"/>
        <v>0</v>
      </c>
      <c r="BG37" s="90">
        <f t="shared" si="15"/>
        <v>0</v>
      </c>
      <c r="BH37" s="90">
        <f t="shared" si="16"/>
        <v>0</v>
      </c>
      <c r="BI37" s="90">
        <f t="shared" si="17"/>
        <v>1</v>
      </c>
      <c r="BJ37" s="90">
        <f t="shared" si="18"/>
        <v>1</v>
      </c>
      <c r="BK37" s="379">
        <v>35</v>
      </c>
      <c r="BL37" s="379">
        <v>21</v>
      </c>
      <c r="BM37" s="379">
        <v>11</v>
      </c>
      <c r="BN37" s="379">
        <v>42</v>
      </c>
      <c r="BO37" s="385">
        <v>34.799999999999997</v>
      </c>
      <c r="BP37" s="385">
        <v>0</v>
      </c>
      <c r="BQ37" s="5">
        <f t="shared" si="7"/>
        <v>9</v>
      </c>
      <c r="BR37" s="5">
        <f t="shared" si="8"/>
        <v>7</v>
      </c>
      <c r="BS37" s="302">
        <v>0</v>
      </c>
      <c r="BT37" s="380">
        <v>1</v>
      </c>
      <c r="BU37" s="380">
        <v>3</v>
      </c>
      <c r="BV37" s="380">
        <v>0</v>
      </c>
      <c r="BW37" s="380">
        <v>2</v>
      </c>
      <c r="BX37" s="380">
        <v>3</v>
      </c>
      <c r="BY37" s="381">
        <v>5</v>
      </c>
      <c r="BZ37" s="381">
        <v>0</v>
      </c>
      <c r="CA37" s="381">
        <v>2</v>
      </c>
      <c r="CB37" s="381">
        <v>2</v>
      </c>
      <c r="CC37" s="381">
        <v>0</v>
      </c>
      <c r="CD37" s="382">
        <v>0</v>
      </c>
      <c r="CE37" s="382">
        <v>0</v>
      </c>
      <c r="CF37" s="382">
        <v>0</v>
      </c>
      <c r="CG37" s="382">
        <v>0</v>
      </c>
      <c r="CH37" s="382">
        <v>0</v>
      </c>
      <c r="CI37" s="382">
        <v>1</v>
      </c>
      <c r="CJ37" s="382">
        <v>0</v>
      </c>
      <c r="CK37" s="382">
        <v>0</v>
      </c>
      <c r="CL37" s="382">
        <v>0</v>
      </c>
      <c r="CM37" s="382">
        <v>1</v>
      </c>
      <c r="CN37" s="382">
        <v>1</v>
      </c>
      <c r="CO37" s="382">
        <v>0</v>
      </c>
      <c r="CP37" s="382">
        <v>2</v>
      </c>
      <c r="CQ37" s="382">
        <v>0</v>
      </c>
      <c r="CR37" s="382">
        <v>0</v>
      </c>
      <c r="CS37" s="382">
        <v>2</v>
      </c>
      <c r="CT37" s="382">
        <v>1</v>
      </c>
      <c r="CU37" s="382">
        <v>1</v>
      </c>
      <c r="CV37" s="25">
        <f t="shared" si="9"/>
        <v>0</v>
      </c>
      <c r="CW37" s="25">
        <f t="shared" si="10"/>
        <v>1</v>
      </c>
      <c r="CX37" s="25">
        <f t="shared" si="11"/>
        <v>2</v>
      </c>
      <c r="CY37" s="25">
        <f t="shared" si="12"/>
        <v>2</v>
      </c>
      <c r="CZ37" s="25">
        <f t="shared" si="13"/>
        <v>4</v>
      </c>
      <c r="DA37" s="383">
        <v>0</v>
      </c>
      <c r="DB37" s="383">
        <v>0</v>
      </c>
      <c r="DC37" s="383">
        <v>0</v>
      </c>
      <c r="DD37" s="383">
        <v>0</v>
      </c>
      <c r="DE37" s="383">
        <v>0</v>
      </c>
      <c r="DF37" s="383">
        <v>0</v>
      </c>
      <c r="DG37" s="383">
        <v>0</v>
      </c>
      <c r="DH37" s="383">
        <v>0</v>
      </c>
      <c r="DI37" s="383">
        <v>0</v>
      </c>
      <c r="DJ37" s="383">
        <v>0</v>
      </c>
      <c r="DK37" s="383">
        <v>2</v>
      </c>
      <c r="DL37" s="383">
        <v>0</v>
      </c>
      <c r="DM37" s="383">
        <v>1</v>
      </c>
      <c r="DN37" s="383">
        <v>2</v>
      </c>
      <c r="DO37" s="383">
        <v>0</v>
      </c>
      <c r="DP37" s="383">
        <v>1</v>
      </c>
      <c r="DQ37" s="383">
        <v>0</v>
      </c>
      <c r="DR37" s="383">
        <v>1</v>
      </c>
      <c r="DS37" s="91">
        <f t="shared" si="19"/>
        <v>0</v>
      </c>
      <c r="DT37" s="91">
        <f t="shared" si="20"/>
        <v>0</v>
      </c>
      <c r="DU37" s="91">
        <f t="shared" si="21"/>
        <v>2</v>
      </c>
      <c r="DV37" s="91">
        <f t="shared" si="22"/>
        <v>3</v>
      </c>
      <c r="DW37" s="91">
        <f t="shared" si="23"/>
        <v>2</v>
      </c>
      <c r="DX37" s="384">
        <v>74</v>
      </c>
      <c r="DY37" s="384">
        <v>55</v>
      </c>
      <c r="DZ37" s="384">
        <v>33</v>
      </c>
      <c r="EA37" s="384">
        <v>77</v>
      </c>
      <c r="EB37">
        <v>43.7</v>
      </c>
      <c r="EC37">
        <v>49.7</v>
      </c>
    </row>
    <row r="38" spans="1:133" ht="12.95" customHeight="1">
      <c r="A38" s="12">
        <v>35</v>
      </c>
      <c r="B38" s="3" t="s">
        <v>101</v>
      </c>
      <c r="C38" s="3" t="s">
        <v>102</v>
      </c>
      <c r="D38" s="4">
        <f t="shared" si="0"/>
        <v>234</v>
      </c>
      <c r="E38" s="4">
        <f t="shared" si="1"/>
        <v>227</v>
      </c>
      <c r="F38" s="305">
        <v>0</v>
      </c>
      <c r="G38" s="375">
        <v>0</v>
      </c>
      <c r="H38" s="375">
        <v>0</v>
      </c>
      <c r="I38" s="375">
        <v>0</v>
      </c>
      <c r="J38" s="375">
        <v>113</v>
      </c>
      <c r="K38" s="375">
        <v>121</v>
      </c>
      <c r="L38" s="376">
        <v>59</v>
      </c>
      <c r="M38" s="376">
        <v>2</v>
      </c>
      <c r="N38" s="376">
        <v>53</v>
      </c>
      <c r="O38" s="376">
        <v>111</v>
      </c>
      <c r="P38" s="376">
        <v>9</v>
      </c>
      <c r="Q38" s="377">
        <v>0</v>
      </c>
      <c r="R38" s="377">
        <v>0</v>
      </c>
      <c r="S38" s="377">
        <v>0</v>
      </c>
      <c r="T38" s="377">
        <v>0</v>
      </c>
      <c r="U38" s="377">
        <v>1</v>
      </c>
      <c r="V38" s="377">
        <v>0</v>
      </c>
      <c r="W38" s="377">
        <v>0</v>
      </c>
      <c r="X38" s="377">
        <v>1</v>
      </c>
      <c r="Y38" s="377">
        <v>2</v>
      </c>
      <c r="Z38" s="377">
        <v>7</v>
      </c>
      <c r="AA38" s="377">
        <v>10</v>
      </c>
      <c r="AB38" s="377">
        <v>16</v>
      </c>
      <c r="AC38" s="377">
        <v>32</v>
      </c>
      <c r="AD38" s="377">
        <v>32</v>
      </c>
      <c r="AE38" s="377">
        <v>41</v>
      </c>
      <c r="AF38" s="377">
        <v>43</v>
      </c>
      <c r="AG38" s="377">
        <v>30</v>
      </c>
      <c r="AH38" s="377">
        <v>19</v>
      </c>
      <c r="AI38" s="24">
        <f t="shared" si="2"/>
        <v>0</v>
      </c>
      <c r="AJ38" s="24">
        <f t="shared" si="3"/>
        <v>1</v>
      </c>
      <c r="AK38" s="24">
        <f t="shared" si="4"/>
        <v>20</v>
      </c>
      <c r="AL38" s="24">
        <f t="shared" si="5"/>
        <v>121</v>
      </c>
      <c r="AM38" s="24">
        <f t="shared" si="6"/>
        <v>92</v>
      </c>
      <c r="AN38" s="378">
        <v>0</v>
      </c>
      <c r="AO38" s="378">
        <v>0</v>
      </c>
      <c r="AP38" s="378">
        <v>0</v>
      </c>
      <c r="AQ38" s="378">
        <v>0</v>
      </c>
      <c r="AR38" s="378">
        <v>0</v>
      </c>
      <c r="AS38" s="378">
        <v>0</v>
      </c>
      <c r="AT38" s="378">
        <v>1</v>
      </c>
      <c r="AU38" s="378">
        <v>1</v>
      </c>
      <c r="AV38" s="378">
        <v>2</v>
      </c>
      <c r="AW38" s="378">
        <v>7</v>
      </c>
      <c r="AX38" s="378">
        <v>7</v>
      </c>
      <c r="AY38" s="378">
        <v>18</v>
      </c>
      <c r="AZ38" s="378">
        <v>32</v>
      </c>
      <c r="BA38" s="378">
        <v>30</v>
      </c>
      <c r="BB38" s="378">
        <v>42</v>
      </c>
      <c r="BC38" s="378">
        <v>39</v>
      </c>
      <c r="BD38" s="378">
        <v>25</v>
      </c>
      <c r="BE38" s="378">
        <v>23</v>
      </c>
      <c r="BF38" s="90">
        <f t="shared" si="14"/>
        <v>0</v>
      </c>
      <c r="BG38" s="90">
        <f t="shared" si="15"/>
        <v>0</v>
      </c>
      <c r="BH38" s="90">
        <f t="shared" si="16"/>
        <v>18</v>
      </c>
      <c r="BI38" s="90">
        <f t="shared" si="17"/>
        <v>122</v>
      </c>
      <c r="BJ38" s="90">
        <f t="shared" si="18"/>
        <v>87</v>
      </c>
      <c r="BK38" s="379">
        <v>146</v>
      </c>
      <c r="BL38" s="379">
        <v>81</v>
      </c>
      <c r="BM38" s="379">
        <v>46</v>
      </c>
      <c r="BN38" s="379">
        <v>169</v>
      </c>
      <c r="BO38" s="385">
        <v>12.3</v>
      </c>
      <c r="BP38" s="385">
        <v>55.8</v>
      </c>
      <c r="BQ38" s="5">
        <f t="shared" si="7"/>
        <v>166</v>
      </c>
      <c r="BR38" s="5">
        <f t="shared" si="8"/>
        <v>172</v>
      </c>
      <c r="BS38" s="302">
        <v>0</v>
      </c>
      <c r="BT38" s="380">
        <v>0</v>
      </c>
      <c r="BU38" s="380">
        <v>0</v>
      </c>
      <c r="BV38" s="380">
        <v>0</v>
      </c>
      <c r="BW38" s="380">
        <v>69</v>
      </c>
      <c r="BX38" s="380">
        <v>97</v>
      </c>
      <c r="BY38" s="381">
        <v>45</v>
      </c>
      <c r="BZ38" s="381">
        <v>1</v>
      </c>
      <c r="CA38" s="381">
        <v>34</v>
      </c>
      <c r="CB38" s="381">
        <v>81</v>
      </c>
      <c r="CC38" s="381">
        <v>5</v>
      </c>
      <c r="CD38" s="382">
        <v>0</v>
      </c>
      <c r="CE38" s="382">
        <v>0</v>
      </c>
      <c r="CF38" s="382">
        <v>0</v>
      </c>
      <c r="CG38" s="382">
        <v>0</v>
      </c>
      <c r="CH38" s="382">
        <v>0</v>
      </c>
      <c r="CI38" s="382">
        <v>0</v>
      </c>
      <c r="CJ38" s="382">
        <v>0</v>
      </c>
      <c r="CK38" s="382">
        <v>0</v>
      </c>
      <c r="CL38" s="382">
        <v>1</v>
      </c>
      <c r="CM38" s="382">
        <v>7</v>
      </c>
      <c r="CN38" s="382">
        <v>5</v>
      </c>
      <c r="CO38" s="382">
        <v>8</v>
      </c>
      <c r="CP38" s="382">
        <v>4</v>
      </c>
      <c r="CQ38" s="382">
        <v>11</v>
      </c>
      <c r="CR38" s="382">
        <v>24</v>
      </c>
      <c r="CS38" s="382">
        <v>28</v>
      </c>
      <c r="CT38" s="382">
        <v>36</v>
      </c>
      <c r="CU38" s="382">
        <v>42</v>
      </c>
      <c r="CV38" s="25">
        <f t="shared" si="9"/>
        <v>0</v>
      </c>
      <c r="CW38" s="25">
        <f t="shared" si="10"/>
        <v>0</v>
      </c>
      <c r="CX38" s="25">
        <f t="shared" si="11"/>
        <v>13</v>
      </c>
      <c r="CY38" s="25">
        <f t="shared" si="12"/>
        <v>47</v>
      </c>
      <c r="CZ38" s="25">
        <f t="shared" si="13"/>
        <v>106</v>
      </c>
      <c r="DA38" s="383">
        <v>0</v>
      </c>
      <c r="DB38" s="383">
        <v>0</v>
      </c>
      <c r="DC38" s="383">
        <v>0</v>
      </c>
      <c r="DD38" s="383">
        <v>0</v>
      </c>
      <c r="DE38" s="383">
        <v>0</v>
      </c>
      <c r="DF38" s="383">
        <v>0</v>
      </c>
      <c r="DG38" s="383">
        <v>0</v>
      </c>
      <c r="DH38" s="383">
        <v>0</v>
      </c>
      <c r="DI38" s="383">
        <v>3</v>
      </c>
      <c r="DJ38" s="383">
        <v>7</v>
      </c>
      <c r="DK38" s="383">
        <v>7</v>
      </c>
      <c r="DL38" s="383">
        <v>8</v>
      </c>
      <c r="DM38" s="383">
        <v>7</v>
      </c>
      <c r="DN38" s="383">
        <v>16</v>
      </c>
      <c r="DO38" s="383">
        <v>20</v>
      </c>
      <c r="DP38" s="383">
        <v>23</v>
      </c>
      <c r="DQ38" s="383">
        <v>39</v>
      </c>
      <c r="DR38" s="383">
        <v>42</v>
      </c>
      <c r="DS38" s="91">
        <f t="shared" si="19"/>
        <v>0</v>
      </c>
      <c r="DT38" s="91">
        <f t="shared" si="20"/>
        <v>0</v>
      </c>
      <c r="DU38" s="91">
        <f t="shared" si="21"/>
        <v>17</v>
      </c>
      <c r="DV38" s="91">
        <f t="shared" si="22"/>
        <v>51</v>
      </c>
      <c r="DW38" s="91">
        <f t="shared" si="23"/>
        <v>104</v>
      </c>
      <c r="DX38" s="384">
        <v>211</v>
      </c>
      <c r="DY38" s="384">
        <v>139</v>
      </c>
      <c r="DZ38" s="384">
        <v>77</v>
      </c>
      <c r="EA38" s="384">
        <v>230</v>
      </c>
      <c r="EB38">
        <v>22.5</v>
      </c>
      <c r="EC38">
        <v>13.2</v>
      </c>
    </row>
    <row r="39" spans="1:133" ht="12.95" customHeight="1">
      <c r="A39" s="2">
        <v>36</v>
      </c>
      <c r="B39" s="3" t="s">
        <v>103</v>
      </c>
      <c r="C39" s="3" t="s">
        <v>104</v>
      </c>
      <c r="D39" s="4">
        <f t="shared" si="0"/>
        <v>23</v>
      </c>
      <c r="E39" s="4">
        <f t="shared" si="1"/>
        <v>6</v>
      </c>
      <c r="F39" s="305">
        <v>0</v>
      </c>
      <c r="G39" s="375">
        <v>0</v>
      </c>
      <c r="H39" s="375">
        <v>0</v>
      </c>
      <c r="I39" s="375">
        <v>0</v>
      </c>
      <c r="J39" s="375">
        <v>0</v>
      </c>
      <c r="K39" s="375">
        <v>23</v>
      </c>
      <c r="L39" s="376">
        <v>22</v>
      </c>
      <c r="M39" s="376">
        <v>0</v>
      </c>
      <c r="N39" s="376">
        <v>0</v>
      </c>
      <c r="O39" s="376">
        <v>1</v>
      </c>
      <c r="P39" s="376">
        <v>0</v>
      </c>
      <c r="Q39" s="377">
        <v>0</v>
      </c>
      <c r="R39" s="377">
        <v>0</v>
      </c>
      <c r="S39" s="377">
        <v>1</v>
      </c>
      <c r="T39" s="377">
        <v>4</v>
      </c>
      <c r="U39" s="377">
        <v>4</v>
      </c>
      <c r="V39" s="377">
        <v>0</v>
      </c>
      <c r="W39" s="377">
        <v>3</v>
      </c>
      <c r="X39" s="377">
        <v>2</v>
      </c>
      <c r="Y39" s="377">
        <v>0</v>
      </c>
      <c r="Z39" s="377">
        <v>3</v>
      </c>
      <c r="AA39" s="377">
        <v>2</v>
      </c>
      <c r="AB39" s="377">
        <v>2</v>
      </c>
      <c r="AC39" s="377">
        <v>1</v>
      </c>
      <c r="AD39" s="377">
        <v>1</v>
      </c>
      <c r="AE39" s="377">
        <v>0</v>
      </c>
      <c r="AF39" s="377">
        <v>0</v>
      </c>
      <c r="AG39" s="377">
        <v>0</v>
      </c>
      <c r="AH39" s="377">
        <v>0</v>
      </c>
      <c r="AI39" s="24">
        <f t="shared" si="2"/>
        <v>1</v>
      </c>
      <c r="AJ39" s="24">
        <f t="shared" si="3"/>
        <v>8</v>
      </c>
      <c r="AK39" s="24">
        <f t="shared" si="4"/>
        <v>10</v>
      </c>
      <c r="AL39" s="24">
        <f t="shared" si="5"/>
        <v>4</v>
      </c>
      <c r="AM39" s="24">
        <f t="shared" si="6"/>
        <v>0</v>
      </c>
      <c r="AN39" s="378">
        <v>0</v>
      </c>
      <c r="AO39" s="378">
        <v>0</v>
      </c>
      <c r="AP39" s="378">
        <v>0</v>
      </c>
      <c r="AQ39" s="378">
        <v>0</v>
      </c>
      <c r="AR39" s="378">
        <v>0</v>
      </c>
      <c r="AS39" s="378">
        <v>0</v>
      </c>
      <c r="AT39" s="378">
        <v>0</v>
      </c>
      <c r="AU39" s="378">
        <v>0</v>
      </c>
      <c r="AV39" s="378">
        <v>0</v>
      </c>
      <c r="AW39" s="378">
        <v>0</v>
      </c>
      <c r="AX39" s="378">
        <v>1</v>
      </c>
      <c r="AY39" s="378">
        <v>1</v>
      </c>
      <c r="AZ39" s="378">
        <v>1</v>
      </c>
      <c r="BA39" s="378">
        <v>0</v>
      </c>
      <c r="BB39" s="378">
        <v>0</v>
      </c>
      <c r="BC39" s="378">
        <v>2</v>
      </c>
      <c r="BD39" s="378">
        <v>0</v>
      </c>
      <c r="BE39" s="378">
        <v>1</v>
      </c>
      <c r="BF39" s="90">
        <f t="shared" si="14"/>
        <v>0</v>
      </c>
      <c r="BG39" s="90">
        <f t="shared" si="15"/>
        <v>0</v>
      </c>
      <c r="BH39" s="90">
        <f t="shared" si="16"/>
        <v>1</v>
      </c>
      <c r="BI39" s="90">
        <f t="shared" si="17"/>
        <v>2</v>
      </c>
      <c r="BJ39" s="90">
        <f t="shared" si="18"/>
        <v>3</v>
      </c>
      <c r="BK39" s="379">
        <v>495</v>
      </c>
      <c r="BL39" s="379">
        <v>397</v>
      </c>
      <c r="BM39" s="379">
        <v>287</v>
      </c>
      <c r="BN39" s="379">
        <v>515</v>
      </c>
      <c r="BO39" s="385">
        <v>91.3</v>
      </c>
      <c r="BP39" s="385">
        <v>78</v>
      </c>
      <c r="BQ39" s="5">
        <f t="shared" si="7"/>
        <v>25</v>
      </c>
      <c r="BR39" s="5">
        <f t="shared" si="8"/>
        <v>5</v>
      </c>
      <c r="BS39" s="302">
        <v>0</v>
      </c>
      <c r="BT39" s="380">
        <v>0</v>
      </c>
      <c r="BU39" s="380">
        <v>0</v>
      </c>
      <c r="BV39" s="380">
        <v>0</v>
      </c>
      <c r="BW39" s="380">
        <v>0</v>
      </c>
      <c r="BX39" s="380">
        <v>25</v>
      </c>
      <c r="BY39" s="381">
        <v>24</v>
      </c>
      <c r="BZ39" s="381">
        <v>0</v>
      </c>
      <c r="CA39" s="381">
        <v>0</v>
      </c>
      <c r="CB39" s="381">
        <v>1</v>
      </c>
      <c r="CC39" s="381">
        <v>0</v>
      </c>
      <c r="CD39" s="382">
        <v>0</v>
      </c>
      <c r="CE39" s="382">
        <v>0</v>
      </c>
      <c r="CF39" s="382">
        <v>0</v>
      </c>
      <c r="CG39" s="382">
        <v>3</v>
      </c>
      <c r="CH39" s="382">
        <v>5</v>
      </c>
      <c r="CI39" s="382">
        <v>7</v>
      </c>
      <c r="CJ39" s="382">
        <v>2</v>
      </c>
      <c r="CK39" s="382">
        <v>2</v>
      </c>
      <c r="CL39" s="382">
        <v>3</v>
      </c>
      <c r="CM39" s="382">
        <v>0</v>
      </c>
      <c r="CN39" s="382">
        <v>1</v>
      </c>
      <c r="CO39" s="382">
        <v>0</v>
      </c>
      <c r="CP39" s="382">
        <v>0</v>
      </c>
      <c r="CQ39" s="382">
        <v>0</v>
      </c>
      <c r="CR39" s="382">
        <v>2</v>
      </c>
      <c r="CS39" s="382">
        <v>0</v>
      </c>
      <c r="CT39" s="382">
        <v>0</v>
      </c>
      <c r="CU39" s="382">
        <v>0</v>
      </c>
      <c r="CV39" s="25">
        <f t="shared" si="9"/>
        <v>0</v>
      </c>
      <c r="CW39" s="25">
        <f t="shared" si="10"/>
        <v>15</v>
      </c>
      <c r="CX39" s="25">
        <f t="shared" si="11"/>
        <v>8</v>
      </c>
      <c r="CY39" s="25">
        <f t="shared" si="12"/>
        <v>2</v>
      </c>
      <c r="CZ39" s="25">
        <f t="shared" si="13"/>
        <v>0</v>
      </c>
      <c r="DA39" s="383">
        <v>0</v>
      </c>
      <c r="DB39" s="383">
        <v>0</v>
      </c>
      <c r="DC39" s="383">
        <v>0</v>
      </c>
      <c r="DD39" s="383">
        <v>0</v>
      </c>
      <c r="DE39" s="383">
        <v>0</v>
      </c>
      <c r="DF39" s="383">
        <v>0</v>
      </c>
      <c r="DG39" s="383">
        <v>0</v>
      </c>
      <c r="DH39" s="383">
        <v>1</v>
      </c>
      <c r="DI39" s="383">
        <v>1</v>
      </c>
      <c r="DJ39" s="383">
        <v>0</v>
      </c>
      <c r="DK39" s="383">
        <v>0</v>
      </c>
      <c r="DL39" s="383">
        <v>0</v>
      </c>
      <c r="DM39" s="383">
        <v>0</v>
      </c>
      <c r="DN39" s="383">
        <v>0</v>
      </c>
      <c r="DO39" s="383">
        <v>1</v>
      </c>
      <c r="DP39" s="383">
        <v>0</v>
      </c>
      <c r="DQ39" s="383">
        <v>1</v>
      </c>
      <c r="DR39" s="383">
        <v>1</v>
      </c>
      <c r="DS39" s="91">
        <f t="shared" si="19"/>
        <v>0</v>
      </c>
      <c r="DT39" s="91">
        <f t="shared" si="20"/>
        <v>0</v>
      </c>
      <c r="DU39" s="91">
        <f t="shared" si="21"/>
        <v>2</v>
      </c>
      <c r="DV39" s="91">
        <f t="shared" si="22"/>
        <v>1</v>
      </c>
      <c r="DW39" s="91">
        <f t="shared" si="23"/>
        <v>2</v>
      </c>
      <c r="DX39" s="384">
        <v>657</v>
      </c>
      <c r="DY39" s="384">
        <v>545</v>
      </c>
      <c r="DZ39" s="384">
        <v>391</v>
      </c>
      <c r="EA39" s="384">
        <v>681</v>
      </c>
      <c r="EB39">
        <v>90.9</v>
      </c>
      <c r="EC39">
        <v>89.5</v>
      </c>
    </row>
    <row r="40" spans="1:133" ht="12.95" customHeight="1">
      <c r="A40" s="12">
        <v>37</v>
      </c>
      <c r="B40" s="3" t="s">
        <v>105</v>
      </c>
      <c r="C40" s="3" t="s">
        <v>106</v>
      </c>
      <c r="D40" s="4">
        <f t="shared" si="0"/>
        <v>161</v>
      </c>
      <c r="E40" s="4">
        <f t="shared" si="1"/>
        <v>75</v>
      </c>
      <c r="F40" s="305">
        <v>0</v>
      </c>
      <c r="G40" s="375">
        <v>0</v>
      </c>
      <c r="H40" s="375">
        <v>0</v>
      </c>
      <c r="I40" s="375">
        <v>0</v>
      </c>
      <c r="J40" s="375">
        <v>0</v>
      </c>
      <c r="K40" s="375">
        <v>161</v>
      </c>
      <c r="L40" s="376">
        <v>147</v>
      </c>
      <c r="M40" s="376">
        <v>1</v>
      </c>
      <c r="N40" s="376">
        <v>0</v>
      </c>
      <c r="O40" s="376">
        <v>13</v>
      </c>
      <c r="P40" s="376">
        <v>0</v>
      </c>
      <c r="Q40" s="377">
        <v>1</v>
      </c>
      <c r="R40" s="377">
        <v>1</v>
      </c>
      <c r="S40" s="377">
        <v>1</v>
      </c>
      <c r="T40" s="377">
        <v>2</v>
      </c>
      <c r="U40" s="377">
        <v>1</v>
      </c>
      <c r="V40" s="377">
        <v>1</v>
      </c>
      <c r="W40" s="377">
        <v>1</v>
      </c>
      <c r="X40" s="377">
        <v>5</v>
      </c>
      <c r="Y40" s="377">
        <v>5</v>
      </c>
      <c r="Z40" s="377">
        <v>6</v>
      </c>
      <c r="AA40" s="377">
        <v>17</v>
      </c>
      <c r="AB40" s="377">
        <v>14</v>
      </c>
      <c r="AC40" s="377">
        <v>24</v>
      </c>
      <c r="AD40" s="377">
        <v>16</v>
      </c>
      <c r="AE40" s="377">
        <v>18</v>
      </c>
      <c r="AF40" s="377">
        <v>27</v>
      </c>
      <c r="AG40" s="377">
        <v>12</v>
      </c>
      <c r="AH40" s="377">
        <v>9</v>
      </c>
      <c r="AI40" s="24">
        <f t="shared" si="2"/>
        <v>3</v>
      </c>
      <c r="AJ40" s="24">
        <f t="shared" si="3"/>
        <v>4</v>
      </c>
      <c r="AK40" s="24">
        <f t="shared" si="4"/>
        <v>34</v>
      </c>
      <c r="AL40" s="24">
        <f t="shared" si="5"/>
        <v>72</v>
      </c>
      <c r="AM40" s="24">
        <f t="shared" si="6"/>
        <v>48</v>
      </c>
      <c r="AN40" s="378">
        <v>0</v>
      </c>
      <c r="AO40" s="378">
        <v>0</v>
      </c>
      <c r="AP40" s="378">
        <v>0</v>
      </c>
      <c r="AQ40" s="378">
        <v>1</v>
      </c>
      <c r="AR40" s="378">
        <v>1</v>
      </c>
      <c r="AS40" s="378">
        <v>0</v>
      </c>
      <c r="AT40" s="378">
        <v>0</v>
      </c>
      <c r="AU40" s="378">
        <v>0</v>
      </c>
      <c r="AV40" s="378">
        <v>0</v>
      </c>
      <c r="AW40" s="378">
        <v>2</v>
      </c>
      <c r="AX40" s="378">
        <v>7</v>
      </c>
      <c r="AY40" s="378">
        <v>5</v>
      </c>
      <c r="AZ40" s="378">
        <v>6</v>
      </c>
      <c r="BA40" s="378">
        <v>9</v>
      </c>
      <c r="BB40" s="378">
        <v>13</v>
      </c>
      <c r="BC40" s="378">
        <v>18</v>
      </c>
      <c r="BD40" s="378">
        <v>6</v>
      </c>
      <c r="BE40" s="378">
        <v>7</v>
      </c>
      <c r="BF40" s="90">
        <f t="shared" si="14"/>
        <v>0</v>
      </c>
      <c r="BG40" s="90">
        <f t="shared" si="15"/>
        <v>2</v>
      </c>
      <c r="BH40" s="90">
        <f t="shared" si="16"/>
        <v>9</v>
      </c>
      <c r="BI40" s="90">
        <f t="shared" si="17"/>
        <v>33</v>
      </c>
      <c r="BJ40" s="90">
        <f t="shared" si="18"/>
        <v>31</v>
      </c>
      <c r="BK40" s="379">
        <v>801</v>
      </c>
      <c r="BL40" s="379">
        <v>482</v>
      </c>
      <c r="BM40" s="379">
        <v>246</v>
      </c>
      <c r="BN40" s="379">
        <v>897</v>
      </c>
      <c r="BO40" s="385">
        <v>69.900000000000006</v>
      </c>
      <c r="BP40" s="385">
        <v>54.2</v>
      </c>
      <c r="BQ40" s="5">
        <f t="shared" si="7"/>
        <v>170</v>
      </c>
      <c r="BR40" s="5">
        <f t="shared" si="8"/>
        <v>69</v>
      </c>
      <c r="BS40" s="302">
        <v>0</v>
      </c>
      <c r="BT40" s="380">
        <v>0</v>
      </c>
      <c r="BU40" s="380">
        <v>0</v>
      </c>
      <c r="BV40" s="380">
        <v>0</v>
      </c>
      <c r="BW40" s="380">
        <v>0</v>
      </c>
      <c r="BX40" s="380">
        <v>170</v>
      </c>
      <c r="BY40" s="381">
        <v>159</v>
      </c>
      <c r="BZ40" s="381">
        <v>2</v>
      </c>
      <c r="CA40" s="381">
        <v>0</v>
      </c>
      <c r="CB40" s="381">
        <v>9</v>
      </c>
      <c r="CC40" s="381">
        <v>3</v>
      </c>
      <c r="CD40" s="382">
        <v>0</v>
      </c>
      <c r="CE40" s="382">
        <v>0</v>
      </c>
      <c r="CF40" s="382">
        <v>0</v>
      </c>
      <c r="CG40" s="382">
        <v>1</v>
      </c>
      <c r="CH40" s="382">
        <v>1</v>
      </c>
      <c r="CI40" s="382">
        <v>2</v>
      </c>
      <c r="CJ40" s="382">
        <v>6</v>
      </c>
      <c r="CK40" s="382">
        <v>1</v>
      </c>
      <c r="CL40" s="382">
        <v>2</v>
      </c>
      <c r="CM40" s="382">
        <v>3</v>
      </c>
      <c r="CN40" s="382">
        <v>9</v>
      </c>
      <c r="CO40" s="382">
        <v>14</v>
      </c>
      <c r="CP40" s="382">
        <v>19</v>
      </c>
      <c r="CQ40" s="382">
        <v>24</v>
      </c>
      <c r="CR40" s="382">
        <v>23</v>
      </c>
      <c r="CS40" s="382">
        <v>28</v>
      </c>
      <c r="CT40" s="382">
        <v>22</v>
      </c>
      <c r="CU40" s="382">
        <v>15</v>
      </c>
      <c r="CV40" s="25">
        <f t="shared" si="9"/>
        <v>0</v>
      </c>
      <c r="CW40" s="25">
        <f t="shared" si="10"/>
        <v>4</v>
      </c>
      <c r="CX40" s="25">
        <f t="shared" si="11"/>
        <v>21</v>
      </c>
      <c r="CY40" s="25">
        <f t="shared" si="12"/>
        <v>80</v>
      </c>
      <c r="CZ40" s="25">
        <f t="shared" si="13"/>
        <v>65</v>
      </c>
      <c r="DA40" s="383">
        <v>0</v>
      </c>
      <c r="DB40" s="383">
        <v>0</v>
      </c>
      <c r="DC40" s="383">
        <v>0</v>
      </c>
      <c r="DD40" s="383">
        <v>0</v>
      </c>
      <c r="DE40" s="383">
        <v>0</v>
      </c>
      <c r="DF40" s="383">
        <v>0</v>
      </c>
      <c r="DG40" s="383">
        <v>0</v>
      </c>
      <c r="DH40" s="383">
        <v>1</v>
      </c>
      <c r="DI40" s="383">
        <v>1</v>
      </c>
      <c r="DJ40" s="383">
        <v>1</v>
      </c>
      <c r="DK40" s="383">
        <v>1</v>
      </c>
      <c r="DL40" s="383">
        <v>2</v>
      </c>
      <c r="DM40" s="383">
        <v>7</v>
      </c>
      <c r="DN40" s="383">
        <v>5</v>
      </c>
      <c r="DO40" s="383">
        <v>12</v>
      </c>
      <c r="DP40" s="383">
        <v>11</v>
      </c>
      <c r="DQ40" s="383">
        <v>16</v>
      </c>
      <c r="DR40" s="383">
        <v>12</v>
      </c>
      <c r="DS40" s="91">
        <f t="shared" si="19"/>
        <v>0</v>
      </c>
      <c r="DT40" s="91">
        <f t="shared" si="20"/>
        <v>0</v>
      </c>
      <c r="DU40" s="91">
        <f t="shared" si="21"/>
        <v>4</v>
      </c>
      <c r="DV40" s="91">
        <f t="shared" si="22"/>
        <v>26</v>
      </c>
      <c r="DW40" s="91">
        <f t="shared" si="23"/>
        <v>39</v>
      </c>
      <c r="DX40" s="384">
        <v>1067</v>
      </c>
      <c r="DY40" s="384">
        <v>644</v>
      </c>
      <c r="DZ40" s="384">
        <v>321</v>
      </c>
      <c r="EA40" s="384">
        <v>1180</v>
      </c>
      <c r="EB40">
        <v>72.2</v>
      </c>
      <c r="EC40">
        <v>54.5</v>
      </c>
    </row>
    <row r="41" spans="1:133" ht="12.95" customHeight="1">
      <c r="A41" s="2">
        <v>38</v>
      </c>
      <c r="B41" s="3" t="s">
        <v>107</v>
      </c>
      <c r="C41" s="3" t="s">
        <v>108</v>
      </c>
      <c r="D41" s="4">
        <f t="shared" si="0"/>
        <v>83</v>
      </c>
      <c r="E41" s="4">
        <f t="shared" si="1"/>
        <v>38</v>
      </c>
      <c r="F41" s="305">
        <v>0</v>
      </c>
      <c r="G41" s="375">
        <v>0</v>
      </c>
      <c r="H41" s="375">
        <v>0</v>
      </c>
      <c r="I41" s="375">
        <v>0</v>
      </c>
      <c r="J41" s="375">
        <v>0</v>
      </c>
      <c r="K41" s="375">
        <v>83</v>
      </c>
      <c r="L41" s="376">
        <v>72</v>
      </c>
      <c r="M41" s="376">
        <v>5</v>
      </c>
      <c r="N41" s="376">
        <v>0</v>
      </c>
      <c r="O41" s="376">
        <v>6</v>
      </c>
      <c r="P41" s="376">
        <v>0</v>
      </c>
      <c r="Q41" s="377">
        <v>0</v>
      </c>
      <c r="R41" s="377">
        <v>0</v>
      </c>
      <c r="S41" s="377">
        <v>0</v>
      </c>
      <c r="T41" s="377">
        <v>0</v>
      </c>
      <c r="U41" s="377">
        <v>0</v>
      </c>
      <c r="V41" s="377">
        <v>0</v>
      </c>
      <c r="W41" s="377">
        <v>0</v>
      </c>
      <c r="X41" s="377">
        <v>0</v>
      </c>
      <c r="Y41" s="377">
        <v>1</v>
      </c>
      <c r="Z41" s="377">
        <v>3</v>
      </c>
      <c r="AA41" s="377">
        <v>8</v>
      </c>
      <c r="AB41" s="377">
        <v>14</v>
      </c>
      <c r="AC41" s="377">
        <v>5</v>
      </c>
      <c r="AD41" s="377">
        <v>9</v>
      </c>
      <c r="AE41" s="377">
        <v>12</v>
      </c>
      <c r="AF41" s="377">
        <v>12</v>
      </c>
      <c r="AG41" s="377">
        <v>14</v>
      </c>
      <c r="AH41" s="377">
        <v>5</v>
      </c>
      <c r="AI41" s="24">
        <f t="shared" si="2"/>
        <v>0</v>
      </c>
      <c r="AJ41" s="24">
        <f t="shared" si="3"/>
        <v>0</v>
      </c>
      <c r="AK41" s="24">
        <f t="shared" si="4"/>
        <v>12</v>
      </c>
      <c r="AL41" s="24">
        <f t="shared" si="5"/>
        <v>40</v>
      </c>
      <c r="AM41" s="24">
        <f t="shared" si="6"/>
        <v>31</v>
      </c>
      <c r="AN41" s="378">
        <v>0</v>
      </c>
      <c r="AO41" s="378">
        <v>0</v>
      </c>
      <c r="AP41" s="378">
        <v>0</v>
      </c>
      <c r="AQ41" s="378">
        <v>0</v>
      </c>
      <c r="AR41" s="378">
        <v>0</v>
      </c>
      <c r="AS41" s="378">
        <v>0</v>
      </c>
      <c r="AT41" s="378">
        <v>0</v>
      </c>
      <c r="AU41" s="378">
        <v>0</v>
      </c>
      <c r="AV41" s="378">
        <v>0</v>
      </c>
      <c r="AW41" s="378">
        <v>2</v>
      </c>
      <c r="AX41" s="378">
        <v>4</v>
      </c>
      <c r="AY41" s="378">
        <v>6</v>
      </c>
      <c r="AZ41" s="378">
        <v>2</v>
      </c>
      <c r="BA41" s="378">
        <v>1</v>
      </c>
      <c r="BB41" s="378">
        <v>3</v>
      </c>
      <c r="BC41" s="378">
        <v>13</v>
      </c>
      <c r="BD41" s="378">
        <v>4</v>
      </c>
      <c r="BE41" s="378">
        <v>3</v>
      </c>
      <c r="BF41" s="90">
        <f t="shared" si="14"/>
        <v>0</v>
      </c>
      <c r="BG41" s="90">
        <f t="shared" si="15"/>
        <v>0</v>
      </c>
      <c r="BH41" s="90">
        <f t="shared" si="16"/>
        <v>6</v>
      </c>
      <c r="BI41" s="90">
        <f t="shared" si="17"/>
        <v>12</v>
      </c>
      <c r="BJ41" s="90">
        <f t="shared" si="18"/>
        <v>20</v>
      </c>
      <c r="BK41" s="379">
        <v>219</v>
      </c>
      <c r="BL41" s="379">
        <v>94</v>
      </c>
      <c r="BM41" s="379">
        <v>29</v>
      </c>
      <c r="BN41" s="379">
        <v>268</v>
      </c>
      <c r="BO41" s="385">
        <v>74.8</v>
      </c>
      <c r="BP41" s="385">
        <v>42.4</v>
      </c>
      <c r="BQ41" s="5">
        <f t="shared" si="7"/>
        <v>80</v>
      </c>
      <c r="BR41" s="5">
        <f t="shared" si="8"/>
        <v>49</v>
      </c>
      <c r="BS41" s="302">
        <v>0</v>
      </c>
      <c r="BT41" s="380">
        <v>0</v>
      </c>
      <c r="BU41" s="380">
        <v>0</v>
      </c>
      <c r="BV41" s="380">
        <v>0</v>
      </c>
      <c r="BW41" s="380">
        <v>0</v>
      </c>
      <c r="BX41" s="380">
        <v>80</v>
      </c>
      <c r="BY41" s="381">
        <v>64</v>
      </c>
      <c r="BZ41" s="381">
        <v>3</v>
      </c>
      <c r="CA41" s="381">
        <v>0</v>
      </c>
      <c r="CB41" s="381">
        <v>13</v>
      </c>
      <c r="CC41" s="381">
        <v>0</v>
      </c>
      <c r="CD41" s="382">
        <v>0</v>
      </c>
      <c r="CE41" s="382">
        <v>0</v>
      </c>
      <c r="CF41" s="382">
        <v>0</v>
      </c>
      <c r="CG41" s="382">
        <v>0</v>
      </c>
      <c r="CH41" s="382">
        <v>0</v>
      </c>
      <c r="CI41" s="382">
        <v>1</v>
      </c>
      <c r="CJ41" s="382">
        <v>0</v>
      </c>
      <c r="CK41" s="382">
        <v>1</v>
      </c>
      <c r="CL41" s="382">
        <v>2</v>
      </c>
      <c r="CM41" s="382">
        <v>3</v>
      </c>
      <c r="CN41" s="382">
        <v>8</v>
      </c>
      <c r="CO41" s="382">
        <v>9</v>
      </c>
      <c r="CP41" s="382">
        <v>8</v>
      </c>
      <c r="CQ41" s="382">
        <v>11</v>
      </c>
      <c r="CR41" s="382">
        <v>17</v>
      </c>
      <c r="CS41" s="382">
        <v>9</v>
      </c>
      <c r="CT41" s="382">
        <v>8</v>
      </c>
      <c r="CU41" s="382">
        <v>3</v>
      </c>
      <c r="CV41" s="25">
        <f t="shared" si="9"/>
        <v>0</v>
      </c>
      <c r="CW41" s="25">
        <f t="shared" si="10"/>
        <v>1</v>
      </c>
      <c r="CX41" s="25">
        <f t="shared" si="11"/>
        <v>14</v>
      </c>
      <c r="CY41" s="25">
        <f t="shared" si="12"/>
        <v>45</v>
      </c>
      <c r="CZ41" s="25">
        <f t="shared" si="13"/>
        <v>20</v>
      </c>
      <c r="DA41" s="383">
        <v>0</v>
      </c>
      <c r="DB41" s="383">
        <v>0</v>
      </c>
      <c r="DC41" s="383">
        <v>0</v>
      </c>
      <c r="DD41" s="383">
        <v>0</v>
      </c>
      <c r="DE41" s="383">
        <v>0</v>
      </c>
      <c r="DF41" s="383">
        <v>1</v>
      </c>
      <c r="DG41" s="383">
        <v>0</v>
      </c>
      <c r="DH41" s="383">
        <v>0</v>
      </c>
      <c r="DI41" s="383">
        <v>0</v>
      </c>
      <c r="DJ41" s="383">
        <v>0</v>
      </c>
      <c r="DK41" s="383">
        <v>1</v>
      </c>
      <c r="DL41" s="383">
        <v>5</v>
      </c>
      <c r="DM41" s="383">
        <v>5</v>
      </c>
      <c r="DN41" s="383">
        <v>7</v>
      </c>
      <c r="DO41" s="383">
        <v>7</v>
      </c>
      <c r="DP41" s="383">
        <v>7</v>
      </c>
      <c r="DQ41" s="383">
        <v>8</v>
      </c>
      <c r="DR41" s="383">
        <v>8</v>
      </c>
      <c r="DS41" s="91">
        <f t="shared" si="19"/>
        <v>0</v>
      </c>
      <c r="DT41" s="91">
        <f t="shared" si="20"/>
        <v>1</v>
      </c>
      <c r="DU41" s="91">
        <f t="shared" si="21"/>
        <v>1</v>
      </c>
      <c r="DV41" s="91">
        <f t="shared" si="22"/>
        <v>24</v>
      </c>
      <c r="DW41" s="91">
        <f t="shared" si="23"/>
        <v>23</v>
      </c>
      <c r="DX41" s="384">
        <v>304</v>
      </c>
      <c r="DY41" s="384">
        <v>159</v>
      </c>
      <c r="DZ41" s="384">
        <v>62</v>
      </c>
      <c r="EA41" s="384">
        <v>359</v>
      </c>
      <c r="EB41">
        <v>69</v>
      </c>
      <c r="EC41">
        <v>44</v>
      </c>
    </row>
    <row r="42" spans="1:133" ht="12.95" customHeight="1">
      <c r="A42" s="12">
        <v>39</v>
      </c>
      <c r="B42" s="3" t="s">
        <v>109</v>
      </c>
      <c r="C42" s="3" t="s">
        <v>110</v>
      </c>
      <c r="D42" s="4">
        <f t="shared" si="0"/>
        <v>224</v>
      </c>
      <c r="E42" s="4">
        <f t="shared" si="1"/>
        <v>124</v>
      </c>
      <c r="F42" s="305">
        <v>0</v>
      </c>
      <c r="G42" s="375">
        <v>0</v>
      </c>
      <c r="H42" s="375">
        <v>0</v>
      </c>
      <c r="I42" s="375">
        <v>0</v>
      </c>
      <c r="J42" s="375">
        <v>0</v>
      </c>
      <c r="K42" s="375">
        <v>224</v>
      </c>
      <c r="L42" s="376">
        <v>178</v>
      </c>
      <c r="M42" s="376">
        <v>9</v>
      </c>
      <c r="N42" s="376">
        <v>0</v>
      </c>
      <c r="O42" s="376">
        <v>37</v>
      </c>
      <c r="P42" s="376">
        <v>2</v>
      </c>
      <c r="Q42" s="377">
        <v>12</v>
      </c>
      <c r="R42" s="377">
        <v>2</v>
      </c>
      <c r="S42" s="377">
        <v>1</v>
      </c>
      <c r="T42" s="377">
        <v>1</v>
      </c>
      <c r="U42" s="377">
        <v>2</v>
      </c>
      <c r="V42" s="377">
        <v>2</v>
      </c>
      <c r="W42" s="377">
        <v>5</v>
      </c>
      <c r="X42" s="377">
        <v>2</v>
      </c>
      <c r="Y42" s="377">
        <v>3</v>
      </c>
      <c r="Z42" s="377">
        <v>4</v>
      </c>
      <c r="AA42" s="377">
        <v>16</v>
      </c>
      <c r="AB42" s="377">
        <v>13</v>
      </c>
      <c r="AC42" s="377">
        <v>21</v>
      </c>
      <c r="AD42" s="377">
        <v>21</v>
      </c>
      <c r="AE42" s="377">
        <v>34</v>
      </c>
      <c r="AF42" s="377">
        <v>35</v>
      </c>
      <c r="AG42" s="377">
        <v>32</v>
      </c>
      <c r="AH42" s="377">
        <v>18</v>
      </c>
      <c r="AI42" s="24">
        <f t="shared" si="2"/>
        <v>15</v>
      </c>
      <c r="AJ42" s="24">
        <f t="shared" si="3"/>
        <v>5</v>
      </c>
      <c r="AK42" s="24">
        <f t="shared" si="4"/>
        <v>30</v>
      </c>
      <c r="AL42" s="24">
        <f t="shared" si="5"/>
        <v>89</v>
      </c>
      <c r="AM42" s="24">
        <f t="shared" si="6"/>
        <v>85</v>
      </c>
      <c r="AN42" s="378">
        <v>0</v>
      </c>
      <c r="AO42" s="378">
        <v>1</v>
      </c>
      <c r="AP42" s="378">
        <v>1</v>
      </c>
      <c r="AQ42" s="378">
        <v>1</v>
      </c>
      <c r="AR42" s="378">
        <v>2</v>
      </c>
      <c r="AS42" s="378">
        <v>0</v>
      </c>
      <c r="AT42" s="378">
        <v>2</v>
      </c>
      <c r="AU42" s="378">
        <v>2</v>
      </c>
      <c r="AV42" s="378">
        <v>1</v>
      </c>
      <c r="AW42" s="378">
        <v>1</v>
      </c>
      <c r="AX42" s="378">
        <v>6</v>
      </c>
      <c r="AY42" s="378">
        <v>3</v>
      </c>
      <c r="AZ42" s="378">
        <v>9</v>
      </c>
      <c r="BA42" s="378">
        <v>15</v>
      </c>
      <c r="BB42" s="378">
        <v>23</v>
      </c>
      <c r="BC42" s="378">
        <v>25</v>
      </c>
      <c r="BD42" s="378">
        <v>18</v>
      </c>
      <c r="BE42" s="378">
        <v>14</v>
      </c>
      <c r="BF42" s="90">
        <f t="shared" si="14"/>
        <v>2</v>
      </c>
      <c r="BG42" s="90">
        <f t="shared" si="15"/>
        <v>3</v>
      </c>
      <c r="BH42" s="90">
        <f t="shared" si="16"/>
        <v>12</v>
      </c>
      <c r="BI42" s="90">
        <f t="shared" si="17"/>
        <v>50</v>
      </c>
      <c r="BJ42" s="90">
        <f t="shared" si="18"/>
        <v>57</v>
      </c>
      <c r="BK42" s="379">
        <v>1060</v>
      </c>
      <c r="BL42" s="379">
        <v>673</v>
      </c>
      <c r="BM42" s="379">
        <v>396</v>
      </c>
      <c r="BN42" s="379">
        <v>1188</v>
      </c>
      <c r="BO42" s="385">
        <v>64.099999999999994</v>
      </c>
      <c r="BP42" s="385">
        <v>46.3</v>
      </c>
      <c r="BQ42" s="5">
        <f t="shared" si="7"/>
        <v>249</v>
      </c>
      <c r="BR42" s="5">
        <f t="shared" si="8"/>
        <v>143</v>
      </c>
      <c r="BS42" s="302">
        <v>0</v>
      </c>
      <c r="BT42" s="380">
        <v>0</v>
      </c>
      <c r="BU42" s="380">
        <v>0</v>
      </c>
      <c r="BV42" s="380">
        <v>0</v>
      </c>
      <c r="BW42" s="380">
        <v>0</v>
      </c>
      <c r="BX42" s="380">
        <v>249</v>
      </c>
      <c r="BY42" s="381">
        <v>191</v>
      </c>
      <c r="BZ42" s="381">
        <v>8</v>
      </c>
      <c r="CA42" s="381">
        <v>0</v>
      </c>
      <c r="CB42" s="381">
        <v>50</v>
      </c>
      <c r="CC42" s="381">
        <v>1</v>
      </c>
      <c r="CD42" s="382">
        <v>8</v>
      </c>
      <c r="CE42" s="382">
        <v>1</v>
      </c>
      <c r="CF42" s="382">
        <v>2</v>
      </c>
      <c r="CG42" s="382">
        <v>2</v>
      </c>
      <c r="CH42" s="382">
        <v>3</v>
      </c>
      <c r="CI42" s="382">
        <v>3</v>
      </c>
      <c r="CJ42" s="382">
        <v>1</v>
      </c>
      <c r="CK42" s="382">
        <v>1</v>
      </c>
      <c r="CL42" s="382">
        <v>8</v>
      </c>
      <c r="CM42" s="382">
        <v>5</v>
      </c>
      <c r="CN42" s="382">
        <v>18</v>
      </c>
      <c r="CO42" s="382">
        <v>20</v>
      </c>
      <c r="CP42" s="382">
        <v>20</v>
      </c>
      <c r="CQ42" s="382">
        <v>22</v>
      </c>
      <c r="CR42" s="382">
        <v>29</v>
      </c>
      <c r="CS42" s="382">
        <v>42</v>
      </c>
      <c r="CT42" s="382">
        <v>29</v>
      </c>
      <c r="CU42" s="382">
        <v>35</v>
      </c>
      <c r="CV42" s="25">
        <f t="shared" si="9"/>
        <v>11</v>
      </c>
      <c r="CW42" s="25">
        <f t="shared" si="10"/>
        <v>8</v>
      </c>
      <c r="CX42" s="25">
        <f t="shared" si="11"/>
        <v>33</v>
      </c>
      <c r="CY42" s="25">
        <f t="shared" si="12"/>
        <v>91</v>
      </c>
      <c r="CZ42" s="25">
        <f t="shared" si="13"/>
        <v>106</v>
      </c>
      <c r="DA42" s="383">
        <v>1</v>
      </c>
      <c r="DB42" s="383">
        <v>0</v>
      </c>
      <c r="DC42" s="383">
        <v>0</v>
      </c>
      <c r="DD42" s="383">
        <v>0</v>
      </c>
      <c r="DE42" s="383">
        <v>0</v>
      </c>
      <c r="DF42" s="383">
        <v>2</v>
      </c>
      <c r="DG42" s="383">
        <v>0</v>
      </c>
      <c r="DH42" s="383">
        <v>0</v>
      </c>
      <c r="DI42" s="383">
        <v>2</v>
      </c>
      <c r="DJ42" s="383">
        <v>3</v>
      </c>
      <c r="DK42" s="383">
        <v>5</v>
      </c>
      <c r="DL42" s="383">
        <v>2</v>
      </c>
      <c r="DM42" s="383">
        <v>10</v>
      </c>
      <c r="DN42" s="383">
        <v>10</v>
      </c>
      <c r="DO42" s="383">
        <v>19</v>
      </c>
      <c r="DP42" s="383">
        <v>29</v>
      </c>
      <c r="DQ42" s="383">
        <v>34</v>
      </c>
      <c r="DR42" s="383">
        <v>26</v>
      </c>
      <c r="DS42" s="91">
        <f t="shared" si="19"/>
        <v>1</v>
      </c>
      <c r="DT42" s="91">
        <f t="shared" si="20"/>
        <v>2</v>
      </c>
      <c r="DU42" s="91">
        <f t="shared" si="21"/>
        <v>10</v>
      </c>
      <c r="DV42" s="91">
        <f t="shared" si="22"/>
        <v>41</v>
      </c>
      <c r="DW42" s="91">
        <f t="shared" si="23"/>
        <v>89</v>
      </c>
      <c r="DX42" s="384">
        <v>1092</v>
      </c>
      <c r="DY42" s="384">
        <v>685</v>
      </c>
      <c r="DZ42" s="384">
        <v>363</v>
      </c>
      <c r="EA42" s="384">
        <v>1239</v>
      </c>
      <c r="EB42">
        <v>59.3</v>
      </c>
      <c r="EC42">
        <v>47.2</v>
      </c>
    </row>
    <row r="43" spans="1:133" ht="12.95" customHeight="1">
      <c r="A43" s="2">
        <v>40</v>
      </c>
      <c r="B43" s="3" t="s">
        <v>111</v>
      </c>
      <c r="C43" s="3" t="s">
        <v>112</v>
      </c>
      <c r="D43" s="4">
        <f t="shared" si="0"/>
        <v>7</v>
      </c>
      <c r="E43" s="4">
        <f t="shared" si="1"/>
        <v>1</v>
      </c>
      <c r="F43" s="305">
        <v>0</v>
      </c>
      <c r="G43" s="375">
        <v>0</v>
      </c>
      <c r="H43" s="375">
        <v>0</v>
      </c>
      <c r="I43" s="375">
        <v>0</v>
      </c>
      <c r="J43" s="375">
        <v>0</v>
      </c>
      <c r="K43" s="375">
        <v>7</v>
      </c>
      <c r="L43" s="376">
        <v>6</v>
      </c>
      <c r="M43" s="376">
        <v>0</v>
      </c>
      <c r="N43" s="376">
        <v>0</v>
      </c>
      <c r="O43" s="376">
        <v>1</v>
      </c>
      <c r="P43" s="376">
        <v>0</v>
      </c>
      <c r="Q43" s="377">
        <v>0</v>
      </c>
      <c r="R43" s="377">
        <v>0</v>
      </c>
      <c r="S43" s="377">
        <v>0</v>
      </c>
      <c r="T43" s="377">
        <v>0</v>
      </c>
      <c r="U43" s="377">
        <v>1</v>
      </c>
      <c r="V43" s="377">
        <v>0</v>
      </c>
      <c r="W43" s="377">
        <v>0</v>
      </c>
      <c r="X43" s="377">
        <v>1</v>
      </c>
      <c r="Y43" s="377">
        <v>0</v>
      </c>
      <c r="Z43" s="377">
        <v>0</v>
      </c>
      <c r="AA43" s="377">
        <v>0</v>
      </c>
      <c r="AB43" s="377">
        <v>1</v>
      </c>
      <c r="AC43" s="377">
        <v>1</v>
      </c>
      <c r="AD43" s="377">
        <v>1</v>
      </c>
      <c r="AE43" s="377">
        <v>0</v>
      </c>
      <c r="AF43" s="377">
        <v>1</v>
      </c>
      <c r="AG43" s="377">
        <v>1</v>
      </c>
      <c r="AH43" s="377">
        <v>0</v>
      </c>
      <c r="AI43" s="24">
        <f t="shared" si="2"/>
        <v>0</v>
      </c>
      <c r="AJ43" s="24">
        <f t="shared" si="3"/>
        <v>1</v>
      </c>
      <c r="AK43" s="24">
        <f t="shared" si="4"/>
        <v>1</v>
      </c>
      <c r="AL43" s="24">
        <f t="shared" si="5"/>
        <v>3</v>
      </c>
      <c r="AM43" s="24">
        <f t="shared" si="6"/>
        <v>2</v>
      </c>
      <c r="AN43" s="378">
        <v>0</v>
      </c>
      <c r="AO43" s="378">
        <v>0</v>
      </c>
      <c r="AP43" s="378">
        <v>0</v>
      </c>
      <c r="AQ43" s="378">
        <v>0</v>
      </c>
      <c r="AR43" s="378">
        <v>0</v>
      </c>
      <c r="AS43" s="378">
        <v>0</v>
      </c>
      <c r="AT43" s="378">
        <v>0</v>
      </c>
      <c r="AU43" s="378">
        <v>0</v>
      </c>
      <c r="AV43" s="378">
        <v>0</v>
      </c>
      <c r="AW43" s="378">
        <v>0</v>
      </c>
      <c r="AX43" s="378">
        <v>0</v>
      </c>
      <c r="AY43" s="378">
        <v>1</v>
      </c>
      <c r="AZ43" s="378">
        <v>0</v>
      </c>
      <c r="BA43" s="378">
        <v>0</v>
      </c>
      <c r="BB43" s="378">
        <v>0</v>
      </c>
      <c r="BC43" s="378">
        <v>0</v>
      </c>
      <c r="BD43" s="378">
        <v>0</v>
      </c>
      <c r="BE43" s="378">
        <v>0</v>
      </c>
      <c r="BF43" s="90">
        <f t="shared" si="14"/>
        <v>0</v>
      </c>
      <c r="BG43" s="90">
        <f t="shared" si="15"/>
        <v>0</v>
      </c>
      <c r="BH43" s="90">
        <f t="shared" si="16"/>
        <v>0</v>
      </c>
      <c r="BI43" s="90">
        <f t="shared" si="17"/>
        <v>1</v>
      </c>
      <c r="BJ43" s="90">
        <f t="shared" si="18"/>
        <v>0</v>
      </c>
      <c r="BK43" s="379">
        <v>22</v>
      </c>
      <c r="BL43" s="379">
        <v>12</v>
      </c>
      <c r="BM43" s="379">
        <v>8</v>
      </c>
      <c r="BN43" s="379">
        <v>25</v>
      </c>
      <c r="BO43" s="385">
        <v>53.2</v>
      </c>
      <c r="BP43" s="385">
        <v>0</v>
      </c>
      <c r="BQ43" s="5">
        <f t="shared" si="7"/>
        <v>6</v>
      </c>
      <c r="BR43" s="5">
        <f t="shared" si="8"/>
        <v>0</v>
      </c>
      <c r="BS43" s="302">
        <v>0</v>
      </c>
      <c r="BT43" s="380">
        <v>0</v>
      </c>
      <c r="BU43" s="380">
        <v>0</v>
      </c>
      <c r="BV43" s="380">
        <v>0</v>
      </c>
      <c r="BW43" s="380">
        <v>0</v>
      </c>
      <c r="BX43" s="380">
        <v>6</v>
      </c>
      <c r="BY43" s="381">
        <v>6</v>
      </c>
      <c r="BZ43" s="381">
        <v>0</v>
      </c>
      <c r="CA43" s="381">
        <v>0</v>
      </c>
      <c r="CB43" s="381">
        <v>0</v>
      </c>
      <c r="CC43" s="381">
        <v>0</v>
      </c>
      <c r="CD43" s="382">
        <v>0</v>
      </c>
      <c r="CE43" s="382">
        <v>0</v>
      </c>
      <c r="CF43" s="382">
        <v>1</v>
      </c>
      <c r="CG43" s="382">
        <v>0</v>
      </c>
      <c r="CH43" s="382">
        <v>0</v>
      </c>
      <c r="CI43" s="382">
        <v>0</v>
      </c>
      <c r="CJ43" s="382">
        <v>0</v>
      </c>
      <c r="CK43" s="382">
        <v>0</v>
      </c>
      <c r="CL43" s="382">
        <v>0</v>
      </c>
      <c r="CM43" s="382">
        <v>0</v>
      </c>
      <c r="CN43" s="382">
        <v>2</v>
      </c>
      <c r="CO43" s="382">
        <v>0</v>
      </c>
      <c r="CP43" s="382">
        <v>0</v>
      </c>
      <c r="CQ43" s="382">
        <v>0</v>
      </c>
      <c r="CR43" s="382">
        <v>3</v>
      </c>
      <c r="CS43" s="382">
        <v>0</v>
      </c>
      <c r="CT43" s="382">
        <v>0</v>
      </c>
      <c r="CU43" s="382">
        <v>0</v>
      </c>
      <c r="CV43" s="25">
        <f t="shared" si="9"/>
        <v>1</v>
      </c>
      <c r="CW43" s="25">
        <f t="shared" si="10"/>
        <v>0</v>
      </c>
      <c r="CX43" s="25">
        <f t="shared" si="11"/>
        <v>2</v>
      </c>
      <c r="CY43" s="25">
        <f t="shared" si="12"/>
        <v>3</v>
      </c>
      <c r="CZ43" s="25">
        <f t="shared" si="13"/>
        <v>0</v>
      </c>
      <c r="DA43" s="383">
        <v>0</v>
      </c>
      <c r="DB43" s="383">
        <v>0</v>
      </c>
      <c r="DC43" s="383">
        <v>0</v>
      </c>
      <c r="DD43" s="383">
        <v>0</v>
      </c>
      <c r="DE43" s="383">
        <v>0</v>
      </c>
      <c r="DF43" s="383">
        <v>0</v>
      </c>
      <c r="DG43" s="383">
        <v>0</v>
      </c>
      <c r="DH43" s="383">
        <v>0</v>
      </c>
      <c r="DI43" s="383">
        <v>0</v>
      </c>
      <c r="DJ43" s="383">
        <v>0</v>
      </c>
      <c r="DK43" s="383">
        <v>0</v>
      </c>
      <c r="DL43" s="383">
        <v>0</v>
      </c>
      <c r="DM43" s="383">
        <v>0</v>
      </c>
      <c r="DN43" s="383">
        <v>0</v>
      </c>
      <c r="DO43" s="383">
        <v>0</v>
      </c>
      <c r="DP43" s="383">
        <v>0</v>
      </c>
      <c r="DQ43" s="383">
        <v>0</v>
      </c>
      <c r="DR43" s="383">
        <v>0</v>
      </c>
      <c r="DS43" s="91">
        <f t="shared" si="19"/>
        <v>0</v>
      </c>
      <c r="DT43" s="91">
        <f t="shared" si="20"/>
        <v>0</v>
      </c>
      <c r="DU43" s="91">
        <f t="shared" si="21"/>
        <v>0</v>
      </c>
      <c r="DV43" s="91">
        <f t="shared" si="22"/>
        <v>0</v>
      </c>
      <c r="DW43" s="91">
        <f t="shared" si="23"/>
        <v>0</v>
      </c>
      <c r="DX43" s="384">
        <v>34</v>
      </c>
      <c r="DY43" s="384">
        <v>24</v>
      </c>
      <c r="DZ43" s="384">
        <v>18</v>
      </c>
      <c r="EA43" s="384">
        <v>40</v>
      </c>
      <c r="EB43">
        <v>71.400000000000006</v>
      </c>
      <c r="EC43">
        <v>82.5</v>
      </c>
    </row>
    <row r="44" spans="1:133" ht="12.95" customHeight="1">
      <c r="A44" s="12">
        <v>41</v>
      </c>
      <c r="B44" s="3" t="s">
        <v>113</v>
      </c>
      <c r="C44" s="3" t="s">
        <v>114</v>
      </c>
      <c r="D44" s="4">
        <f t="shared" si="0"/>
        <v>13</v>
      </c>
      <c r="E44" s="4">
        <f t="shared" si="1"/>
        <v>0</v>
      </c>
      <c r="F44" s="305">
        <v>0</v>
      </c>
      <c r="G44" s="375">
        <v>0</v>
      </c>
      <c r="H44" s="375">
        <v>0</v>
      </c>
      <c r="I44" s="375">
        <v>0</v>
      </c>
      <c r="J44" s="375">
        <v>0</v>
      </c>
      <c r="K44" s="375">
        <v>13</v>
      </c>
      <c r="L44" s="376">
        <v>13</v>
      </c>
      <c r="M44" s="376">
        <v>0</v>
      </c>
      <c r="N44" s="376">
        <v>0</v>
      </c>
      <c r="O44" s="376">
        <v>0</v>
      </c>
      <c r="P44" s="376">
        <v>0</v>
      </c>
      <c r="Q44" s="377">
        <v>0</v>
      </c>
      <c r="R44" s="377">
        <v>0</v>
      </c>
      <c r="S44" s="377">
        <v>0</v>
      </c>
      <c r="T44" s="377">
        <v>0</v>
      </c>
      <c r="U44" s="377">
        <v>0</v>
      </c>
      <c r="V44" s="377">
        <v>0</v>
      </c>
      <c r="W44" s="377">
        <v>0</v>
      </c>
      <c r="X44" s="377">
        <v>1</v>
      </c>
      <c r="Y44" s="377">
        <v>1</v>
      </c>
      <c r="Z44" s="377">
        <v>0</v>
      </c>
      <c r="AA44" s="377">
        <v>1</v>
      </c>
      <c r="AB44" s="377">
        <v>2</v>
      </c>
      <c r="AC44" s="377">
        <v>2</v>
      </c>
      <c r="AD44" s="377">
        <v>2</v>
      </c>
      <c r="AE44" s="377">
        <v>3</v>
      </c>
      <c r="AF44" s="377">
        <v>0</v>
      </c>
      <c r="AG44" s="377">
        <v>1</v>
      </c>
      <c r="AH44" s="377">
        <v>0</v>
      </c>
      <c r="AI44" s="24">
        <f t="shared" si="2"/>
        <v>0</v>
      </c>
      <c r="AJ44" s="24">
        <f t="shared" si="3"/>
        <v>0</v>
      </c>
      <c r="AK44" s="24">
        <f t="shared" si="4"/>
        <v>3</v>
      </c>
      <c r="AL44" s="24">
        <f t="shared" si="5"/>
        <v>9</v>
      </c>
      <c r="AM44" s="24">
        <f t="shared" si="6"/>
        <v>1</v>
      </c>
      <c r="AN44" s="378">
        <v>0</v>
      </c>
      <c r="AO44" s="378">
        <v>0</v>
      </c>
      <c r="AP44" s="378">
        <v>0</v>
      </c>
      <c r="AQ44" s="378">
        <v>0</v>
      </c>
      <c r="AR44" s="378">
        <v>0</v>
      </c>
      <c r="AS44" s="378">
        <v>0</v>
      </c>
      <c r="AT44" s="378">
        <v>0</v>
      </c>
      <c r="AU44" s="378">
        <v>0</v>
      </c>
      <c r="AV44" s="378">
        <v>0</v>
      </c>
      <c r="AW44" s="378">
        <v>0</v>
      </c>
      <c r="AX44" s="378">
        <v>0</v>
      </c>
      <c r="AY44" s="378">
        <v>0</v>
      </c>
      <c r="AZ44" s="378">
        <v>0</v>
      </c>
      <c r="BA44" s="378">
        <v>0</v>
      </c>
      <c r="BB44" s="378">
        <v>0</v>
      </c>
      <c r="BC44" s="378">
        <v>0</v>
      </c>
      <c r="BD44" s="378">
        <v>0</v>
      </c>
      <c r="BE44" s="378">
        <v>0</v>
      </c>
      <c r="BF44" s="90">
        <f t="shared" si="14"/>
        <v>0</v>
      </c>
      <c r="BG44" s="90">
        <f t="shared" si="15"/>
        <v>0</v>
      </c>
      <c r="BH44" s="90">
        <f t="shared" si="16"/>
        <v>0</v>
      </c>
      <c r="BI44" s="90">
        <f t="shared" si="17"/>
        <v>0</v>
      </c>
      <c r="BJ44" s="90">
        <f t="shared" si="18"/>
        <v>0</v>
      </c>
      <c r="BK44" s="379">
        <v>59</v>
      </c>
      <c r="BL44" s="379">
        <v>17</v>
      </c>
      <c r="BM44" s="379">
        <v>4</v>
      </c>
      <c r="BN44" s="379">
        <v>69</v>
      </c>
      <c r="BQ44" s="5">
        <f t="shared" si="7"/>
        <v>21</v>
      </c>
      <c r="BR44" s="5">
        <f t="shared" si="8"/>
        <v>0</v>
      </c>
      <c r="BS44" s="302">
        <v>0</v>
      </c>
      <c r="BT44" s="380">
        <v>0</v>
      </c>
      <c r="BU44" s="380">
        <v>0</v>
      </c>
      <c r="BV44" s="380">
        <v>0</v>
      </c>
      <c r="BW44" s="380">
        <v>0</v>
      </c>
      <c r="BX44" s="380">
        <v>21</v>
      </c>
      <c r="BY44" s="381">
        <v>21</v>
      </c>
      <c r="BZ44" s="381">
        <v>0</v>
      </c>
      <c r="CA44" s="381">
        <v>0</v>
      </c>
      <c r="CB44" s="381">
        <v>0</v>
      </c>
      <c r="CC44" s="381">
        <v>0</v>
      </c>
      <c r="CD44" s="382">
        <v>0</v>
      </c>
      <c r="CE44" s="382">
        <v>0</v>
      </c>
      <c r="CF44" s="382">
        <v>0</v>
      </c>
      <c r="CG44" s="382">
        <v>0</v>
      </c>
      <c r="CH44" s="382">
        <v>0</v>
      </c>
      <c r="CI44" s="382">
        <v>0</v>
      </c>
      <c r="CJ44" s="382">
        <v>0</v>
      </c>
      <c r="CK44" s="382">
        <v>0</v>
      </c>
      <c r="CL44" s="382">
        <v>1</v>
      </c>
      <c r="CM44" s="382">
        <v>0</v>
      </c>
      <c r="CN44" s="382">
        <v>0</v>
      </c>
      <c r="CO44" s="382">
        <v>4</v>
      </c>
      <c r="CP44" s="382">
        <v>2</v>
      </c>
      <c r="CQ44" s="382">
        <v>2</v>
      </c>
      <c r="CR44" s="382">
        <v>4</v>
      </c>
      <c r="CS44" s="382">
        <v>4</v>
      </c>
      <c r="CT44" s="382">
        <v>2</v>
      </c>
      <c r="CU44" s="382">
        <v>2</v>
      </c>
      <c r="CV44" s="25">
        <f t="shared" si="9"/>
        <v>0</v>
      </c>
      <c r="CW44" s="25">
        <f t="shared" si="10"/>
        <v>0</v>
      </c>
      <c r="CX44" s="25">
        <f t="shared" si="11"/>
        <v>1</v>
      </c>
      <c r="CY44" s="25">
        <f t="shared" si="12"/>
        <v>12</v>
      </c>
      <c r="CZ44" s="25">
        <f t="shared" si="13"/>
        <v>8</v>
      </c>
      <c r="DA44" s="383">
        <v>0</v>
      </c>
      <c r="DB44" s="383">
        <v>0</v>
      </c>
      <c r="DC44" s="383">
        <v>0</v>
      </c>
      <c r="DD44" s="383">
        <v>0</v>
      </c>
      <c r="DE44" s="383">
        <v>0</v>
      </c>
      <c r="DF44" s="383">
        <v>0</v>
      </c>
      <c r="DG44" s="383">
        <v>0</v>
      </c>
      <c r="DH44" s="383">
        <v>0</v>
      </c>
      <c r="DI44" s="383">
        <v>0</v>
      </c>
      <c r="DJ44" s="383">
        <v>0</v>
      </c>
      <c r="DK44" s="383">
        <v>0</v>
      </c>
      <c r="DL44" s="383">
        <v>0</v>
      </c>
      <c r="DM44" s="383">
        <v>0</v>
      </c>
      <c r="DN44" s="383">
        <v>0</v>
      </c>
      <c r="DO44" s="383">
        <v>0</v>
      </c>
      <c r="DP44" s="383">
        <v>0</v>
      </c>
      <c r="DQ44" s="383">
        <v>0</v>
      </c>
      <c r="DR44" s="383">
        <v>0</v>
      </c>
      <c r="DS44" s="91">
        <f t="shared" si="19"/>
        <v>0</v>
      </c>
      <c r="DT44" s="91">
        <f t="shared" si="20"/>
        <v>0</v>
      </c>
      <c r="DU44" s="91">
        <f t="shared" si="21"/>
        <v>0</v>
      </c>
      <c r="DV44" s="91">
        <f t="shared" si="22"/>
        <v>0</v>
      </c>
      <c r="DW44" s="91">
        <f t="shared" si="23"/>
        <v>0</v>
      </c>
      <c r="DX44" s="384">
        <v>176</v>
      </c>
      <c r="DY44" s="384">
        <v>80</v>
      </c>
      <c r="DZ44" s="384">
        <v>26</v>
      </c>
      <c r="EA44" s="384">
        <v>191</v>
      </c>
      <c r="EB44" s="92"/>
      <c r="EC44" s="92"/>
    </row>
    <row r="45" spans="1:133" ht="12.95" customHeight="1">
      <c r="A45" s="2">
        <v>42</v>
      </c>
      <c r="B45" s="3" t="s">
        <v>435</v>
      </c>
      <c r="C45" s="3" t="s">
        <v>115</v>
      </c>
      <c r="D45" s="4">
        <f t="shared" si="0"/>
        <v>0</v>
      </c>
      <c r="E45" s="4">
        <f t="shared" si="1"/>
        <v>0</v>
      </c>
      <c r="F45" s="305">
        <v>0</v>
      </c>
      <c r="G45" s="375">
        <v>0</v>
      </c>
      <c r="H45" s="375">
        <v>0</v>
      </c>
      <c r="I45" s="375">
        <v>0</v>
      </c>
      <c r="J45" s="375">
        <v>0</v>
      </c>
      <c r="K45" s="375">
        <v>0</v>
      </c>
      <c r="L45" s="376">
        <v>0</v>
      </c>
      <c r="M45" s="376">
        <v>0</v>
      </c>
      <c r="N45" s="376">
        <v>0</v>
      </c>
      <c r="O45" s="376">
        <v>0</v>
      </c>
      <c r="P45" s="376">
        <v>0</v>
      </c>
      <c r="Q45" s="377">
        <v>0</v>
      </c>
      <c r="R45" s="377">
        <v>0</v>
      </c>
      <c r="S45" s="377">
        <v>0</v>
      </c>
      <c r="T45" s="377">
        <v>0</v>
      </c>
      <c r="U45" s="377">
        <v>0</v>
      </c>
      <c r="V45" s="377">
        <v>0</v>
      </c>
      <c r="W45" s="377">
        <v>0</v>
      </c>
      <c r="X45" s="377">
        <v>0</v>
      </c>
      <c r="Y45" s="377">
        <v>0</v>
      </c>
      <c r="Z45" s="377">
        <v>0</v>
      </c>
      <c r="AA45" s="377">
        <v>0</v>
      </c>
      <c r="AB45" s="377">
        <v>0</v>
      </c>
      <c r="AC45" s="377">
        <v>0</v>
      </c>
      <c r="AD45" s="377">
        <v>0</v>
      </c>
      <c r="AE45" s="377">
        <v>0</v>
      </c>
      <c r="AF45" s="377">
        <v>0</v>
      </c>
      <c r="AG45" s="377">
        <v>0</v>
      </c>
      <c r="AH45" s="377">
        <v>0</v>
      </c>
      <c r="AI45" s="24">
        <f t="shared" si="2"/>
        <v>0</v>
      </c>
      <c r="AJ45" s="24">
        <f t="shared" si="3"/>
        <v>0</v>
      </c>
      <c r="AK45" s="24">
        <f t="shared" si="4"/>
        <v>0</v>
      </c>
      <c r="AL45" s="24">
        <f t="shared" si="5"/>
        <v>0</v>
      </c>
      <c r="AM45" s="24">
        <f t="shared" si="6"/>
        <v>0</v>
      </c>
      <c r="AN45" s="378">
        <v>0</v>
      </c>
      <c r="AO45" s="378">
        <v>0</v>
      </c>
      <c r="AP45" s="378">
        <v>0</v>
      </c>
      <c r="AQ45" s="378">
        <v>0</v>
      </c>
      <c r="AR45" s="378">
        <v>0</v>
      </c>
      <c r="AS45" s="378">
        <v>0</v>
      </c>
      <c r="AT45" s="378">
        <v>0</v>
      </c>
      <c r="AU45" s="378">
        <v>0</v>
      </c>
      <c r="AV45" s="378">
        <v>0</v>
      </c>
      <c r="AW45" s="378">
        <v>0</v>
      </c>
      <c r="AX45" s="378">
        <v>0</v>
      </c>
      <c r="AY45" s="378">
        <v>0</v>
      </c>
      <c r="AZ45" s="378">
        <v>0</v>
      </c>
      <c r="BA45" s="378">
        <v>0</v>
      </c>
      <c r="BB45" s="378">
        <v>0</v>
      </c>
      <c r="BC45" s="378">
        <v>0</v>
      </c>
      <c r="BD45" s="378">
        <v>0</v>
      </c>
      <c r="BE45" s="378">
        <v>0</v>
      </c>
      <c r="BF45" s="90">
        <f t="shared" si="14"/>
        <v>0</v>
      </c>
      <c r="BG45" s="90">
        <f t="shared" si="15"/>
        <v>0</v>
      </c>
      <c r="BH45" s="90">
        <f t="shared" si="16"/>
        <v>0</v>
      </c>
      <c r="BI45" s="90">
        <f t="shared" si="17"/>
        <v>0</v>
      </c>
      <c r="BJ45" s="90">
        <f t="shared" si="18"/>
        <v>0</v>
      </c>
      <c r="BK45" s="379">
        <v>5</v>
      </c>
      <c r="BL45" s="379">
        <v>4</v>
      </c>
      <c r="BM45" s="379">
        <v>2</v>
      </c>
      <c r="BN45" s="379">
        <v>5</v>
      </c>
      <c r="BO45" s="92"/>
      <c r="BQ45" s="5">
        <f t="shared" si="7"/>
        <v>96</v>
      </c>
      <c r="BR45" s="5">
        <f t="shared" si="8"/>
        <v>0</v>
      </c>
      <c r="BS45" s="302">
        <v>0</v>
      </c>
      <c r="BT45" s="380">
        <v>0</v>
      </c>
      <c r="BU45" s="380">
        <v>0</v>
      </c>
      <c r="BV45" s="380">
        <v>0</v>
      </c>
      <c r="BW45" s="380">
        <v>0</v>
      </c>
      <c r="BX45" s="380">
        <v>96</v>
      </c>
      <c r="BY45" s="381">
        <v>95</v>
      </c>
      <c r="BZ45" s="381">
        <v>0</v>
      </c>
      <c r="CA45" s="381">
        <v>1</v>
      </c>
      <c r="CB45" s="381">
        <v>0</v>
      </c>
      <c r="CC45" s="381">
        <v>0</v>
      </c>
      <c r="CD45" s="382">
        <v>0</v>
      </c>
      <c r="CE45" s="382">
        <v>0</v>
      </c>
      <c r="CF45" s="382">
        <v>0</v>
      </c>
      <c r="CG45" s="382">
        <v>0</v>
      </c>
      <c r="CH45" s="382">
        <v>1</v>
      </c>
      <c r="CI45" s="382">
        <v>2</v>
      </c>
      <c r="CJ45" s="382">
        <v>1</v>
      </c>
      <c r="CK45" s="382">
        <v>5</v>
      </c>
      <c r="CL45" s="382">
        <v>4</v>
      </c>
      <c r="CM45" s="382">
        <v>9</v>
      </c>
      <c r="CN45" s="382">
        <v>19</v>
      </c>
      <c r="CO45" s="382">
        <v>14</v>
      </c>
      <c r="CP45" s="382">
        <v>18</v>
      </c>
      <c r="CQ45" s="382">
        <v>10</v>
      </c>
      <c r="CR45" s="382">
        <v>8</v>
      </c>
      <c r="CS45" s="382">
        <v>4</v>
      </c>
      <c r="CT45" s="382">
        <v>0</v>
      </c>
      <c r="CU45" s="382">
        <v>1</v>
      </c>
      <c r="CV45" s="25">
        <f t="shared" si="9"/>
        <v>0</v>
      </c>
      <c r="CW45" s="25">
        <f t="shared" si="10"/>
        <v>3</v>
      </c>
      <c r="CX45" s="25">
        <f t="shared" si="11"/>
        <v>38</v>
      </c>
      <c r="CY45" s="25">
        <f t="shared" si="12"/>
        <v>50</v>
      </c>
      <c r="CZ45" s="25">
        <f t="shared" si="13"/>
        <v>5</v>
      </c>
      <c r="DA45" s="383">
        <v>0</v>
      </c>
      <c r="DB45" s="383">
        <v>0</v>
      </c>
      <c r="DC45" s="383">
        <v>0</v>
      </c>
      <c r="DD45" s="383">
        <v>0</v>
      </c>
      <c r="DE45" s="383">
        <v>0</v>
      </c>
      <c r="DF45" s="383">
        <v>0</v>
      </c>
      <c r="DG45" s="383">
        <v>0</v>
      </c>
      <c r="DH45" s="383">
        <v>0</v>
      </c>
      <c r="DI45" s="383">
        <v>0</v>
      </c>
      <c r="DJ45" s="383">
        <v>0</v>
      </c>
      <c r="DK45" s="383">
        <v>0</v>
      </c>
      <c r="DL45" s="383">
        <v>0</v>
      </c>
      <c r="DM45" s="383">
        <v>0</v>
      </c>
      <c r="DN45" s="383">
        <v>0</v>
      </c>
      <c r="DO45" s="383">
        <v>0</v>
      </c>
      <c r="DP45" s="383">
        <v>0</v>
      </c>
      <c r="DQ45" s="383">
        <v>0</v>
      </c>
      <c r="DR45" s="383">
        <v>0</v>
      </c>
      <c r="DS45" s="91">
        <f t="shared" si="19"/>
        <v>0</v>
      </c>
      <c r="DT45" s="91">
        <f t="shared" si="20"/>
        <v>0</v>
      </c>
      <c r="DU45" s="91">
        <f t="shared" si="21"/>
        <v>0</v>
      </c>
      <c r="DV45" s="91">
        <f t="shared" si="22"/>
        <v>0</v>
      </c>
      <c r="DW45" s="91">
        <f t="shared" si="23"/>
        <v>0</v>
      </c>
      <c r="DX45" s="384">
        <v>583</v>
      </c>
      <c r="DY45" s="384">
        <v>318</v>
      </c>
      <c r="DZ45" s="384">
        <v>107</v>
      </c>
      <c r="EA45" s="384">
        <v>662</v>
      </c>
      <c r="EB45" s="92"/>
      <c r="EC45" s="92"/>
    </row>
    <row r="46" spans="1:133" ht="12.95" customHeight="1">
      <c r="A46" s="12">
        <v>43</v>
      </c>
      <c r="B46" s="3" t="s">
        <v>436</v>
      </c>
      <c r="C46" s="3" t="s">
        <v>116</v>
      </c>
      <c r="D46" s="4">
        <f t="shared" si="0"/>
        <v>1</v>
      </c>
      <c r="E46" s="4">
        <f t="shared" si="1"/>
        <v>0</v>
      </c>
      <c r="F46" s="305">
        <v>0</v>
      </c>
      <c r="G46" s="375">
        <v>0</v>
      </c>
      <c r="H46" s="375">
        <v>0</v>
      </c>
      <c r="I46" s="375">
        <v>0</v>
      </c>
      <c r="J46" s="375">
        <v>0</v>
      </c>
      <c r="K46" s="375">
        <v>1</v>
      </c>
      <c r="L46" s="376">
        <v>1</v>
      </c>
      <c r="M46" s="376">
        <v>0</v>
      </c>
      <c r="N46" s="376">
        <v>0</v>
      </c>
      <c r="O46" s="376">
        <v>0</v>
      </c>
      <c r="P46" s="376">
        <v>0</v>
      </c>
      <c r="Q46" s="377">
        <v>0</v>
      </c>
      <c r="R46" s="377">
        <v>0</v>
      </c>
      <c r="S46" s="377">
        <v>0</v>
      </c>
      <c r="T46" s="377">
        <v>0</v>
      </c>
      <c r="U46" s="377">
        <v>0</v>
      </c>
      <c r="V46" s="377">
        <v>0</v>
      </c>
      <c r="W46" s="377">
        <v>0</v>
      </c>
      <c r="X46" s="377">
        <v>0</v>
      </c>
      <c r="Y46" s="377">
        <v>0</v>
      </c>
      <c r="Z46" s="377">
        <v>0</v>
      </c>
      <c r="AA46" s="377">
        <v>0</v>
      </c>
      <c r="AB46" s="377">
        <v>0</v>
      </c>
      <c r="AC46" s="377">
        <v>0</v>
      </c>
      <c r="AD46" s="377">
        <v>0</v>
      </c>
      <c r="AE46" s="377">
        <v>0</v>
      </c>
      <c r="AF46" s="377">
        <v>0</v>
      </c>
      <c r="AG46" s="377">
        <v>1</v>
      </c>
      <c r="AH46" s="377">
        <v>0</v>
      </c>
      <c r="AI46" s="24">
        <f t="shared" si="2"/>
        <v>0</v>
      </c>
      <c r="AJ46" s="24">
        <f t="shared" si="3"/>
        <v>0</v>
      </c>
      <c r="AK46" s="24">
        <f t="shared" si="4"/>
        <v>0</v>
      </c>
      <c r="AL46" s="24">
        <f t="shared" si="5"/>
        <v>0</v>
      </c>
      <c r="AM46" s="24">
        <f t="shared" si="6"/>
        <v>1</v>
      </c>
      <c r="AN46" s="378">
        <v>0</v>
      </c>
      <c r="AO46" s="378">
        <v>0</v>
      </c>
      <c r="AP46" s="378">
        <v>0</v>
      </c>
      <c r="AQ46" s="378">
        <v>0</v>
      </c>
      <c r="AR46" s="378">
        <v>0</v>
      </c>
      <c r="AS46" s="378">
        <v>0</v>
      </c>
      <c r="AT46" s="378">
        <v>0</v>
      </c>
      <c r="AU46" s="378">
        <v>0</v>
      </c>
      <c r="AV46" s="378">
        <v>0</v>
      </c>
      <c r="AW46" s="378">
        <v>0</v>
      </c>
      <c r="AX46" s="378">
        <v>0</v>
      </c>
      <c r="AY46" s="378">
        <v>0</v>
      </c>
      <c r="AZ46" s="378">
        <v>0</v>
      </c>
      <c r="BA46" s="378">
        <v>0</v>
      </c>
      <c r="BB46" s="378">
        <v>0</v>
      </c>
      <c r="BC46" s="378">
        <v>0</v>
      </c>
      <c r="BD46" s="378">
        <v>0</v>
      </c>
      <c r="BE46" s="378">
        <v>0</v>
      </c>
      <c r="BF46" s="90">
        <f t="shared" si="14"/>
        <v>0</v>
      </c>
      <c r="BG46" s="90">
        <f t="shared" si="15"/>
        <v>0</v>
      </c>
      <c r="BH46" s="90">
        <f t="shared" si="16"/>
        <v>0</v>
      </c>
      <c r="BI46" s="90">
        <f t="shared" si="17"/>
        <v>0</v>
      </c>
      <c r="BJ46" s="90">
        <f t="shared" si="18"/>
        <v>0</v>
      </c>
      <c r="BK46" s="379">
        <v>0</v>
      </c>
      <c r="BL46" s="379">
        <v>0</v>
      </c>
      <c r="BM46" s="379">
        <v>0</v>
      </c>
      <c r="BN46" s="379">
        <v>0</v>
      </c>
      <c r="BO46" s="92"/>
      <c r="BQ46" s="5">
        <f t="shared" si="7"/>
        <v>588</v>
      </c>
      <c r="BR46" s="5">
        <f t="shared" si="8"/>
        <v>0</v>
      </c>
      <c r="BS46" s="302">
        <v>0</v>
      </c>
      <c r="BT46" s="380">
        <v>0</v>
      </c>
      <c r="BU46" s="380">
        <v>0</v>
      </c>
      <c r="BV46" s="380">
        <v>0</v>
      </c>
      <c r="BW46" s="380">
        <v>0</v>
      </c>
      <c r="BX46" s="380">
        <v>588</v>
      </c>
      <c r="BY46" s="381">
        <v>583</v>
      </c>
      <c r="BZ46" s="381">
        <v>1</v>
      </c>
      <c r="CA46" s="381">
        <v>3</v>
      </c>
      <c r="CB46" s="381">
        <v>0</v>
      </c>
      <c r="CC46" s="381">
        <v>1</v>
      </c>
      <c r="CD46" s="382">
        <v>0</v>
      </c>
      <c r="CE46" s="382">
        <v>0</v>
      </c>
      <c r="CF46" s="382">
        <v>0</v>
      </c>
      <c r="CG46" s="382">
        <v>0</v>
      </c>
      <c r="CH46" s="382">
        <v>13</v>
      </c>
      <c r="CI46" s="382">
        <v>101</v>
      </c>
      <c r="CJ46" s="382">
        <v>155</v>
      </c>
      <c r="CK46" s="382">
        <v>99</v>
      </c>
      <c r="CL46" s="382">
        <v>87</v>
      </c>
      <c r="CM46" s="382">
        <v>59</v>
      </c>
      <c r="CN46" s="382">
        <v>28</v>
      </c>
      <c r="CO46" s="382">
        <v>26</v>
      </c>
      <c r="CP46" s="382">
        <v>12</v>
      </c>
      <c r="CQ46" s="382">
        <v>2</v>
      </c>
      <c r="CR46" s="382">
        <v>2</v>
      </c>
      <c r="CS46" s="382">
        <v>3</v>
      </c>
      <c r="CT46" s="382">
        <v>1</v>
      </c>
      <c r="CU46" s="382">
        <v>0</v>
      </c>
      <c r="CV46" s="25">
        <f t="shared" si="9"/>
        <v>0</v>
      </c>
      <c r="CW46" s="25">
        <f t="shared" si="10"/>
        <v>114</v>
      </c>
      <c r="CX46" s="25">
        <f t="shared" si="11"/>
        <v>428</v>
      </c>
      <c r="CY46" s="25">
        <f t="shared" si="12"/>
        <v>42</v>
      </c>
      <c r="CZ46" s="25">
        <f t="shared" si="13"/>
        <v>4</v>
      </c>
      <c r="DA46" s="383">
        <v>0</v>
      </c>
      <c r="DB46" s="383">
        <v>0</v>
      </c>
      <c r="DC46" s="383">
        <v>0</v>
      </c>
      <c r="DD46" s="383">
        <v>0</v>
      </c>
      <c r="DE46" s="383">
        <v>0</v>
      </c>
      <c r="DF46" s="383">
        <v>0</v>
      </c>
      <c r="DG46" s="383">
        <v>0</v>
      </c>
      <c r="DH46" s="383">
        <v>0</v>
      </c>
      <c r="DI46" s="383">
        <v>0</v>
      </c>
      <c r="DJ46" s="383">
        <v>0</v>
      </c>
      <c r="DK46" s="383">
        <v>0</v>
      </c>
      <c r="DL46" s="383">
        <v>0</v>
      </c>
      <c r="DM46" s="383">
        <v>0</v>
      </c>
      <c r="DN46" s="383">
        <v>0</v>
      </c>
      <c r="DO46" s="383">
        <v>0</v>
      </c>
      <c r="DP46" s="383">
        <v>0</v>
      </c>
      <c r="DQ46" s="383">
        <v>0</v>
      </c>
      <c r="DR46" s="383">
        <v>0</v>
      </c>
      <c r="DS46" s="91">
        <f t="shared" si="19"/>
        <v>0</v>
      </c>
      <c r="DT46" s="91">
        <f t="shared" si="20"/>
        <v>0</v>
      </c>
      <c r="DU46" s="91">
        <f t="shared" si="21"/>
        <v>0</v>
      </c>
      <c r="DV46" s="91">
        <f t="shared" si="22"/>
        <v>0</v>
      </c>
      <c r="DW46" s="91">
        <f t="shared" si="23"/>
        <v>0</v>
      </c>
      <c r="DX46" s="384">
        <v>5767</v>
      </c>
      <c r="DY46" s="384">
        <v>3086</v>
      </c>
      <c r="DZ46" s="384">
        <v>611</v>
      </c>
      <c r="EA46" s="384">
        <v>6337</v>
      </c>
      <c r="EB46" s="92"/>
      <c r="EC46" s="92"/>
    </row>
    <row r="47" spans="1:133" ht="12.95" customHeight="1">
      <c r="A47" s="2">
        <v>44</v>
      </c>
      <c r="B47" s="3" t="s">
        <v>437</v>
      </c>
      <c r="C47" s="3" t="s">
        <v>117</v>
      </c>
      <c r="D47" s="4">
        <f t="shared" si="0"/>
        <v>108</v>
      </c>
      <c r="E47" s="4">
        <f t="shared" si="1"/>
        <v>0</v>
      </c>
      <c r="F47" s="305">
        <v>0</v>
      </c>
      <c r="G47" s="375">
        <v>0</v>
      </c>
      <c r="H47" s="375">
        <v>0</v>
      </c>
      <c r="I47" s="375">
        <v>0</v>
      </c>
      <c r="J47" s="375">
        <v>0</v>
      </c>
      <c r="K47" s="375">
        <v>108</v>
      </c>
      <c r="L47" s="376">
        <v>107</v>
      </c>
      <c r="M47" s="376">
        <v>0</v>
      </c>
      <c r="N47" s="376">
        <v>1</v>
      </c>
      <c r="O47" s="376">
        <v>0</v>
      </c>
      <c r="P47" s="376">
        <v>0</v>
      </c>
      <c r="Q47" s="377">
        <v>0</v>
      </c>
      <c r="R47" s="377">
        <v>0</v>
      </c>
      <c r="S47" s="377">
        <v>0</v>
      </c>
      <c r="T47" s="377">
        <v>0</v>
      </c>
      <c r="U47" s="377">
        <v>0</v>
      </c>
      <c r="V47" s="377">
        <v>0</v>
      </c>
      <c r="W47" s="377">
        <v>0</v>
      </c>
      <c r="X47" s="377">
        <v>1</v>
      </c>
      <c r="Y47" s="377">
        <v>2</v>
      </c>
      <c r="Z47" s="377">
        <v>2</v>
      </c>
      <c r="AA47" s="377">
        <v>5</v>
      </c>
      <c r="AB47" s="377">
        <v>12</v>
      </c>
      <c r="AC47" s="377">
        <v>16</v>
      </c>
      <c r="AD47" s="377">
        <v>21</v>
      </c>
      <c r="AE47" s="377">
        <v>21</v>
      </c>
      <c r="AF47" s="377">
        <v>14</v>
      </c>
      <c r="AG47" s="377">
        <v>12</v>
      </c>
      <c r="AH47" s="377">
        <v>2</v>
      </c>
      <c r="AI47" s="24">
        <f t="shared" si="2"/>
        <v>0</v>
      </c>
      <c r="AJ47" s="24">
        <f t="shared" si="3"/>
        <v>0</v>
      </c>
      <c r="AK47" s="24">
        <f t="shared" si="4"/>
        <v>10</v>
      </c>
      <c r="AL47" s="24">
        <f t="shared" si="5"/>
        <v>70</v>
      </c>
      <c r="AM47" s="24">
        <f t="shared" si="6"/>
        <v>28</v>
      </c>
      <c r="AN47" s="378">
        <v>0</v>
      </c>
      <c r="AO47" s="378">
        <v>0</v>
      </c>
      <c r="AP47" s="378">
        <v>0</v>
      </c>
      <c r="AQ47" s="378">
        <v>0</v>
      </c>
      <c r="AR47" s="378">
        <v>0</v>
      </c>
      <c r="AS47" s="378">
        <v>0</v>
      </c>
      <c r="AT47" s="378">
        <v>0</v>
      </c>
      <c r="AU47" s="378">
        <v>0</v>
      </c>
      <c r="AV47" s="378">
        <v>0</v>
      </c>
      <c r="AW47" s="378">
        <v>0</v>
      </c>
      <c r="AX47" s="378">
        <v>0</v>
      </c>
      <c r="AY47" s="378">
        <v>0</v>
      </c>
      <c r="AZ47" s="378">
        <v>0</v>
      </c>
      <c r="BA47" s="378">
        <v>0</v>
      </c>
      <c r="BB47" s="378">
        <v>0</v>
      </c>
      <c r="BC47" s="378">
        <v>0</v>
      </c>
      <c r="BD47" s="378">
        <v>0</v>
      </c>
      <c r="BE47" s="378">
        <v>0</v>
      </c>
      <c r="BF47" s="90">
        <f t="shared" si="14"/>
        <v>0</v>
      </c>
      <c r="BG47" s="90">
        <f t="shared" si="15"/>
        <v>0</v>
      </c>
      <c r="BH47" s="90">
        <f t="shared" si="16"/>
        <v>0</v>
      </c>
      <c r="BI47" s="90">
        <f t="shared" si="17"/>
        <v>0</v>
      </c>
      <c r="BJ47" s="90">
        <f t="shared" si="18"/>
        <v>0</v>
      </c>
      <c r="BK47" s="379">
        <v>497</v>
      </c>
      <c r="BL47" s="379">
        <v>233</v>
      </c>
      <c r="BM47" s="379">
        <v>61</v>
      </c>
      <c r="BN47" s="379">
        <v>575</v>
      </c>
      <c r="BO47" s="92"/>
      <c r="BQ47" s="5">
        <f t="shared" si="7"/>
        <v>37</v>
      </c>
      <c r="BR47" s="5">
        <f t="shared" si="8"/>
        <v>0</v>
      </c>
      <c r="BS47" s="302">
        <v>0</v>
      </c>
      <c r="BT47" s="380">
        <v>0</v>
      </c>
      <c r="BU47" s="380">
        <v>0</v>
      </c>
      <c r="BV47" s="380">
        <v>0</v>
      </c>
      <c r="BW47" s="380">
        <v>0</v>
      </c>
      <c r="BX47" s="380">
        <v>37</v>
      </c>
      <c r="BY47" s="381">
        <v>37</v>
      </c>
      <c r="BZ47" s="381">
        <v>0</v>
      </c>
      <c r="CA47" s="381">
        <v>0</v>
      </c>
      <c r="CB47" s="381">
        <v>0</v>
      </c>
      <c r="CC47" s="381">
        <v>0</v>
      </c>
      <c r="CD47" s="382">
        <v>0</v>
      </c>
      <c r="CE47" s="382">
        <v>0</v>
      </c>
      <c r="CF47" s="382">
        <v>0</v>
      </c>
      <c r="CG47" s="382">
        <v>0</v>
      </c>
      <c r="CH47" s="382">
        <v>0</v>
      </c>
      <c r="CI47" s="382">
        <v>0</v>
      </c>
      <c r="CJ47" s="382">
        <v>0</v>
      </c>
      <c r="CK47" s="382">
        <v>0</v>
      </c>
      <c r="CL47" s="382">
        <v>0</v>
      </c>
      <c r="CM47" s="382">
        <v>1</v>
      </c>
      <c r="CN47" s="382">
        <v>1</v>
      </c>
      <c r="CO47" s="382">
        <v>2</v>
      </c>
      <c r="CP47" s="382">
        <v>10</v>
      </c>
      <c r="CQ47" s="382">
        <v>4</v>
      </c>
      <c r="CR47" s="382">
        <v>5</v>
      </c>
      <c r="CS47" s="382">
        <v>9</v>
      </c>
      <c r="CT47" s="382">
        <v>3</v>
      </c>
      <c r="CU47" s="382">
        <v>2</v>
      </c>
      <c r="CV47" s="25">
        <f t="shared" si="9"/>
        <v>0</v>
      </c>
      <c r="CW47" s="25">
        <f t="shared" si="10"/>
        <v>0</v>
      </c>
      <c r="CX47" s="25">
        <f t="shared" si="11"/>
        <v>2</v>
      </c>
      <c r="CY47" s="25">
        <f t="shared" si="12"/>
        <v>21</v>
      </c>
      <c r="CZ47" s="25">
        <f t="shared" si="13"/>
        <v>14</v>
      </c>
      <c r="DA47" s="383">
        <v>0</v>
      </c>
      <c r="DB47" s="383">
        <v>0</v>
      </c>
      <c r="DC47" s="383">
        <v>0</v>
      </c>
      <c r="DD47" s="383">
        <v>0</v>
      </c>
      <c r="DE47" s="383">
        <v>0</v>
      </c>
      <c r="DF47" s="383">
        <v>0</v>
      </c>
      <c r="DG47" s="383">
        <v>0</v>
      </c>
      <c r="DH47" s="383">
        <v>0</v>
      </c>
      <c r="DI47" s="383">
        <v>0</v>
      </c>
      <c r="DJ47" s="383">
        <v>0</v>
      </c>
      <c r="DK47" s="383">
        <v>0</v>
      </c>
      <c r="DL47" s="383">
        <v>0</v>
      </c>
      <c r="DM47" s="383">
        <v>0</v>
      </c>
      <c r="DN47" s="383">
        <v>0</v>
      </c>
      <c r="DO47" s="383">
        <v>0</v>
      </c>
      <c r="DP47" s="383">
        <v>0</v>
      </c>
      <c r="DQ47" s="383">
        <v>0</v>
      </c>
      <c r="DR47" s="383">
        <v>0</v>
      </c>
      <c r="DS47" s="91">
        <f t="shared" si="19"/>
        <v>0</v>
      </c>
      <c r="DT47" s="91">
        <f t="shared" si="20"/>
        <v>0</v>
      </c>
      <c r="DU47" s="91">
        <f t="shared" si="21"/>
        <v>0</v>
      </c>
      <c r="DV47" s="91">
        <f t="shared" si="22"/>
        <v>0</v>
      </c>
      <c r="DW47" s="91">
        <f t="shared" si="23"/>
        <v>0</v>
      </c>
      <c r="DX47" s="384">
        <v>208</v>
      </c>
      <c r="DY47" s="384">
        <v>98</v>
      </c>
      <c r="DZ47" s="384">
        <v>26</v>
      </c>
      <c r="EA47" s="384">
        <v>236</v>
      </c>
      <c r="EB47" s="92"/>
      <c r="EC47" s="92"/>
    </row>
    <row r="48" spans="1:133" ht="12.95" customHeight="1">
      <c r="A48" s="12">
        <v>45</v>
      </c>
      <c r="B48" s="3" t="s">
        <v>267</v>
      </c>
      <c r="C48" s="3" t="s">
        <v>118</v>
      </c>
      <c r="D48" s="4">
        <f t="shared" si="0"/>
        <v>46</v>
      </c>
      <c r="E48" s="4">
        <f t="shared" si="1"/>
        <v>11</v>
      </c>
      <c r="F48" s="305">
        <v>0</v>
      </c>
      <c r="G48" s="375">
        <v>0</v>
      </c>
      <c r="H48" s="375">
        <v>0</v>
      </c>
      <c r="I48" s="375">
        <v>0</v>
      </c>
      <c r="J48" s="375">
        <v>0</v>
      </c>
      <c r="K48" s="375">
        <v>46</v>
      </c>
      <c r="L48" s="376">
        <v>39</v>
      </c>
      <c r="M48" s="376">
        <v>0</v>
      </c>
      <c r="N48" s="376">
        <v>3</v>
      </c>
      <c r="O48" s="376">
        <v>4</v>
      </c>
      <c r="P48" s="376">
        <v>0</v>
      </c>
      <c r="Q48" s="377">
        <v>1</v>
      </c>
      <c r="R48" s="377">
        <v>0</v>
      </c>
      <c r="S48" s="377">
        <v>1</v>
      </c>
      <c r="T48" s="377">
        <v>1</v>
      </c>
      <c r="U48" s="377">
        <v>0</v>
      </c>
      <c r="V48" s="377">
        <v>1</v>
      </c>
      <c r="W48" s="377">
        <v>1</v>
      </c>
      <c r="X48" s="377">
        <v>3</v>
      </c>
      <c r="Y48" s="377">
        <v>4</v>
      </c>
      <c r="Z48" s="377">
        <v>1</v>
      </c>
      <c r="AA48" s="377">
        <v>5</v>
      </c>
      <c r="AB48" s="377">
        <v>2</v>
      </c>
      <c r="AC48" s="377">
        <v>4</v>
      </c>
      <c r="AD48" s="377">
        <v>3</v>
      </c>
      <c r="AE48" s="377">
        <v>8</v>
      </c>
      <c r="AF48" s="377">
        <v>5</v>
      </c>
      <c r="AG48" s="377">
        <v>2</v>
      </c>
      <c r="AH48" s="377">
        <v>4</v>
      </c>
      <c r="AI48" s="24">
        <f t="shared" si="2"/>
        <v>2</v>
      </c>
      <c r="AJ48" s="24">
        <f t="shared" si="3"/>
        <v>2</v>
      </c>
      <c r="AK48" s="24">
        <f t="shared" si="4"/>
        <v>14</v>
      </c>
      <c r="AL48" s="24">
        <f t="shared" si="5"/>
        <v>17</v>
      </c>
      <c r="AM48" s="24">
        <f t="shared" si="6"/>
        <v>11</v>
      </c>
      <c r="AN48" s="378">
        <v>0</v>
      </c>
      <c r="AO48" s="378">
        <v>0</v>
      </c>
      <c r="AP48" s="378">
        <v>0</v>
      </c>
      <c r="AQ48" s="378">
        <v>0</v>
      </c>
      <c r="AR48" s="378">
        <v>0</v>
      </c>
      <c r="AS48" s="378">
        <v>0</v>
      </c>
      <c r="AT48" s="378">
        <v>0</v>
      </c>
      <c r="AU48" s="378">
        <v>0</v>
      </c>
      <c r="AV48" s="378">
        <v>0</v>
      </c>
      <c r="AW48" s="378">
        <v>0</v>
      </c>
      <c r="AX48" s="378">
        <v>0</v>
      </c>
      <c r="AY48" s="378">
        <v>0</v>
      </c>
      <c r="AZ48" s="378">
        <v>1</v>
      </c>
      <c r="BA48" s="378">
        <v>2</v>
      </c>
      <c r="BB48" s="378">
        <v>2</v>
      </c>
      <c r="BC48" s="378">
        <v>2</v>
      </c>
      <c r="BD48" s="378">
        <v>1</v>
      </c>
      <c r="BE48" s="378">
        <v>3</v>
      </c>
      <c r="BF48" s="90">
        <f t="shared" si="14"/>
        <v>0</v>
      </c>
      <c r="BG48" s="90">
        <f t="shared" si="15"/>
        <v>0</v>
      </c>
      <c r="BH48" s="90">
        <f t="shared" si="16"/>
        <v>0</v>
      </c>
      <c r="BI48" s="90">
        <f t="shared" si="17"/>
        <v>5</v>
      </c>
      <c r="BJ48" s="90">
        <f t="shared" si="18"/>
        <v>6</v>
      </c>
      <c r="BK48" s="379">
        <v>63</v>
      </c>
      <c r="BL48" s="379">
        <v>14</v>
      </c>
      <c r="BM48" s="379">
        <v>6</v>
      </c>
      <c r="BN48" s="379">
        <v>95</v>
      </c>
      <c r="BO48" s="92"/>
      <c r="BQ48" s="5">
        <f t="shared" si="7"/>
        <v>141</v>
      </c>
      <c r="BR48" s="5">
        <f t="shared" si="8"/>
        <v>20</v>
      </c>
      <c r="BS48" s="302">
        <v>0</v>
      </c>
      <c r="BT48" s="380">
        <v>0</v>
      </c>
      <c r="BU48" s="380">
        <v>0</v>
      </c>
      <c r="BV48" s="380">
        <v>0</v>
      </c>
      <c r="BW48" s="380">
        <v>0</v>
      </c>
      <c r="BX48" s="380">
        <v>141</v>
      </c>
      <c r="BY48" s="381">
        <v>101</v>
      </c>
      <c r="BZ48" s="381">
        <v>0</v>
      </c>
      <c r="CA48" s="381">
        <v>12</v>
      </c>
      <c r="CB48" s="381">
        <v>26</v>
      </c>
      <c r="CC48" s="381">
        <v>2</v>
      </c>
      <c r="CD48" s="382">
        <v>0</v>
      </c>
      <c r="CE48" s="382">
        <v>0</v>
      </c>
      <c r="CF48" s="382">
        <v>0</v>
      </c>
      <c r="CG48" s="382">
        <v>0</v>
      </c>
      <c r="CH48" s="382">
        <v>2</v>
      </c>
      <c r="CI48" s="382">
        <v>3</v>
      </c>
      <c r="CJ48" s="382">
        <v>1</v>
      </c>
      <c r="CK48" s="382">
        <v>0</v>
      </c>
      <c r="CL48" s="382">
        <v>3</v>
      </c>
      <c r="CM48" s="382">
        <v>8</v>
      </c>
      <c r="CN48" s="382">
        <v>11</v>
      </c>
      <c r="CO48" s="382">
        <v>8</v>
      </c>
      <c r="CP48" s="382">
        <v>18</v>
      </c>
      <c r="CQ48" s="382">
        <v>12</v>
      </c>
      <c r="CR48" s="382">
        <v>29</v>
      </c>
      <c r="CS48" s="382">
        <v>25</v>
      </c>
      <c r="CT48" s="382">
        <v>12</v>
      </c>
      <c r="CU48" s="382">
        <v>9</v>
      </c>
      <c r="CV48" s="25">
        <f t="shared" si="9"/>
        <v>0</v>
      </c>
      <c r="CW48" s="25">
        <f t="shared" si="10"/>
        <v>5</v>
      </c>
      <c r="CX48" s="25">
        <f t="shared" si="11"/>
        <v>23</v>
      </c>
      <c r="CY48" s="25">
        <f t="shared" si="12"/>
        <v>67</v>
      </c>
      <c r="CZ48" s="25">
        <f t="shared" si="13"/>
        <v>46</v>
      </c>
      <c r="DA48" s="383">
        <v>0</v>
      </c>
      <c r="DB48" s="383">
        <v>0</v>
      </c>
      <c r="DC48" s="383">
        <v>0</v>
      </c>
      <c r="DD48" s="383">
        <v>0</v>
      </c>
      <c r="DE48" s="383">
        <v>0</v>
      </c>
      <c r="DF48" s="383">
        <v>0</v>
      </c>
      <c r="DG48" s="383">
        <v>0</v>
      </c>
      <c r="DH48" s="383">
        <v>0</v>
      </c>
      <c r="DI48" s="383">
        <v>0</v>
      </c>
      <c r="DJ48" s="383">
        <v>0</v>
      </c>
      <c r="DK48" s="383">
        <v>0</v>
      </c>
      <c r="DL48" s="383">
        <v>1</v>
      </c>
      <c r="DM48" s="383">
        <v>3</v>
      </c>
      <c r="DN48" s="383">
        <v>1</v>
      </c>
      <c r="DO48" s="383">
        <v>3</v>
      </c>
      <c r="DP48" s="383">
        <v>6</v>
      </c>
      <c r="DQ48" s="383">
        <v>4</v>
      </c>
      <c r="DR48" s="383">
        <v>2</v>
      </c>
      <c r="DS48" s="91">
        <f t="shared" si="19"/>
        <v>0</v>
      </c>
      <c r="DT48" s="91">
        <f t="shared" si="20"/>
        <v>0</v>
      </c>
      <c r="DU48" s="91">
        <f t="shared" si="21"/>
        <v>0</v>
      </c>
      <c r="DV48" s="91">
        <f t="shared" si="22"/>
        <v>8</v>
      </c>
      <c r="DW48" s="91">
        <f t="shared" si="23"/>
        <v>12</v>
      </c>
      <c r="DX48" s="384">
        <v>230</v>
      </c>
      <c r="DY48" s="384">
        <v>27</v>
      </c>
      <c r="DZ48" s="384">
        <v>18</v>
      </c>
      <c r="EA48" s="384">
        <v>327</v>
      </c>
      <c r="EB48" s="92"/>
      <c r="EC48" s="92"/>
    </row>
    <row r="49" spans="1:133" ht="12.95" customHeight="1">
      <c r="A49" s="2">
        <v>46</v>
      </c>
      <c r="B49" s="3" t="s">
        <v>77</v>
      </c>
      <c r="C49" s="3" t="s">
        <v>119</v>
      </c>
      <c r="D49" s="4">
        <f t="shared" si="0"/>
        <v>0</v>
      </c>
      <c r="E49" s="4">
        <f t="shared" si="1"/>
        <v>0</v>
      </c>
      <c r="F49" s="305">
        <v>0</v>
      </c>
      <c r="G49" s="375">
        <v>0</v>
      </c>
      <c r="H49" s="375">
        <v>0</v>
      </c>
      <c r="I49" s="375">
        <v>0</v>
      </c>
      <c r="J49" s="375">
        <v>0</v>
      </c>
      <c r="K49" s="375">
        <v>0</v>
      </c>
      <c r="L49" s="376">
        <v>0</v>
      </c>
      <c r="M49" s="376">
        <v>0</v>
      </c>
      <c r="N49" s="376">
        <v>0</v>
      </c>
      <c r="O49" s="376">
        <v>0</v>
      </c>
      <c r="P49" s="376">
        <v>0</v>
      </c>
      <c r="Q49" s="377">
        <v>0</v>
      </c>
      <c r="R49" s="377">
        <v>0</v>
      </c>
      <c r="S49" s="377">
        <v>0</v>
      </c>
      <c r="T49" s="377">
        <v>0</v>
      </c>
      <c r="U49" s="377">
        <v>0</v>
      </c>
      <c r="V49" s="377">
        <v>0</v>
      </c>
      <c r="W49" s="377">
        <v>0</v>
      </c>
      <c r="X49" s="377">
        <v>0</v>
      </c>
      <c r="Y49" s="377">
        <v>0</v>
      </c>
      <c r="Z49" s="377">
        <v>0</v>
      </c>
      <c r="AA49" s="377">
        <v>0</v>
      </c>
      <c r="AB49" s="377">
        <v>0</v>
      </c>
      <c r="AC49" s="377">
        <v>0</v>
      </c>
      <c r="AD49" s="377">
        <v>0</v>
      </c>
      <c r="AE49" s="377">
        <v>0</v>
      </c>
      <c r="AF49" s="377">
        <v>0</v>
      </c>
      <c r="AG49" s="377">
        <v>0</v>
      </c>
      <c r="AH49" s="377">
        <v>0</v>
      </c>
      <c r="AI49" s="24">
        <f t="shared" si="2"/>
        <v>0</v>
      </c>
      <c r="AJ49" s="24">
        <f t="shared" si="3"/>
        <v>0</v>
      </c>
      <c r="AK49" s="24">
        <f t="shared" si="4"/>
        <v>0</v>
      </c>
      <c r="AL49" s="24">
        <f t="shared" si="5"/>
        <v>0</v>
      </c>
      <c r="AM49" s="24">
        <f t="shared" si="6"/>
        <v>0</v>
      </c>
      <c r="AN49" s="378">
        <v>0</v>
      </c>
      <c r="AO49" s="378">
        <v>0</v>
      </c>
      <c r="AP49" s="378">
        <v>0</v>
      </c>
      <c r="AQ49" s="378">
        <v>0</v>
      </c>
      <c r="AR49" s="378">
        <v>0</v>
      </c>
      <c r="AS49" s="378">
        <v>0</v>
      </c>
      <c r="AT49" s="378">
        <v>0</v>
      </c>
      <c r="AU49" s="378">
        <v>0</v>
      </c>
      <c r="AV49" s="378">
        <v>0</v>
      </c>
      <c r="AW49" s="378">
        <v>0</v>
      </c>
      <c r="AX49" s="378">
        <v>0</v>
      </c>
      <c r="AY49" s="378">
        <v>0</v>
      </c>
      <c r="AZ49" s="378">
        <v>0</v>
      </c>
      <c r="BA49" s="378">
        <v>0</v>
      </c>
      <c r="BB49" s="378">
        <v>0</v>
      </c>
      <c r="BC49" s="378">
        <v>0</v>
      </c>
      <c r="BD49" s="378">
        <v>0</v>
      </c>
      <c r="BE49" s="378">
        <v>0</v>
      </c>
      <c r="BF49" s="90">
        <f t="shared" si="14"/>
        <v>0</v>
      </c>
      <c r="BG49" s="90">
        <f t="shared" si="15"/>
        <v>0</v>
      </c>
      <c r="BH49" s="90">
        <f t="shared" si="16"/>
        <v>0</v>
      </c>
      <c r="BI49" s="90">
        <f t="shared" si="17"/>
        <v>0</v>
      </c>
      <c r="BJ49" s="90">
        <f t="shared" si="18"/>
        <v>0</v>
      </c>
      <c r="BK49" s="379">
        <v>0</v>
      </c>
      <c r="BL49" s="379">
        <v>0</v>
      </c>
      <c r="BM49" s="379">
        <v>0</v>
      </c>
      <c r="BN49" s="379">
        <v>0</v>
      </c>
      <c r="BO49" s="92"/>
      <c r="BQ49" s="5">
        <f t="shared" si="7"/>
        <v>64</v>
      </c>
      <c r="BR49" s="5">
        <f t="shared" si="8"/>
        <v>0</v>
      </c>
      <c r="BS49" s="302">
        <v>0</v>
      </c>
      <c r="BT49" s="380">
        <v>32</v>
      </c>
      <c r="BU49" s="380">
        <v>3</v>
      </c>
      <c r="BV49" s="380">
        <v>3</v>
      </c>
      <c r="BW49" s="380">
        <v>0</v>
      </c>
      <c r="BX49" s="380">
        <v>26</v>
      </c>
      <c r="BY49" s="381">
        <v>62</v>
      </c>
      <c r="BZ49" s="381">
        <v>0</v>
      </c>
      <c r="CA49" s="381">
        <v>0</v>
      </c>
      <c r="CB49" s="381">
        <v>2</v>
      </c>
      <c r="CC49" s="381">
        <v>0</v>
      </c>
      <c r="CD49" s="382">
        <v>0</v>
      </c>
      <c r="CE49" s="382">
        <v>0</v>
      </c>
      <c r="CF49" s="382">
        <v>1</v>
      </c>
      <c r="CG49" s="382">
        <v>1</v>
      </c>
      <c r="CH49" s="382">
        <v>3</v>
      </c>
      <c r="CI49" s="382">
        <v>1</v>
      </c>
      <c r="CJ49" s="382">
        <v>3</v>
      </c>
      <c r="CK49" s="382">
        <v>4</v>
      </c>
      <c r="CL49" s="382">
        <v>8</v>
      </c>
      <c r="CM49" s="382">
        <v>4</v>
      </c>
      <c r="CN49" s="382">
        <v>12</v>
      </c>
      <c r="CO49" s="382">
        <v>6</v>
      </c>
      <c r="CP49" s="382">
        <v>5</v>
      </c>
      <c r="CQ49" s="382">
        <v>5</v>
      </c>
      <c r="CR49" s="382">
        <v>5</v>
      </c>
      <c r="CS49" s="382">
        <v>4</v>
      </c>
      <c r="CT49" s="382">
        <v>2</v>
      </c>
      <c r="CU49" s="382">
        <v>0</v>
      </c>
      <c r="CV49" s="25">
        <f t="shared" si="9"/>
        <v>1</v>
      </c>
      <c r="CW49" s="25">
        <f t="shared" si="10"/>
        <v>5</v>
      </c>
      <c r="CX49" s="25">
        <f t="shared" si="11"/>
        <v>31</v>
      </c>
      <c r="CY49" s="25">
        <f t="shared" si="12"/>
        <v>21</v>
      </c>
      <c r="CZ49" s="25">
        <f t="shared" si="13"/>
        <v>6</v>
      </c>
      <c r="DA49" s="383">
        <v>0</v>
      </c>
      <c r="DB49" s="383">
        <v>0</v>
      </c>
      <c r="DC49" s="383">
        <v>0</v>
      </c>
      <c r="DD49" s="383">
        <v>0</v>
      </c>
      <c r="DE49" s="383">
        <v>0</v>
      </c>
      <c r="DF49" s="383">
        <v>0</v>
      </c>
      <c r="DG49" s="383">
        <v>0</v>
      </c>
      <c r="DH49" s="383">
        <v>0</v>
      </c>
      <c r="DI49" s="383">
        <v>0</v>
      </c>
      <c r="DJ49" s="383">
        <v>0</v>
      </c>
      <c r="DK49" s="383">
        <v>0</v>
      </c>
      <c r="DL49" s="383">
        <v>0</v>
      </c>
      <c r="DM49" s="383">
        <v>0</v>
      </c>
      <c r="DN49" s="383">
        <v>0</v>
      </c>
      <c r="DO49" s="383">
        <v>0</v>
      </c>
      <c r="DP49" s="383">
        <v>0</v>
      </c>
      <c r="DQ49" s="383">
        <v>0</v>
      </c>
      <c r="DR49" s="383">
        <v>0</v>
      </c>
      <c r="DS49" s="91">
        <f t="shared" si="19"/>
        <v>0</v>
      </c>
      <c r="DT49" s="91">
        <f t="shared" si="20"/>
        <v>0</v>
      </c>
      <c r="DU49" s="91">
        <f t="shared" si="21"/>
        <v>0</v>
      </c>
      <c r="DV49" s="91">
        <f t="shared" si="22"/>
        <v>0</v>
      </c>
      <c r="DW49" s="91">
        <f t="shared" si="23"/>
        <v>0</v>
      </c>
      <c r="DX49" s="384">
        <v>391</v>
      </c>
      <c r="DY49" s="384">
        <v>203</v>
      </c>
      <c r="DZ49" s="384">
        <v>65</v>
      </c>
      <c r="EA49" s="384">
        <v>447</v>
      </c>
      <c r="EB49" s="92"/>
      <c r="EC49" s="92"/>
    </row>
    <row r="50" spans="1:133" ht="12.95" customHeight="1">
      <c r="A50" s="12">
        <v>47</v>
      </c>
      <c r="B50" s="3" t="s">
        <v>434</v>
      </c>
      <c r="C50" s="3" t="s">
        <v>120</v>
      </c>
      <c r="D50" s="4">
        <f t="shared" si="0"/>
        <v>18</v>
      </c>
      <c r="E50" s="4">
        <f t="shared" si="1"/>
        <v>4</v>
      </c>
      <c r="F50" s="305">
        <v>0</v>
      </c>
      <c r="G50" s="375">
        <v>0</v>
      </c>
      <c r="H50" s="375">
        <v>0</v>
      </c>
      <c r="I50" s="375">
        <v>0</v>
      </c>
      <c r="J50" s="375">
        <v>0</v>
      </c>
      <c r="K50" s="375">
        <v>18</v>
      </c>
      <c r="L50" s="376">
        <v>13</v>
      </c>
      <c r="M50" s="376">
        <v>0</v>
      </c>
      <c r="N50" s="376">
        <v>0</v>
      </c>
      <c r="O50" s="376">
        <v>5</v>
      </c>
      <c r="P50" s="376">
        <v>0</v>
      </c>
      <c r="Q50" s="377">
        <v>2</v>
      </c>
      <c r="R50" s="377">
        <v>2</v>
      </c>
      <c r="S50" s="377">
        <v>2</v>
      </c>
      <c r="T50" s="377">
        <v>1</v>
      </c>
      <c r="U50" s="377">
        <v>0</v>
      </c>
      <c r="V50" s="377">
        <v>0</v>
      </c>
      <c r="W50" s="377">
        <v>0</v>
      </c>
      <c r="X50" s="377">
        <v>0</v>
      </c>
      <c r="Y50" s="377">
        <v>0</v>
      </c>
      <c r="Z50" s="377">
        <v>1</v>
      </c>
      <c r="AA50" s="377">
        <v>0</v>
      </c>
      <c r="AB50" s="377">
        <v>2</v>
      </c>
      <c r="AC50" s="377">
        <v>0</v>
      </c>
      <c r="AD50" s="377">
        <v>1</v>
      </c>
      <c r="AE50" s="377">
        <v>1</v>
      </c>
      <c r="AF50" s="377">
        <v>4</v>
      </c>
      <c r="AG50" s="377">
        <v>2</v>
      </c>
      <c r="AH50" s="377">
        <v>0</v>
      </c>
      <c r="AI50" s="24">
        <f t="shared" si="2"/>
        <v>6</v>
      </c>
      <c r="AJ50" s="24">
        <f t="shared" si="3"/>
        <v>1</v>
      </c>
      <c r="AK50" s="24">
        <f t="shared" si="4"/>
        <v>1</v>
      </c>
      <c r="AL50" s="24">
        <f t="shared" si="5"/>
        <v>4</v>
      </c>
      <c r="AM50" s="24">
        <f t="shared" si="6"/>
        <v>6</v>
      </c>
      <c r="AN50" s="378">
        <v>0</v>
      </c>
      <c r="AO50" s="378">
        <v>1</v>
      </c>
      <c r="AP50" s="378">
        <v>0</v>
      </c>
      <c r="AQ50" s="378">
        <v>0</v>
      </c>
      <c r="AR50" s="378">
        <v>0</v>
      </c>
      <c r="AS50" s="378">
        <v>0</v>
      </c>
      <c r="AT50" s="378">
        <v>0</v>
      </c>
      <c r="AU50" s="378">
        <v>0</v>
      </c>
      <c r="AV50" s="378">
        <v>0</v>
      </c>
      <c r="AW50" s="378">
        <v>1</v>
      </c>
      <c r="AX50" s="378">
        <v>0</v>
      </c>
      <c r="AY50" s="378">
        <v>0</v>
      </c>
      <c r="AZ50" s="378">
        <v>0</v>
      </c>
      <c r="BA50" s="378">
        <v>1</v>
      </c>
      <c r="BB50" s="378">
        <v>0</v>
      </c>
      <c r="BC50" s="378">
        <v>0</v>
      </c>
      <c r="BD50" s="378">
        <v>0</v>
      </c>
      <c r="BE50" s="378">
        <v>1</v>
      </c>
      <c r="BF50" s="90">
        <f t="shared" si="14"/>
        <v>1</v>
      </c>
      <c r="BG50" s="90">
        <f t="shared" si="15"/>
        <v>0</v>
      </c>
      <c r="BH50" s="90">
        <f t="shared" si="16"/>
        <v>1</v>
      </c>
      <c r="BI50" s="90">
        <f t="shared" si="17"/>
        <v>1</v>
      </c>
      <c r="BJ50" s="90">
        <f t="shared" si="18"/>
        <v>1</v>
      </c>
      <c r="BK50" s="379">
        <v>40</v>
      </c>
      <c r="BL50" s="379">
        <v>20</v>
      </c>
      <c r="BM50" s="379">
        <v>8</v>
      </c>
      <c r="BN50" s="379">
        <v>52</v>
      </c>
      <c r="BO50" s="92"/>
      <c r="BQ50" s="5">
        <f t="shared" si="7"/>
        <v>26</v>
      </c>
      <c r="BR50" s="5">
        <f t="shared" si="8"/>
        <v>7</v>
      </c>
      <c r="BS50" s="302">
        <v>0</v>
      </c>
      <c r="BT50" s="380">
        <v>0</v>
      </c>
      <c r="BU50" s="380">
        <v>0</v>
      </c>
      <c r="BV50" s="380">
        <v>0</v>
      </c>
      <c r="BW50" s="380">
        <v>0</v>
      </c>
      <c r="BX50" s="380">
        <v>26</v>
      </c>
      <c r="BY50" s="381">
        <v>17</v>
      </c>
      <c r="BZ50" s="381">
        <v>0</v>
      </c>
      <c r="CA50" s="381">
        <v>3</v>
      </c>
      <c r="CB50" s="381">
        <v>6</v>
      </c>
      <c r="CC50" s="381">
        <v>0</v>
      </c>
      <c r="CD50" s="382">
        <v>0</v>
      </c>
      <c r="CE50" s="382">
        <v>1</v>
      </c>
      <c r="CF50" s="382">
        <v>1</v>
      </c>
      <c r="CG50" s="382">
        <v>3</v>
      </c>
      <c r="CH50" s="382">
        <v>1</v>
      </c>
      <c r="CI50" s="382">
        <v>0</v>
      </c>
      <c r="CJ50" s="382">
        <v>1</v>
      </c>
      <c r="CK50" s="382">
        <v>1</v>
      </c>
      <c r="CL50" s="382">
        <v>1</v>
      </c>
      <c r="CM50" s="382">
        <v>0</v>
      </c>
      <c r="CN50" s="382">
        <v>1</v>
      </c>
      <c r="CO50" s="382">
        <v>3</v>
      </c>
      <c r="CP50" s="382">
        <v>1</v>
      </c>
      <c r="CQ50" s="382">
        <v>3</v>
      </c>
      <c r="CR50" s="382">
        <v>2</v>
      </c>
      <c r="CS50" s="382">
        <v>4</v>
      </c>
      <c r="CT50" s="382">
        <v>2</v>
      </c>
      <c r="CU50" s="382">
        <v>1</v>
      </c>
      <c r="CV50" s="25">
        <f t="shared" si="9"/>
        <v>2</v>
      </c>
      <c r="CW50" s="25">
        <f t="shared" si="10"/>
        <v>4</v>
      </c>
      <c r="CX50" s="25">
        <f t="shared" si="11"/>
        <v>4</v>
      </c>
      <c r="CY50" s="25">
        <f t="shared" si="12"/>
        <v>9</v>
      </c>
      <c r="CZ50" s="25">
        <f t="shared" si="13"/>
        <v>7</v>
      </c>
      <c r="DA50" s="383">
        <v>0</v>
      </c>
      <c r="DB50" s="383">
        <v>0</v>
      </c>
      <c r="DC50" s="383">
        <v>0</v>
      </c>
      <c r="DD50" s="383">
        <v>0</v>
      </c>
      <c r="DE50" s="383">
        <v>0</v>
      </c>
      <c r="DF50" s="383">
        <v>0</v>
      </c>
      <c r="DG50" s="383">
        <v>0</v>
      </c>
      <c r="DH50" s="383">
        <v>0</v>
      </c>
      <c r="DI50" s="383">
        <v>0</v>
      </c>
      <c r="DJ50" s="383">
        <v>0</v>
      </c>
      <c r="DK50" s="383">
        <v>0</v>
      </c>
      <c r="DL50" s="383">
        <v>2</v>
      </c>
      <c r="DM50" s="383">
        <v>0</v>
      </c>
      <c r="DN50" s="383">
        <v>1</v>
      </c>
      <c r="DO50" s="383">
        <v>1</v>
      </c>
      <c r="DP50" s="383">
        <v>1</v>
      </c>
      <c r="DQ50" s="383">
        <v>2</v>
      </c>
      <c r="DR50" s="383">
        <v>0</v>
      </c>
      <c r="DS50" s="91">
        <f t="shared" si="19"/>
        <v>0</v>
      </c>
      <c r="DT50" s="91">
        <f t="shared" si="20"/>
        <v>0</v>
      </c>
      <c r="DU50" s="91">
        <f t="shared" si="21"/>
        <v>0</v>
      </c>
      <c r="DV50" s="91">
        <f t="shared" si="22"/>
        <v>4</v>
      </c>
      <c r="DW50" s="91">
        <f t="shared" si="23"/>
        <v>3</v>
      </c>
      <c r="DX50" s="384">
        <v>59</v>
      </c>
      <c r="DY50" s="384">
        <v>18</v>
      </c>
      <c r="DZ50" s="384">
        <v>9</v>
      </c>
      <c r="EA50" s="384">
        <v>74</v>
      </c>
      <c r="EB50" s="92"/>
      <c r="EC50" s="92"/>
    </row>
    <row r="51" spans="1:133" ht="12.95" customHeight="1">
      <c r="A51" s="2">
        <v>48</v>
      </c>
      <c r="B51" s="3" t="s">
        <v>121</v>
      </c>
      <c r="C51" s="3" t="s">
        <v>122</v>
      </c>
      <c r="D51" s="4">
        <f t="shared" si="0"/>
        <v>166</v>
      </c>
      <c r="E51" s="4">
        <f t="shared" si="1"/>
        <v>35</v>
      </c>
      <c r="F51" s="305">
        <v>0</v>
      </c>
      <c r="G51" s="375">
        <v>0</v>
      </c>
      <c r="H51" s="375">
        <v>0</v>
      </c>
      <c r="I51" s="375">
        <v>0</v>
      </c>
      <c r="J51" s="375">
        <v>0</v>
      </c>
      <c r="K51" s="375">
        <v>166</v>
      </c>
      <c r="L51" s="376">
        <v>139</v>
      </c>
      <c r="M51" s="376">
        <v>4</v>
      </c>
      <c r="N51" s="376">
        <v>1</v>
      </c>
      <c r="O51" s="376">
        <v>22</v>
      </c>
      <c r="P51" s="376">
        <v>0</v>
      </c>
      <c r="Q51" s="377">
        <v>0</v>
      </c>
      <c r="R51" s="377">
        <v>0</v>
      </c>
      <c r="S51" s="377">
        <v>0</v>
      </c>
      <c r="T51" s="377">
        <v>0</v>
      </c>
      <c r="U51" s="377">
        <v>1</v>
      </c>
      <c r="V51" s="377">
        <v>1</v>
      </c>
      <c r="W51" s="377">
        <v>1</v>
      </c>
      <c r="X51" s="377">
        <v>5</v>
      </c>
      <c r="Y51" s="377">
        <v>2</v>
      </c>
      <c r="Z51" s="377">
        <v>10</v>
      </c>
      <c r="AA51" s="377">
        <v>8</v>
      </c>
      <c r="AB51" s="377">
        <v>18</v>
      </c>
      <c r="AC51" s="377">
        <v>13</v>
      </c>
      <c r="AD51" s="377">
        <v>19</v>
      </c>
      <c r="AE51" s="377">
        <v>24</v>
      </c>
      <c r="AF51" s="377">
        <v>33</v>
      </c>
      <c r="AG51" s="377">
        <v>19</v>
      </c>
      <c r="AH51" s="377">
        <v>12</v>
      </c>
      <c r="AI51" s="24">
        <f t="shared" si="2"/>
        <v>0</v>
      </c>
      <c r="AJ51" s="24">
        <f t="shared" si="3"/>
        <v>2</v>
      </c>
      <c r="AK51" s="24">
        <f t="shared" si="4"/>
        <v>26</v>
      </c>
      <c r="AL51" s="24">
        <f t="shared" si="5"/>
        <v>74</v>
      </c>
      <c r="AM51" s="24">
        <f t="shared" si="6"/>
        <v>64</v>
      </c>
      <c r="AN51" s="378">
        <v>0</v>
      </c>
      <c r="AO51" s="378">
        <v>0</v>
      </c>
      <c r="AP51" s="378">
        <v>0</v>
      </c>
      <c r="AQ51" s="378">
        <v>0</v>
      </c>
      <c r="AR51" s="378">
        <v>0</v>
      </c>
      <c r="AS51" s="378">
        <v>0</v>
      </c>
      <c r="AT51" s="378">
        <v>0</v>
      </c>
      <c r="AU51" s="378">
        <v>0</v>
      </c>
      <c r="AV51" s="378">
        <v>0</v>
      </c>
      <c r="AW51" s="378">
        <v>0</v>
      </c>
      <c r="AX51" s="378">
        <v>0</v>
      </c>
      <c r="AY51" s="378">
        <v>3</v>
      </c>
      <c r="AZ51" s="378">
        <v>4</v>
      </c>
      <c r="BA51" s="378">
        <v>4</v>
      </c>
      <c r="BB51" s="378">
        <v>7</v>
      </c>
      <c r="BC51" s="378">
        <v>8</v>
      </c>
      <c r="BD51" s="378">
        <v>8</v>
      </c>
      <c r="BE51" s="378">
        <v>1</v>
      </c>
      <c r="BF51" s="90">
        <f t="shared" si="14"/>
        <v>0</v>
      </c>
      <c r="BG51" s="90">
        <f t="shared" si="15"/>
        <v>0</v>
      </c>
      <c r="BH51" s="90">
        <f t="shared" si="16"/>
        <v>0</v>
      </c>
      <c r="BI51" s="90">
        <f t="shared" si="17"/>
        <v>18</v>
      </c>
      <c r="BJ51" s="90">
        <f t="shared" si="18"/>
        <v>17</v>
      </c>
      <c r="BK51" s="379">
        <v>571</v>
      </c>
      <c r="BL51" s="379">
        <v>229</v>
      </c>
      <c r="BM51" s="379">
        <v>33</v>
      </c>
      <c r="BN51" s="379">
        <v>673</v>
      </c>
      <c r="BO51" s="92"/>
      <c r="BQ51" s="5">
        <f t="shared" si="7"/>
        <v>209</v>
      </c>
      <c r="BR51" s="5">
        <f t="shared" si="8"/>
        <v>25</v>
      </c>
      <c r="BS51" s="302">
        <v>0</v>
      </c>
      <c r="BT51" s="380">
        <v>0</v>
      </c>
      <c r="BU51" s="380">
        <v>0</v>
      </c>
      <c r="BV51" s="380">
        <v>0</v>
      </c>
      <c r="BW51" s="380">
        <v>0</v>
      </c>
      <c r="BX51" s="380">
        <v>209</v>
      </c>
      <c r="BY51" s="381">
        <v>176</v>
      </c>
      <c r="BZ51" s="381">
        <v>4</v>
      </c>
      <c r="CA51" s="381">
        <v>0</v>
      </c>
      <c r="CB51" s="381">
        <v>27</v>
      </c>
      <c r="CC51" s="381">
        <v>2</v>
      </c>
      <c r="CD51" s="382">
        <v>0</v>
      </c>
      <c r="CE51" s="382">
        <v>0</v>
      </c>
      <c r="CF51" s="382">
        <v>0</v>
      </c>
      <c r="CG51" s="382">
        <v>0</v>
      </c>
      <c r="CH51" s="382">
        <v>2</v>
      </c>
      <c r="CI51" s="382">
        <v>3</v>
      </c>
      <c r="CJ51" s="382">
        <v>4</v>
      </c>
      <c r="CK51" s="382">
        <v>4</v>
      </c>
      <c r="CL51" s="382">
        <v>4</v>
      </c>
      <c r="CM51" s="382">
        <v>8</v>
      </c>
      <c r="CN51" s="382">
        <v>18</v>
      </c>
      <c r="CO51" s="382">
        <v>8</v>
      </c>
      <c r="CP51" s="382">
        <v>27</v>
      </c>
      <c r="CQ51" s="382">
        <v>28</v>
      </c>
      <c r="CR51" s="382">
        <v>21</v>
      </c>
      <c r="CS51" s="382">
        <v>30</v>
      </c>
      <c r="CT51" s="382">
        <v>30</v>
      </c>
      <c r="CU51" s="382">
        <v>22</v>
      </c>
      <c r="CV51" s="25">
        <f t="shared" si="9"/>
        <v>0</v>
      </c>
      <c r="CW51" s="25">
        <f t="shared" si="10"/>
        <v>5</v>
      </c>
      <c r="CX51" s="25">
        <f t="shared" si="11"/>
        <v>38</v>
      </c>
      <c r="CY51" s="25">
        <f t="shared" si="12"/>
        <v>84</v>
      </c>
      <c r="CZ51" s="25">
        <f t="shared" si="13"/>
        <v>82</v>
      </c>
      <c r="DA51" s="383">
        <v>0</v>
      </c>
      <c r="DB51" s="383">
        <v>0</v>
      </c>
      <c r="DC51" s="383">
        <v>0</v>
      </c>
      <c r="DD51" s="383">
        <v>0</v>
      </c>
      <c r="DE51" s="383">
        <v>1</v>
      </c>
      <c r="DF51" s="383">
        <v>0</v>
      </c>
      <c r="DG51" s="383">
        <v>0</v>
      </c>
      <c r="DH51" s="383">
        <v>0</v>
      </c>
      <c r="DI51" s="383">
        <v>0</v>
      </c>
      <c r="DJ51" s="383">
        <v>0</v>
      </c>
      <c r="DK51" s="383">
        <v>0</v>
      </c>
      <c r="DL51" s="383">
        <v>0</v>
      </c>
      <c r="DM51" s="383">
        <v>2</v>
      </c>
      <c r="DN51" s="383">
        <v>1</v>
      </c>
      <c r="DO51" s="383">
        <v>4</v>
      </c>
      <c r="DP51" s="383">
        <v>7</v>
      </c>
      <c r="DQ51" s="383">
        <v>6</v>
      </c>
      <c r="DR51" s="383">
        <v>4</v>
      </c>
      <c r="DS51" s="91">
        <f t="shared" si="19"/>
        <v>0</v>
      </c>
      <c r="DT51" s="91">
        <f t="shared" si="20"/>
        <v>1</v>
      </c>
      <c r="DU51" s="91">
        <f t="shared" si="21"/>
        <v>0</v>
      </c>
      <c r="DV51" s="91">
        <f t="shared" si="22"/>
        <v>7</v>
      </c>
      <c r="DW51" s="91">
        <f t="shared" si="23"/>
        <v>17</v>
      </c>
      <c r="DX51" s="384">
        <v>1001</v>
      </c>
      <c r="DY51" s="384">
        <v>440</v>
      </c>
      <c r="DZ51" s="384">
        <v>69</v>
      </c>
      <c r="EA51" s="384">
        <v>1141</v>
      </c>
      <c r="EC51" s="92"/>
    </row>
    <row r="52" spans="1:133" ht="15">
      <c r="BK52" s="299"/>
      <c r="BL52" s="299"/>
      <c r="BM52" s="299"/>
      <c r="BN52" s="299"/>
      <c r="DX52" s="300"/>
      <c r="DY52" s="300"/>
      <c r="DZ52" s="300"/>
      <c r="EA52" s="300"/>
    </row>
    <row r="53" spans="1:133" ht="15">
      <c r="DX53" s="300"/>
      <c r="DY53" s="300"/>
      <c r="DZ53" s="300"/>
      <c r="EA53" s="300"/>
    </row>
    <row r="54" spans="1:133" ht="15">
      <c r="DX54" s="300"/>
      <c r="DY54" s="300"/>
      <c r="DZ54" s="300"/>
      <c r="EA54" s="300"/>
    </row>
    <row r="55" spans="1:133" ht="15">
      <c r="DX55" s="300"/>
      <c r="DY55" s="300"/>
      <c r="DZ55" s="300"/>
      <c r="EA55" s="300"/>
    </row>
    <row r="56" spans="1:133" ht="15">
      <c r="DX56" s="300"/>
      <c r="DY56" s="300"/>
      <c r="DZ56" s="300"/>
      <c r="EA56" s="300"/>
    </row>
    <row r="57" spans="1:133" ht="15">
      <c r="DX57" s="300"/>
      <c r="DY57" s="300"/>
      <c r="DZ57" s="300"/>
      <c r="EA57" s="300"/>
    </row>
    <row r="58" spans="1:133" ht="15">
      <c r="BP58">
        <v>88.1</v>
      </c>
      <c r="DX58" s="300"/>
      <c r="DY58" s="300"/>
      <c r="DZ58" s="300"/>
      <c r="EA58" s="300"/>
    </row>
    <row r="59" spans="1:133" ht="15">
      <c r="BP59">
        <v>37.9</v>
      </c>
      <c r="DX59" s="300"/>
      <c r="DY59" s="300"/>
      <c r="DZ59" s="300"/>
      <c r="EA59" s="300"/>
    </row>
    <row r="60" spans="1:133" ht="15">
      <c r="BP60">
        <v>13.3</v>
      </c>
      <c r="DX60" s="300"/>
      <c r="DY60" s="300"/>
      <c r="DZ60" s="300"/>
      <c r="EA60" s="300"/>
    </row>
    <row r="61" spans="1:133" ht="15">
      <c r="BP61">
        <v>28.1</v>
      </c>
      <c r="DX61" s="300"/>
      <c r="DY61" s="300"/>
      <c r="DZ61" s="300"/>
      <c r="EA61" s="300"/>
    </row>
    <row r="62" spans="1:133" ht="15">
      <c r="BP62">
        <v>48.5</v>
      </c>
      <c r="DX62" s="300"/>
      <c r="DY62" s="300"/>
      <c r="DZ62" s="300"/>
      <c r="EA62" s="300"/>
    </row>
    <row r="63" spans="1:133" ht="15">
      <c r="BP63">
        <v>50</v>
      </c>
      <c r="DX63" s="300"/>
      <c r="DY63" s="300"/>
      <c r="DZ63" s="300"/>
      <c r="EA63" s="300"/>
    </row>
    <row r="64" spans="1:133" ht="15">
      <c r="BP64">
        <v>4.5</v>
      </c>
      <c r="DX64" s="300"/>
      <c r="DY64" s="300"/>
      <c r="DZ64" s="300"/>
      <c r="EA64" s="300"/>
    </row>
    <row r="65" spans="68:131" ht="15">
      <c r="BP65">
        <v>12.5</v>
      </c>
      <c r="DX65" s="300"/>
      <c r="DY65" s="300"/>
      <c r="DZ65" s="300"/>
      <c r="EA65" s="300"/>
    </row>
    <row r="66" spans="68:131" ht="15">
      <c r="BP66">
        <v>8.4</v>
      </c>
      <c r="DX66" s="300"/>
      <c r="DY66" s="300"/>
      <c r="DZ66" s="300"/>
      <c r="EA66" s="300"/>
    </row>
    <row r="67" spans="68:131" ht="15">
      <c r="BP67">
        <v>27.7</v>
      </c>
      <c r="DX67" s="300"/>
      <c r="DY67" s="300"/>
      <c r="DZ67" s="300"/>
      <c r="EA67" s="300"/>
    </row>
    <row r="68" spans="68:131" ht="15">
      <c r="BP68">
        <v>14.4</v>
      </c>
      <c r="DX68" s="300"/>
      <c r="DY68" s="300"/>
      <c r="DZ68" s="300"/>
      <c r="EA68" s="300"/>
    </row>
    <row r="69" spans="68:131" ht="15">
      <c r="BP69">
        <v>84.5</v>
      </c>
      <c r="DX69" s="300"/>
      <c r="DY69" s="300"/>
      <c r="DZ69" s="300"/>
      <c r="EA69" s="300"/>
    </row>
    <row r="70" spans="68:131" ht="15">
      <c r="BP70">
        <v>16.899999999999999</v>
      </c>
      <c r="DX70" s="300"/>
      <c r="DY70" s="300"/>
      <c r="DZ70" s="300"/>
      <c r="EA70" s="300"/>
    </row>
    <row r="71" spans="68:131" ht="15">
      <c r="BP71">
        <v>43.8</v>
      </c>
      <c r="DX71" s="300"/>
      <c r="DY71" s="300"/>
      <c r="DZ71" s="300"/>
      <c r="EA71" s="300"/>
    </row>
    <row r="72" spans="68:131">
      <c r="BP72">
        <v>64.099999999999994</v>
      </c>
    </row>
    <row r="73" spans="68:131">
      <c r="BP73">
        <v>75.099999999999994</v>
      </c>
    </row>
    <row r="74" spans="68:131">
      <c r="BP74">
        <v>100</v>
      </c>
    </row>
    <row r="75" spans="68:131">
      <c r="BP75">
        <v>75.599999999999994</v>
      </c>
    </row>
    <row r="76" spans="68:131">
      <c r="BP76">
        <v>63.5</v>
      </c>
    </row>
    <row r="77" spans="68:131">
      <c r="BP77">
        <v>64.3</v>
      </c>
    </row>
    <row r="78" spans="68:131">
      <c r="BP78">
        <v>77.099999999999994</v>
      </c>
    </row>
    <row r="79" spans="68:131">
      <c r="BP79">
        <v>39.5</v>
      </c>
    </row>
    <row r="82" spans="68:68">
      <c r="BP82">
        <v>63.7</v>
      </c>
    </row>
    <row r="83" spans="68:68">
      <c r="BP83">
        <v>80.900000000000006</v>
      </c>
    </row>
    <row r="84" spans="68:68">
      <c r="BP84">
        <v>49.6</v>
      </c>
    </row>
    <row r="85" spans="68:68">
      <c r="BP85">
        <v>38.4</v>
      </c>
    </row>
    <row r="86" spans="68:68">
      <c r="BP86">
        <v>76</v>
      </c>
    </row>
    <row r="87" spans="68:68">
      <c r="BP87">
        <v>17.600000000000001</v>
      </c>
    </row>
    <row r="88" spans="68:68">
      <c r="BP88">
        <v>96.8</v>
      </c>
    </row>
    <row r="89" spans="68:68">
      <c r="BP89">
        <v>49.7</v>
      </c>
    </row>
    <row r="90" spans="68:68">
      <c r="BP90">
        <v>13.2</v>
      </c>
    </row>
    <row r="91" spans="68:68">
      <c r="BP91">
        <v>89.5</v>
      </c>
    </row>
    <row r="92" spans="68:68">
      <c r="BP92">
        <v>54.5</v>
      </c>
    </row>
    <row r="93" spans="68:68">
      <c r="BP93">
        <v>44</v>
      </c>
    </row>
    <row r="94" spans="68:68">
      <c r="BP94">
        <v>47.2</v>
      </c>
    </row>
    <row r="95" spans="68:68">
      <c r="BP95">
        <v>82.5</v>
      </c>
    </row>
  </sheetData>
  <mergeCells count="19">
    <mergeCell ref="BF1:BJ1"/>
    <mergeCell ref="DS1:DW1"/>
    <mergeCell ref="EB1:EC1"/>
    <mergeCell ref="DX1:EA1"/>
    <mergeCell ref="BK1:BN1"/>
    <mergeCell ref="BO1:BP1"/>
    <mergeCell ref="CD1:CU1"/>
    <mergeCell ref="DA1:DR1"/>
    <mergeCell ref="BY1:CC1"/>
    <mergeCell ref="BQ1:BR1"/>
    <mergeCell ref="BS1:BX1"/>
    <mergeCell ref="CV1:CZ1"/>
    <mergeCell ref="A1:C1"/>
    <mergeCell ref="D1:E1"/>
    <mergeCell ref="Q1:AH1"/>
    <mergeCell ref="AN1:BE1"/>
    <mergeCell ref="F1:K1"/>
    <mergeCell ref="L1:P1"/>
    <mergeCell ref="AI1:AM1"/>
  </mergeCells>
  <phoneticPr fontId="13" type="noConversion"/>
  <pageMargins left="0.75" right="0.75" top="1" bottom="1" header="0.5" footer="0.5"/>
  <pageSetup paperSize="9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3083" r:id="rId4" name="Perskaiciuoti">
          <controlPr defaultSize="0" autoLine="0" r:id="rId5">
            <anchor moveWithCells="1">
              <from>
                <xdr:col>1</xdr:col>
                <xdr:colOff>38100</xdr:colOff>
                <xdr:row>52</xdr:row>
                <xdr:rowOff>38100</xdr:rowOff>
              </from>
              <to>
                <xdr:col>2</xdr:col>
                <xdr:colOff>133350</xdr:colOff>
                <xdr:row>55</xdr:row>
                <xdr:rowOff>152400</xdr:rowOff>
              </to>
            </anchor>
          </controlPr>
        </control>
      </mc:Choice>
      <mc:Fallback>
        <control shapeId="3083" r:id="rId4" name="Perskaiciuoti"/>
      </mc:Fallback>
    </mc:AlternateContent>
  </control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theme="6" tint="0.39997558519241921"/>
  </sheetPr>
  <dimension ref="A1:O65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33.7109375" customWidth="1"/>
    <col min="4" max="13" width="10.5703125" customWidth="1"/>
    <col min="14" max="24" width="0.85546875" customWidth="1"/>
    <col min="25" max="38" width="2.7109375" customWidth="1"/>
  </cols>
  <sheetData>
    <row r="1" spans="1:15" ht="15">
      <c r="A1" s="29"/>
      <c r="B1" s="519" t="s">
        <v>403</v>
      </c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</row>
    <row r="2" spans="1:15">
      <c r="A2" s="29"/>
      <c r="B2" s="516" t="str">
        <f>"Susirgimai piktybiniais navikais pagal diagnozuoto susirgimo stadijas (TNM sistema)  " &amp; GrafikaiSerg!A1 &amp; " m. Vyrai."</f>
        <v>Susirgimai piktybiniais navikais pagal diagnozuoto susirgimo stadijas (TNM sistema)  2014 m. Vyrai.</v>
      </c>
      <c r="C2" s="516"/>
      <c r="D2" s="517"/>
      <c r="E2" s="518"/>
      <c r="F2" s="29"/>
      <c r="G2" s="29"/>
      <c r="H2" s="29"/>
      <c r="I2" s="29"/>
      <c r="J2" s="29"/>
      <c r="K2" s="29"/>
      <c r="L2" s="29"/>
      <c r="M2" s="29"/>
      <c r="N2" s="29"/>
      <c r="O2" s="29"/>
    </row>
    <row r="3" spans="1:15">
      <c r="A3" s="29"/>
      <c r="B3" s="63" t="s">
        <v>619</v>
      </c>
      <c r="C3" s="5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</row>
    <row r="4" spans="1:15" ht="12.95" customHeight="1">
      <c r="A4" s="29"/>
      <c r="B4" s="425" t="s">
        <v>243</v>
      </c>
      <c r="C4" s="427" t="s">
        <v>244</v>
      </c>
      <c r="D4" s="431" t="s">
        <v>238</v>
      </c>
      <c r="E4" s="433"/>
      <c r="F4" s="429" t="s">
        <v>239</v>
      </c>
      <c r="G4" s="430"/>
      <c r="H4" s="431" t="s">
        <v>240</v>
      </c>
      <c r="I4" s="433"/>
      <c r="J4" s="429" t="s">
        <v>241</v>
      </c>
      <c r="K4" s="430"/>
      <c r="L4" s="431" t="s">
        <v>242</v>
      </c>
      <c r="M4" s="432"/>
      <c r="N4" s="29"/>
      <c r="O4" s="29"/>
    </row>
    <row r="5" spans="1:15" ht="12.95" customHeight="1" thickBot="1">
      <c r="A5" s="29"/>
      <c r="B5" s="426"/>
      <c r="C5" s="428"/>
      <c r="D5" s="156" t="s">
        <v>245</v>
      </c>
      <c r="E5" s="157" t="s">
        <v>246</v>
      </c>
      <c r="F5" s="158" t="s">
        <v>245</v>
      </c>
      <c r="G5" s="159" t="s">
        <v>246</v>
      </c>
      <c r="H5" s="156" t="s">
        <v>245</v>
      </c>
      <c r="I5" s="157" t="s">
        <v>246</v>
      </c>
      <c r="J5" s="158" t="s">
        <v>245</v>
      </c>
      <c r="K5" s="159" t="s">
        <v>246</v>
      </c>
      <c r="L5" s="156" t="s">
        <v>245</v>
      </c>
      <c r="M5" s="140" t="s">
        <v>246</v>
      </c>
      <c r="N5" s="29"/>
      <c r="O5" s="29"/>
    </row>
    <row r="6" spans="1:15" ht="12" customHeight="1" thickTop="1">
      <c r="A6" s="29"/>
      <c r="B6" s="125" t="str">
        <f>UPPER(LEFT(TRIM(Data!B5),1)) &amp; MID(TRIM(Data!B5),2,50)</f>
        <v>Piktybiniai navikai</v>
      </c>
      <c r="C6" s="125" t="str">
        <f>Data!C5</f>
        <v>C00-C96</v>
      </c>
      <c r="D6" s="151">
        <f>Data!G5</f>
        <v>1873</v>
      </c>
      <c r="E6" s="152">
        <f>IF(Data!$D5=0, 0, D6/Data!$D5)</f>
        <v>0.19573623158114745</v>
      </c>
      <c r="F6" s="153">
        <f>Data!H5</f>
        <v>1808</v>
      </c>
      <c r="G6" s="154">
        <f>IF(Data!$D5=0, 0, F6/Data!$D5)</f>
        <v>0.18894346326679903</v>
      </c>
      <c r="H6" s="151">
        <f>Data!I5</f>
        <v>1287</v>
      </c>
      <c r="I6" s="152">
        <f>IF(Data!$D5=0, 0, H6/Data!$D5)</f>
        <v>0.13449681262409866</v>
      </c>
      <c r="J6" s="153">
        <f>Data!J5</f>
        <v>1304</v>
      </c>
      <c r="K6" s="154">
        <f>IF(Data!$D5=0, 0, J6/Data!$D5)</f>
        <v>0.13627338279862056</v>
      </c>
      <c r="L6" s="151">
        <f>Data!K5</f>
        <v>3297</v>
      </c>
      <c r="M6" s="155">
        <f>IF(Data!$D5=0, 0, L6/Data!$D5)</f>
        <v>0.34455010972933431</v>
      </c>
      <c r="N6" s="29"/>
      <c r="O6" s="29"/>
    </row>
    <row r="7" spans="1:15" ht="12" customHeight="1">
      <c r="A7" s="29"/>
      <c r="B7" s="141" t="str">
        <f>UPPER(LEFT(TRIM(Data!B6),1)) &amp; MID(TRIM(Data!B6),2,50)</f>
        <v>Lūpos</v>
      </c>
      <c r="C7" s="141" t="str">
        <f>Data!C6</f>
        <v>C00</v>
      </c>
      <c r="D7" s="160">
        <f>Data!G6</f>
        <v>10</v>
      </c>
      <c r="E7" s="161">
        <f>IF(Data!$D6=0, 0, D7/Data!$D6)</f>
        <v>0.5</v>
      </c>
      <c r="F7" s="162">
        <f>Data!H6</f>
        <v>7</v>
      </c>
      <c r="G7" s="163">
        <f>IF(Data!$D6=0, 0, F7/Data!$D6)</f>
        <v>0.35</v>
      </c>
      <c r="H7" s="160">
        <f>Data!I6</f>
        <v>0</v>
      </c>
      <c r="I7" s="161">
        <f>IF(Data!$D6=0, 0, H7/Data!$D6)</f>
        <v>0</v>
      </c>
      <c r="J7" s="162">
        <f>Data!J6</f>
        <v>1</v>
      </c>
      <c r="K7" s="163">
        <f>IF(Data!$D6=0, 0, J7/Data!$D6)</f>
        <v>0.05</v>
      </c>
      <c r="L7" s="160">
        <f>Data!K6</f>
        <v>2</v>
      </c>
      <c r="M7" s="164">
        <f>IF(Data!$D6=0, 0, L7/Data!$D6)</f>
        <v>0.1</v>
      </c>
      <c r="N7" s="29"/>
      <c r="O7" s="29"/>
    </row>
    <row r="8" spans="1:15" ht="12" customHeight="1">
      <c r="A8" s="29"/>
      <c r="B8" s="125" t="str">
        <f>UPPER(LEFT(TRIM(Data!B7),1)) &amp; MID(TRIM(Data!B7),2,50)</f>
        <v>Burnos ertmės ir ryklės</v>
      </c>
      <c r="C8" s="125" t="str">
        <f>Data!C7</f>
        <v>C01-C14</v>
      </c>
      <c r="D8" s="151">
        <f>Data!G7</f>
        <v>7</v>
      </c>
      <c r="E8" s="152">
        <f>IF(Data!$D7=0, 0, D8/Data!$D7)</f>
        <v>2.5735294117647058E-2</v>
      </c>
      <c r="F8" s="153">
        <f>Data!H7</f>
        <v>16</v>
      </c>
      <c r="G8" s="154">
        <f>IF(Data!$D7=0, 0, F8/Data!$D7)</f>
        <v>5.8823529411764705E-2</v>
      </c>
      <c r="H8" s="151">
        <f>Data!I7</f>
        <v>40</v>
      </c>
      <c r="I8" s="152">
        <f>IF(Data!$D7=0, 0, H8/Data!$D7)</f>
        <v>0.14705882352941177</v>
      </c>
      <c r="J8" s="153">
        <f>Data!J7</f>
        <v>128</v>
      </c>
      <c r="K8" s="154">
        <f>IF(Data!$D7=0, 0, J8/Data!$D7)</f>
        <v>0.47058823529411764</v>
      </c>
      <c r="L8" s="151">
        <f>Data!K7</f>
        <v>81</v>
      </c>
      <c r="M8" s="155">
        <f>IF(Data!$D7=0, 0, L8/Data!$D7)</f>
        <v>0.29779411764705882</v>
      </c>
      <c r="N8" s="29"/>
      <c r="O8" s="29"/>
    </row>
    <row r="9" spans="1:15" ht="12" customHeight="1">
      <c r="A9" s="29"/>
      <c r="B9" s="141" t="str">
        <f>UPPER(LEFT(TRIM(Data!B8),1)) &amp; MID(TRIM(Data!B8),2,50)</f>
        <v>Stemplės</v>
      </c>
      <c r="C9" s="141" t="str">
        <f>Data!C8</f>
        <v>C15</v>
      </c>
      <c r="D9" s="160">
        <f>Data!G8</f>
        <v>17</v>
      </c>
      <c r="E9" s="161">
        <f>IF(Data!$D8=0, 0, D9/Data!$D8)</f>
        <v>9.0425531914893623E-2</v>
      </c>
      <c r="F9" s="162">
        <f>Data!H8</f>
        <v>14</v>
      </c>
      <c r="G9" s="163">
        <f>IF(Data!$D8=0, 0, F9/Data!$D8)</f>
        <v>7.4468085106382975E-2</v>
      </c>
      <c r="H9" s="160">
        <f>Data!I8</f>
        <v>46</v>
      </c>
      <c r="I9" s="161">
        <f>IF(Data!$D8=0, 0, H9/Data!$D8)</f>
        <v>0.24468085106382978</v>
      </c>
      <c r="J9" s="162">
        <f>Data!J8</f>
        <v>39</v>
      </c>
      <c r="K9" s="163">
        <f>IF(Data!$D8=0, 0, J9/Data!$D8)</f>
        <v>0.20744680851063829</v>
      </c>
      <c r="L9" s="160">
        <f>Data!K8</f>
        <v>72</v>
      </c>
      <c r="M9" s="164">
        <f>IF(Data!$D8=0, 0, L9/Data!$D8)</f>
        <v>0.38297872340425532</v>
      </c>
      <c r="N9" s="29"/>
      <c r="O9" s="29"/>
    </row>
    <row r="10" spans="1:15" ht="12" customHeight="1">
      <c r="A10" s="29"/>
      <c r="B10" s="125" t="str">
        <f>UPPER(LEFT(TRIM(Data!B9),1)) &amp; MID(TRIM(Data!B9),2,50)</f>
        <v>Skrandžio</v>
      </c>
      <c r="C10" s="125" t="str">
        <f>Data!C9</f>
        <v>C16</v>
      </c>
      <c r="D10" s="151">
        <f>Data!G9</f>
        <v>57</v>
      </c>
      <c r="E10" s="152">
        <f>IF(Data!$D9=0, 0, D10/Data!$D9)</f>
        <v>0.12205567451820129</v>
      </c>
      <c r="F10" s="153">
        <f>Data!H9</f>
        <v>60</v>
      </c>
      <c r="G10" s="154">
        <f>IF(Data!$D9=0, 0, F10/Data!$D9)</f>
        <v>0.1284796573875803</v>
      </c>
      <c r="H10" s="151">
        <f>Data!I9</f>
        <v>59</v>
      </c>
      <c r="I10" s="152">
        <f>IF(Data!$D9=0, 0, H10/Data!$D9)</f>
        <v>0.12633832976445397</v>
      </c>
      <c r="J10" s="153">
        <f>Data!J9</f>
        <v>126</v>
      </c>
      <c r="K10" s="154">
        <f>IF(Data!$D9=0, 0, J10/Data!$D9)</f>
        <v>0.26980728051391861</v>
      </c>
      <c r="L10" s="151">
        <f>Data!K9</f>
        <v>165</v>
      </c>
      <c r="M10" s="155">
        <f>IF(Data!$D9=0, 0, L10/Data!$D9)</f>
        <v>0.35331905781584583</v>
      </c>
      <c r="N10" s="29"/>
      <c r="O10" s="29"/>
    </row>
    <row r="11" spans="1:15" ht="12" customHeight="1">
      <c r="A11" s="29"/>
      <c r="B11" s="141" t="str">
        <f>UPPER(LEFT(TRIM(Data!B10),1)) &amp; MID(TRIM(Data!B10),2,50)</f>
        <v>Gaubtinės žarnos</v>
      </c>
      <c r="C11" s="141" t="str">
        <f>Data!C10</f>
        <v>C18</v>
      </c>
      <c r="D11" s="160">
        <f>Data!G10</f>
        <v>37</v>
      </c>
      <c r="E11" s="161">
        <f>IF(Data!$D10=0, 0, D11/Data!$D10)</f>
        <v>9.1811414392059559E-2</v>
      </c>
      <c r="F11" s="162">
        <f>Data!H10</f>
        <v>124</v>
      </c>
      <c r="G11" s="163">
        <f>IF(Data!$D10=0, 0, F11/Data!$D10)</f>
        <v>0.30769230769230771</v>
      </c>
      <c r="H11" s="160">
        <f>Data!I10</f>
        <v>60</v>
      </c>
      <c r="I11" s="161">
        <f>IF(Data!$D10=0, 0, H11/Data!$D10)</f>
        <v>0.14888337468982629</v>
      </c>
      <c r="J11" s="162">
        <f>Data!J10</f>
        <v>68</v>
      </c>
      <c r="K11" s="163">
        <f>IF(Data!$D10=0, 0, J11/Data!$D10)</f>
        <v>0.16873449131513649</v>
      </c>
      <c r="L11" s="160">
        <f>Data!K10</f>
        <v>114</v>
      </c>
      <c r="M11" s="164">
        <f>IF(Data!$D10=0, 0, L11/Data!$D10)</f>
        <v>0.28287841191066998</v>
      </c>
      <c r="N11" s="29"/>
      <c r="O11" s="29"/>
    </row>
    <row r="12" spans="1:15" ht="12" customHeight="1">
      <c r="A12" s="29"/>
      <c r="B12" s="125" t="str">
        <f>UPPER(LEFT(TRIM(Data!B11),1)) &amp; MID(TRIM(Data!B11),2,50)</f>
        <v>Tiesiosios žarnos, išangės</v>
      </c>
      <c r="C12" s="125" t="str">
        <f>Data!C11</f>
        <v>C19-C21</v>
      </c>
      <c r="D12" s="151">
        <f>Data!G11</f>
        <v>46</v>
      </c>
      <c r="E12" s="152">
        <f>IF(Data!$D11=0, 0, D12/Data!$D11)</f>
        <v>0.13105413105413105</v>
      </c>
      <c r="F12" s="153">
        <f>Data!H11</f>
        <v>62</v>
      </c>
      <c r="G12" s="154">
        <f>IF(Data!$D11=0, 0, F12/Data!$D11)</f>
        <v>0.17663817663817663</v>
      </c>
      <c r="H12" s="151">
        <f>Data!I11</f>
        <v>101</v>
      </c>
      <c r="I12" s="152">
        <f>IF(Data!$D11=0, 0, H12/Data!$D11)</f>
        <v>0.28774928774928776</v>
      </c>
      <c r="J12" s="153">
        <f>Data!J11</f>
        <v>61</v>
      </c>
      <c r="K12" s="154">
        <f>IF(Data!$D11=0, 0, J12/Data!$D11)</f>
        <v>0.1737891737891738</v>
      </c>
      <c r="L12" s="151">
        <f>Data!K11</f>
        <v>81</v>
      </c>
      <c r="M12" s="155">
        <f>IF(Data!$D11=0, 0, L12/Data!$D11)</f>
        <v>0.23076923076923078</v>
      </c>
      <c r="N12" s="29"/>
      <c r="O12" s="29"/>
    </row>
    <row r="13" spans="1:15" ht="12" customHeight="1">
      <c r="A13" s="29"/>
      <c r="B13" s="141" t="str">
        <f>UPPER(LEFT(TRIM(Data!B12),1)) &amp; MID(TRIM(Data!B12),2,50)</f>
        <v>Kepenų</v>
      </c>
      <c r="C13" s="141" t="str">
        <f>Data!C12</f>
        <v>C22</v>
      </c>
      <c r="D13" s="160">
        <f>Data!G12</f>
        <v>12</v>
      </c>
      <c r="E13" s="161">
        <f>IF(Data!$D12=0, 0, D13/Data!$D12)</f>
        <v>8.7591240875912413E-2</v>
      </c>
      <c r="F13" s="162">
        <f>Data!H12</f>
        <v>16</v>
      </c>
      <c r="G13" s="163">
        <f>IF(Data!$D12=0, 0, F13/Data!$D12)</f>
        <v>0.11678832116788321</v>
      </c>
      <c r="H13" s="160">
        <f>Data!I12</f>
        <v>15</v>
      </c>
      <c r="I13" s="161">
        <f>IF(Data!$D12=0, 0, H13/Data!$D12)</f>
        <v>0.10948905109489052</v>
      </c>
      <c r="J13" s="162">
        <f>Data!J12</f>
        <v>30</v>
      </c>
      <c r="K13" s="163">
        <f>IF(Data!$D12=0, 0, J13/Data!$D12)</f>
        <v>0.21897810218978103</v>
      </c>
      <c r="L13" s="160">
        <f>Data!K12</f>
        <v>64</v>
      </c>
      <c r="M13" s="164">
        <f>IF(Data!$D12=0, 0, L13/Data!$D12)</f>
        <v>0.46715328467153283</v>
      </c>
      <c r="N13" s="29"/>
      <c r="O13" s="29"/>
    </row>
    <row r="14" spans="1:15" ht="12" customHeight="1">
      <c r="A14" s="29"/>
      <c r="B14" s="125" t="str">
        <f>UPPER(LEFT(TRIM(Data!B13),1)) &amp; MID(TRIM(Data!B13),2,50)</f>
        <v>Tulžies pūslės, ekstrahepatinių takų</v>
      </c>
      <c r="C14" s="125" t="str">
        <f>Data!C13</f>
        <v>C23, C24</v>
      </c>
      <c r="D14" s="151">
        <f>Data!G13</f>
        <v>5</v>
      </c>
      <c r="E14" s="152">
        <f>IF(Data!$D13=0, 0, D14/Data!$D13)</f>
        <v>0.10204081632653061</v>
      </c>
      <c r="F14" s="153">
        <f>Data!H13</f>
        <v>10</v>
      </c>
      <c r="G14" s="154">
        <f>IF(Data!$D13=0, 0, F14/Data!$D13)</f>
        <v>0.20408163265306123</v>
      </c>
      <c r="H14" s="151">
        <f>Data!I13</f>
        <v>5</v>
      </c>
      <c r="I14" s="152">
        <f>IF(Data!$D13=0, 0, H14/Data!$D13)</f>
        <v>0.10204081632653061</v>
      </c>
      <c r="J14" s="153">
        <f>Data!J13</f>
        <v>9</v>
      </c>
      <c r="K14" s="154">
        <f>IF(Data!$D13=0, 0, J14/Data!$D13)</f>
        <v>0.18367346938775511</v>
      </c>
      <c r="L14" s="151">
        <f>Data!K13</f>
        <v>20</v>
      </c>
      <c r="M14" s="155">
        <f>IF(Data!$D13=0, 0, L14/Data!$D13)</f>
        <v>0.40816326530612246</v>
      </c>
      <c r="N14" s="29"/>
      <c r="O14" s="29"/>
    </row>
    <row r="15" spans="1:15" ht="12" customHeight="1">
      <c r="A15" s="29"/>
      <c r="B15" s="141" t="str">
        <f>UPPER(LEFT(TRIM(Data!B14),1)) &amp; MID(TRIM(Data!B14),2,50)</f>
        <v>Kasos</v>
      </c>
      <c r="C15" s="141" t="str">
        <f>Data!C14</f>
        <v>C25</v>
      </c>
      <c r="D15" s="160">
        <f>Data!G14</f>
        <v>11</v>
      </c>
      <c r="E15" s="161">
        <f>IF(Data!$D14=0, 0, D15/Data!$D14)</f>
        <v>4.0293040293040296E-2</v>
      </c>
      <c r="F15" s="162">
        <f>Data!H14</f>
        <v>43</v>
      </c>
      <c r="G15" s="163">
        <f>IF(Data!$D14=0, 0, F15/Data!$D14)</f>
        <v>0.1575091575091575</v>
      </c>
      <c r="H15" s="160">
        <f>Data!I14</f>
        <v>18</v>
      </c>
      <c r="I15" s="161">
        <f>IF(Data!$D14=0, 0, H15/Data!$D14)</f>
        <v>6.5934065934065936E-2</v>
      </c>
      <c r="J15" s="162">
        <f>Data!J14</f>
        <v>109</v>
      </c>
      <c r="K15" s="163">
        <f>IF(Data!$D14=0, 0, J15/Data!$D14)</f>
        <v>0.39926739926739929</v>
      </c>
      <c r="L15" s="160">
        <f>Data!K14</f>
        <v>92</v>
      </c>
      <c r="M15" s="164">
        <f>IF(Data!$D14=0, 0, L15/Data!$D14)</f>
        <v>0.33699633699633702</v>
      </c>
      <c r="N15" s="29"/>
      <c r="O15" s="29"/>
    </row>
    <row r="16" spans="1:15" ht="12" customHeight="1">
      <c r="A16" s="29"/>
      <c r="B16" s="125" t="str">
        <f>UPPER(LEFT(TRIM(Data!B15),1)) &amp; MID(TRIM(Data!B15),2,50)</f>
        <v>Kitų virškinimo sistemos organų</v>
      </c>
      <c r="C16" s="125" t="str">
        <f>Data!C15</f>
        <v>C17, C26, C48</v>
      </c>
      <c r="D16" s="151">
        <f>Data!G15</f>
        <v>2</v>
      </c>
      <c r="E16" s="152">
        <f>IF(Data!$D15=0, 0, D16/Data!$D15)</f>
        <v>6.0606060606060608E-2</v>
      </c>
      <c r="F16" s="153">
        <f>Data!H15</f>
        <v>3</v>
      </c>
      <c r="G16" s="154">
        <f>IF(Data!$D15=0, 0, F16/Data!$D15)</f>
        <v>9.0909090909090912E-2</v>
      </c>
      <c r="H16" s="151">
        <f>Data!I15</f>
        <v>4</v>
      </c>
      <c r="I16" s="152">
        <f>IF(Data!$D15=0, 0, H16/Data!$D15)</f>
        <v>0.12121212121212122</v>
      </c>
      <c r="J16" s="153">
        <f>Data!J15</f>
        <v>5</v>
      </c>
      <c r="K16" s="154">
        <f>IF(Data!$D15=0, 0, J16/Data!$D15)</f>
        <v>0.15151515151515152</v>
      </c>
      <c r="L16" s="151">
        <f>Data!K15</f>
        <v>19</v>
      </c>
      <c r="M16" s="155">
        <f>IF(Data!$D15=0, 0, L16/Data!$D15)</f>
        <v>0.5757575757575758</v>
      </c>
      <c r="N16" s="29"/>
      <c r="O16" s="29"/>
    </row>
    <row r="17" spans="1:15" ht="12" customHeight="1">
      <c r="A17" s="29"/>
      <c r="B17" s="141" t="str">
        <f>UPPER(LEFT(TRIM(Data!B16),1)) &amp; MID(TRIM(Data!B16),2,50)</f>
        <v>Nosies ertmės, vid.ausies ir ančių</v>
      </c>
      <c r="C17" s="141" t="str">
        <f>Data!C16</f>
        <v>C30, C31</v>
      </c>
      <c r="D17" s="160">
        <f>Data!G16</f>
        <v>1</v>
      </c>
      <c r="E17" s="161">
        <f>IF(Data!$D16=0, 0, D17/Data!$D16)</f>
        <v>4.7619047619047616E-2</v>
      </c>
      <c r="F17" s="162">
        <f>Data!H16</f>
        <v>0</v>
      </c>
      <c r="G17" s="163">
        <f>IF(Data!$D16=0, 0, F17/Data!$D16)</f>
        <v>0</v>
      </c>
      <c r="H17" s="160">
        <f>Data!I16</f>
        <v>5</v>
      </c>
      <c r="I17" s="161">
        <f>IF(Data!$D16=0, 0, H17/Data!$D16)</f>
        <v>0.23809523809523808</v>
      </c>
      <c r="J17" s="162">
        <f>Data!J16</f>
        <v>10</v>
      </c>
      <c r="K17" s="163">
        <f>IF(Data!$D16=0, 0, J17/Data!$D16)</f>
        <v>0.47619047619047616</v>
      </c>
      <c r="L17" s="160">
        <f>Data!K16</f>
        <v>5</v>
      </c>
      <c r="M17" s="164">
        <f>IF(Data!$D16=0, 0, L17/Data!$D16)</f>
        <v>0.23809523809523808</v>
      </c>
      <c r="N17" s="29"/>
      <c r="O17" s="29"/>
    </row>
    <row r="18" spans="1:15" ht="12" customHeight="1">
      <c r="A18" s="29"/>
      <c r="B18" s="125" t="str">
        <f>UPPER(LEFT(TRIM(Data!B17),1)) &amp; MID(TRIM(Data!B17),2,50)</f>
        <v>Gerklų</v>
      </c>
      <c r="C18" s="125" t="str">
        <f>Data!C17</f>
        <v>C32</v>
      </c>
      <c r="D18" s="151">
        <f>Data!G17</f>
        <v>26</v>
      </c>
      <c r="E18" s="152">
        <f>IF(Data!$D17=0, 0, D18/Data!$D17)</f>
        <v>0.14942528735632185</v>
      </c>
      <c r="F18" s="153">
        <f>Data!H17</f>
        <v>29</v>
      </c>
      <c r="G18" s="154">
        <f>IF(Data!$D17=0, 0, F18/Data!$D17)</f>
        <v>0.16666666666666666</v>
      </c>
      <c r="H18" s="151">
        <f>Data!I17</f>
        <v>38</v>
      </c>
      <c r="I18" s="152">
        <f>IF(Data!$D17=0, 0, H18/Data!$D17)</f>
        <v>0.21839080459770116</v>
      </c>
      <c r="J18" s="153">
        <f>Data!J17</f>
        <v>48</v>
      </c>
      <c r="K18" s="154">
        <f>IF(Data!$D17=0, 0, J18/Data!$D17)</f>
        <v>0.27586206896551724</v>
      </c>
      <c r="L18" s="151">
        <f>Data!K17</f>
        <v>33</v>
      </c>
      <c r="M18" s="155">
        <f>IF(Data!$D17=0, 0, L18/Data!$D17)</f>
        <v>0.18965517241379309</v>
      </c>
      <c r="N18" s="29"/>
      <c r="O18" s="29"/>
    </row>
    <row r="19" spans="1:15" ht="12" customHeight="1">
      <c r="A19" s="29"/>
      <c r="B19" s="141" t="str">
        <f>UPPER(LEFT(TRIM(Data!B18),1)) &amp; MID(TRIM(Data!B18),2,50)</f>
        <v>Plaučių, trachėjos, bronchų</v>
      </c>
      <c r="C19" s="141" t="str">
        <f>Data!C18</f>
        <v>C33, C34</v>
      </c>
      <c r="D19" s="160">
        <f>Data!G18</f>
        <v>51</v>
      </c>
      <c r="E19" s="161">
        <f>IF(Data!$D18=0, 0, D19/Data!$D18)</f>
        <v>4.336734693877551E-2</v>
      </c>
      <c r="F19" s="162">
        <f>Data!H18</f>
        <v>107</v>
      </c>
      <c r="G19" s="163">
        <f>IF(Data!$D18=0, 0, F19/Data!$D18)</f>
        <v>9.0986394557823133E-2</v>
      </c>
      <c r="H19" s="160">
        <f>Data!I18</f>
        <v>230</v>
      </c>
      <c r="I19" s="161">
        <f>IF(Data!$D18=0, 0, H19/Data!$D18)</f>
        <v>0.195578231292517</v>
      </c>
      <c r="J19" s="162">
        <f>Data!J18</f>
        <v>320</v>
      </c>
      <c r="K19" s="163">
        <f>IF(Data!$D18=0, 0, J19/Data!$D18)</f>
        <v>0.27210884353741499</v>
      </c>
      <c r="L19" s="160">
        <f>Data!K18</f>
        <v>468</v>
      </c>
      <c r="M19" s="164">
        <f>IF(Data!$D18=0, 0, L19/Data!$D18)</f>
        <v>0.39795918367346939</v>
      </c>
      <c r="N19" s="29"/>
      <c r="O19" s="29"/>
    </row>
    <row r="20" spans="1:15" ht="12" customHeight="1">
      <c r="A20" s="29"/>
      <c r="B20" s="125" t="str">
        <f>UPPER(LEFT(TRIM(Data!B19),1)) &amp; MID(TRIM(Data!B19),2,50)</f>
        <v>Kitų kvėpavimo sistemos organų</v>
      </c>
      <c r="C20" s="125" t="str">
        <f>Data!C19</f>
        <v>C37-C39</v>
      </c>
      <c r="D20" s="151">
        <f>Data!G19</f>
        <v>0</v>
      </c>
      <c r="E20" s="152">
        <f>IF(Data!$D19=0, 0, D20/Data!$D19)</f>
        <v>0</v>
      </c>
      <c r="F20" s="153">
        <f>Data!H19</f>
        <v>1</v>
      </c>
      <c r="G20" s="154">
        <f>IF(Data!$D19=0, 0, F20/Data!$D19)</f>
        <v>9.0909090909090912E-2</v>
      </c>
      <c r="H20" s="151">
        <f>Data!I19</f>
        <v>2</v>
      </c>
      <c r="I20" s="152">
        <f>IF(Data!$D19=0, 0, H20/Data!$D19)</f>
        <v>0.18181818181818182</v>
      </c>
      <c r="J20" s="153">
        <f>Data!J19</f>
        <v>2</v>
      </c>
      <c r="K20" s="154">
        <f>IF(Data!$D19=0, 0, J20/Data!$D19)</f>
        <v>0.18181818181818182</v>
      </c>
      <c r="L20" s="151">
        <f>Data!K19</f>
        <v>6</v>
      </c>
      <c r="M20" s="155">
        <f>IF(Data!$D19=0, 0, L20/Data!$D19)</f>
        <v>0.54545454545454541</v>
      </c>
      <c r="N20" s="29"/>
      <c r="O20" s="29"/>
    </row>
    <row r="21" spans="1:15" ht="12" customHeight="1">
      <c r="A21" s="29"/>
      <c r="B21" s="141" t="str">
        <f>UPPER(LEFT(TRIM(Data!B20),1)) &amp; MID(TRIM(Data!B20),2,50)</f>
        <v>Kaulų ir jungiamojo audinio</v>
      </c>
      <c r="C21" s="141" t="str">
        <f>Data!C20</f>
        <v>C40-C41, C45-C47, C49</v>
      </c>
      <c r="D21" s="160">
        <f>Data!G20</f>
        <v>18</v>
      </c>
      <c r="E21" s="161">
        <f>IF(Data!$D20=0, 0, D21/Data!$D20)</f>
        <v>0.29032258064516131</v>
      </c>
      <c r="F21" s="162">
        <f>Data!H20</f>
        <v>10</v>
      </c>
      <c r="G21" s="163">
        <f>IF(Data!$D20=0, 0, F21/Data!$D20)</f>
        <v>0.16129032258064516</v>
      </c>
      <c r="H21" s="160">
        <f>Data!I20</f>
        <v>3</v>
      </c>
      <c r="I21" s="161">
        <f>IF(Data!$D20=0, 0, H21/Data!$D20)</f>
        <v>4.8387096774193547E-2</v>
      </c>
      <c r="J21" s="162">
        <f>Data!J20</f>
        <v>7</v>
      </c>
      <c r="K21" s="163">
        <f>IF(Data!$D20=0, 0, J21/Data!$D20)</f>
        <v>0.11290322580645161</v>
      </c>
      <c r="L21" s="160">
        <f>Data!K20</f>
        <v>24</v>
      </c>
      <c r="M21" s="164">
        <f>IF(Data!$D20=0, 0, L21/Data!$D20)</f>
        <v>0.38709677419354838</v>
      </c>
      <c r="N21" s="29"/>
      <c r="O21" s="29"/>
    </row>
    <row r="22" spans="1:15" ht="12" customHeight="1">
      <c r="A22" s="29"/>
      <c r="B22" s="125" t="str">
        <f>UPPER(LEFT(TRIM(Data!B21),1)) &amp; MID(TRIM(Data!B21),2,50)</f>
        <v>Odos melanoma</v>
      </c>
      <c r="C22" s="125" t="str">
        <f>Data!C21</f>
        <v>C43</v>
      </c>
      <c r="D22" s="151">
        <f>Data!G21</f>
        <v>46</v>
      </c>
      <c r="E22" s="152">
        <f>IF(Data!$D21=0, 0, D22/Data!$D21)</f>
        <v>0.42592592592592593</v>
      </c>
      <c r="F22" s="153">
        <f>Data!H21</f>
        <v>30</v>
      </c>
      <c r="G22" s="154">
        <f>IF(Data!$D21=0, 0, F22/Data!$D21)</f>
        <v>0.27777777777777779</v>
      </c>
      <c r="H22" s="151">
        <f>Data!I21</f>
        <v>11</v>
      </c>
      <c r="I22" s="152">
        <f>IF(Data!$D21=0, 0, H22/Data!$D21)</f>
        <v>0.10185185185185185</v>
      </c>
      <c r="J22" s="153">
        <f>Data!J21</f>
        <v>6</v>
      </c>
      <c r="K22" s="154">
        <f>IF(Data!$D21=0, 0, J22/Data!$D21)</f>
        <v>5.5555555555555552E-2</v>
      </c>
      <c r="L22" s="151">
        <f>Data!K21</f>
        <v>15</v>
      </c>
      <c r="M22" s="155">
        <f>IF(Data!$D21=0, 0, L22/Data!$D21)</f>
        <v>0.1388888888888889</v>
      </c>
      <c r="N22" s="29"/>
      <c r="O22" s="29"/>
    </row>
    <row r="23" spans="1:15" ht="12" customHeight="1">
      <c r="A23" s="29"/>
      <c r="B23" s="141" t="str">
        <f>UPPER(LEFT(TRIM(Data!B22),1)) &amp; MID(TRIM(Data!B22),2,50)</f>
        <v>Kiti odos piktybiniai navikai</v>
      </c>
      <c r="C23" s="141" t="str">
        <f>Data!C22</f>
        <v>C44</v>
      </c>
      <c r="D23" s="160">
        <f>Data!G22</f>
        <v>555</v>
      </c>
      <c r="E23" s="161">
        <f>IF(Data!$D22=0, 0, D23/Data!$D22)</f>
        <v>0.64013840830449831</v>
      </c>
      <c r="F23" s="162">
        <f>Data!H22</f>
        <v>247</v>
      </c>
      <c r="G23" s="163">
        <f>IF(Data!$D22=0, 0, F23/Data!$D22)</f>
        <v>0.28489042675893889</v>
      </c>
      <c r="H23" s="160">
        <f>Data!I22</f>
        <v>5</v>
      </c>
      <c r="I23" s="161">
        <f>IF(Data!$D22=0, 0, H23/Data!$D22)</f>
        <v>5.7670126874279125E-3</v>
      </c>
      <c r="J23" s="162">
        <f>Data!J22</f>
        <v>6</v>
      </c>
      <c r="K23" s="163">
        <f>IF(Data!$D22=0, 0, J23/Data!$D22)</f>
        <v>6.920415224913495E-3</v>
      </c>
      <c r="L23" s="160">
        <f>Data!K22</f>
        <v>54</v>
      </c>
      <c r="M23" s="164">
        <f>IF(Data!$D22=0, 0, L23/Data!$D22)</f>
        <v>6.228373702422145E-2</v>
      </c>
      <c r="N23" s="29"/>
      <c r="O23" s="29"/>
    </row>
    <row r="24" spans="1:15" ht="12" customHeight="1">
      <c r="A24" s="29"/>
      <c r="B24" s="125" t="str">
        <f>UPPER(LEFT(TRIM(Data!B23),1)) &amp; MID(TRIM(Data!B23),2,50)</f>
        <v>Krūties</v>
      </c>
      <c r="C24" s="125" t="str">
        <f>Data!C23</f>
        <v>C50</v>
      </c>
      <c r="D24" s="151">
        <f>Data!G23</f>
        <v>4</v>
      </c>
      <c r="E24" s="152">
        <f>IF(Data!$D23=0, 0, D24/Data!$D23)</f>
        <v>0.2857142857142857</v>
      </c>
      <c r="F24" s="153">
        <f>Data!H23</f>
        <v>7</v>
      </c>
      <c r="G24" s="154">
        <f>IF(Data!$D23=0, 0, F24/Data!$D23)</f>
        <v>0.5</v>
      </c>
      <c r="H24" s="151">
        <f>Data!I23</f>
        <v>1</v>
      </c>
      <c r="I24" s="152">
        <f>IF(Data!$D23=0, 0, H24/Data!$D23)</f>
        <v>7.1428571428571425E-2</v>
      </c>
      <c r="J24" s="153">
        <f>Data!J23</f>
        <v>1</v>
      </c>
      <c r="K24" s="154">
        <f>IF(Data!$D23=0, 0, J24/Data!$D23)</f>
        <v>7.1428571428571425E-2</v>
      </c>
      <c r="L24" s="151">
        <f>Data!K23</f>
        <v>1</v>
      </c>
      <c r="M24" s="155">
        <f>IF(Data!$D23=0, 0, L24/Data!$D23)</f>
        <v>7.1428571428571425E-2</v>
      </c>
      <c r="N24" s="29"/>
      <c r="O24" s="29"/>
    </row>
    <row r="25" spans="1:15" ht="12" customHeight="1">
      <c r="A25" s="29"/>
      <c r="B25" s="141" t="str">
        <f>UPPER(LEFT(TRIM(Data!B28),1)) &amp; MID(TRIM(Data!B28),2,50)</f>
        <v>Priešinės liaukos</v>
      </c>
      <c r="C25" s="141" t="str">
        <f>Data!C28</f>
        <v>C61</v>
      </c>
      <c r="D25" s="160">
        <f>Data!G28</f>
        <v>622</v>
      </c>
      <c r="E25" s="161">
        <f>IF(Data!$D28=0, 0, D25/Data!$D28)</f>
        <v>0.19256965944272444</v>
      </c>
      <c r="F25" s="162">
        <f>Data!H28</f>
        <v>921</v>
      </c>
      <c r="G25" s="163">
        <f>IF(Data!$D28=0, 0, F25/Data!$D28)</f>
        <v>0.28513931888544891</v>
      </c>
      <c r="H25" s="160">
        <f>Data!I28</f>
        <v>515</v>
      </c>
      <c r="I25" s="161">
        <f>IF(Data!$D28=0, 0, H25/Data!$D28)</f>
        <v>0.15944272445820434</v>
      </c>
      <c r="J25" s="162">
        <f>Data!J28</f>
        <v>98</v>
      </c>
      <c r="K25" s="163">
        <f>IF(Data!$D28=0, 0, J25/Data!$D28)</f>
        <v>3.0340557275541795E-2</v>
      </c>
      <c r="L25" s="160">
        <f>Data!K28</f>
        <v>1074</v>
      </c>
      <c r="M25" s="164">
        <f>IF(Data!$D28=0, 0, L25/Data!$D28)</f>
        <v>0.33250773993808047</v>
      </c>
      <c r="N25" s="29"/>
      <c r="O25" s="29"/>
    </row>
    <row r="26" spans="1:15" ht="12" customHeight="1">
      <c r="A26" s="29"/>
      <c r="B26" s="125" t="str">
        <f>UPPER(LEFT(TRIM(Data!B29),1)) &amp; MID(TRIM(Data!B29),2,50)</f>
        <v>Sėklidžių</v>
      </c>
      <c r="C26" s="125" t="str">
        <f>Data!C29</f>
        <v>C62</v>
      </c>
      <c r="D26" s="151">
        <f>Data!G29</f>
        <v>24</v>
      </c>
      <c r="E26" s="152">
        <f>IF(Data!$D29=0, 0, D26/Data!$D29)</f>
        <v>0.77419354838709675</v>
      </c>
      <c r="F26" s="153">
        <f>Data!H29</f>
        <v>2</v>
      </c>
      <c r="G26" s="154">
        <f>IF(Data!$D29=0, 0, F26/Data!$D29)</f>
        <v>6.4516129032258063E-2</v>
      </c>
      <c r="H26" s="151">
        <f>Data!I29</f>
        <v>3</v>
      </c>
      <c r="I26" s="152">
        <f>IF(Data!$D29=0, 0, H26/Data!$D29)</f>
        <v>9.6774193548387094E-2</v>
      </c>
      <c r="J26" s="153">
        <f>Data!J29</f>
        <v>1</v>
      </c>
      <c r="K26" s="154">
        <f>IF(Data!$D29=0, 0, J26/Data!$D29)</f>
        <v>3.2258064516129031E-2</v>
      </c>
      <c r="L26" s="151">
        <f>Data!K29</f>
        <v>1</v>
      </c>
      <c r="M26" s="155">
        <f>IF(Data!$D29=0, 0, L26/Data!$D29)</f>
        <v>3.2258064516129031E-2</v>
      </c>
      <c r="N26" s="29"/>
      <c r="O26" s="29"/>
    </row>
    <row r="27" spans="1:15" ht="12" customHeight="1">
      <c r="A27" s="29"/>
      <c r="B27" s="141" t="str">
        <f>UPPER(LEFT(TRIM(Data!B30),1)) &amp; MID(TRIM(Data!B30),2,50)</f>
        <v>Kitų lyties organų</v>
      </c>
      <c r="C27" s="141" t="s">
        <v>417</v>
      </c>
      <c r="D27" s="160">
        <f>Data!G30</f>
        <v>7</v>
      </c>
      <c r="E27" s="161">
        <f>IF(Data!$D30=0, 0, D27/Data!$D30)</f>
        <v>0.33333333333333331</v>
      </c>
      <c r="F27" s="162">
        <f>Data!H30</f>
        <v>9</v>
      </c>
      <c r="G27" s="163">
        <f>IF(Data!$D30=0, 0, F27/Data!$D30)</f>
        <v>0.42857142857142855</v>
      </c>
      <c r="H27" s="160">
        <f>Data!I30</f>
        <v>1</v>
      </c>
      <c r="I27" s="161">
        <f>IF(Data!$D30=0, 0, H27/Data!$D30)</f>
        <v>4.7619047619047616E-2</v>
      </c>
      <c r="J27" s="162">
        <f>Data!J30</f>
        <v>0</v>
      </c>
      <c r="K27" s="163">
        <f>IF(Data!$D30=0, 0, J27/Data!$D30)</f>
        <v>0</v>
      </c>
      <c r="L27" s="160">
        <f>Data!K30</f>
        <v>4</v>
      </c>
      <c r="M27" s="164">
        <f>IF(Data!$D30=0, 0, L27/Data!$D30)</f>
        <v>0.19047619047619047</v>
      </c>
      <c r="N27" s="29"/>
      <c r="O27" s="29"/>
    </row>
    <row r="28" spans="1:15" ht="12" customHeight="1">
      <c r="A28" s="29"/>
      <c r="B28" s="125" t="str">
        <f>UPPER(LEFT(TRIM(Data!B31),1)) &amp; MID(TRIM(Data!B31),2,50)</f>
        <v>Inkstų</v>
      </c>
      <c r="C28" s="125" t="str">
        <f>Data!C31</f>
        <v>C64</v>
      </c>
      <c r="D28" s="151">
        <f>Data!G31</f>
        <v>150</v>
      </c>
      <c r="E28" s="152">
        <f>IF(Data!$D31=0, 0, D28/Data!$D31)</f>
        <v>0.35629453681710216</v>
      </c>
      <c r="F28" s="153">
        <f>Data!H31</f>
        <v>25</v>
      </c>
      <c r="G28" s="154">
        <f>IF(Data!$D31=0, 0, F28/Data!$D31)</f>
        <v>5.9382422802850353E-2</v>
      </c>
      <c r="H28" s="151">
        <f>Data!I31</f>
        <v>91</v>
      </c>
      <c r="I28" s="152">
        <f>IF(Data!$D31=0, 0, H28/Data!$D31)</f>
        <v>0.2161520190023753</v>
      </c>
      <c r="J28" s="153">
        <f>Data!J31</f>
        <v>79</v>
      </c>
      <c r="K28" s="154">
        <f>IF(Data!$D31=0, 0, J28/Data!$D31)</f>
        <v>0.18764845605700711</v>
      </c>
      <c r="L28" s="151">
        <f>Data!K31</f>
        <v>76</v>
      </c>
      <c r="M28" s="155">
        <f>IF(Data!$D31=0, 0, L28/Data!$D31)</f>
        <v>0.18052256532066507</v>
      </c>
      <c r="N28" s="29"/>
      <c r="O28" s="29"/>
    </row>
    <row r="29" spans="1:15" ht="12" customHeight="1">
      <c r="A29" s="29"/>
      <c r="B29" s="141" t="str">
        <f>UPPER(LEFT(TRIM(Data!B32),1)) &amp; MID(TRIM(Data!B32),2,50)</f>
        <v>Šlapimo pūslės</v>
      </c>
      <c r="C29" s="141" t="str">
        <f>Data!C32</f>
        <v>C67</v>
      </c>
      <c r="D29" s="160">
        <f>Data!G32</f>
        <v>133</v>
      </c>
      <c r="E29" s="161">
        <f>IF(Data!$D32=0, 0, D29/Data!$D32)</f>
        <v>0.4889705882352941</v>
      </c>
      <c r="F29" s="162">
        <f>Data!H32</f>
        <v>56</v>
      </c>
      <c r="G29" s="163">
        <f>IF(Data!$D32=0, 0, F29/Data!$D32)</f>
        <v>0.20588235294117646</v>
      </c>
      <c r="H29" s="160">
        <f>Data!I32</f>
        <v>13</v>
      </c>
      <c r="I29" s="161">
        <f>IF(Data!$D32=0, 0, H29/Data!$D32)</f>
        <v>4.779411764705882E-2</v>
      </c>
      <c r="J29" s="162">
        <f>Data!J32</f>
        <v>21</v>
      </c>
      <c r="K29" s="163">
        <f>IF(Data!$D32=0, 0, J29/Data!$D32)</f>
        <v>7.720588235294118E-2</v>
      </c>
      <c r="L29" s="160">
        <f>Data!K32</f>
        <v>49</v>
      </c>
      <c r="M29" s="164">
        <f>IF(Data!$D32=0, 0, L29/Data!$D32)</f>
        <v>0.18014705882352941</v>
      </c>
      <c r="N29" s="29"/>
      <c r="O29" s="29"/>
    </row>
    <row r="30" spans="1:15" ht="12" customHeight="1">
      <c r="A30" s="29"/>
      <c r="B30" s="125" t="str">
        <f>UPPER(LEFT(TRIM(Data!B33),1)) &amp; MID(TRIM(Data!B33),2,50)</f>
        <v>Kitų šlapimą išskiriančių organų</v>
      </c>
      <c r="C30" s="125" t="str">
        <f>Data!C33</f>
        <v>C65, C66, C68</v>
      </c>
      <c r="D30" s="151">
        <f>Data!G33</f>
        <v>2</v>
      </c>
      <c r="E30" s="152">
        <f>IF(Data!$D33=0, 0, D30/Data!$D33)</f>
        <v>0.1111111111111111</v>
      </c>
      <c r="F30" s="153">
        <f>Data!H33</f>
        <v>2</v>
      </c>
      <c r="G30" s="154">
        <f>IF(Data!$D33=0, 0, F30/Data!$D33)</f>
        <v>0.1111111111111111</v>
      </c>
      <c r="H30" s="151">
        <f>Data!I33</f>
        <v>5</v>
      </c>
      <c r="I30" s="152">
        <f>IF(Data!$D33=0, 0, H30/Data!$D33)</f>
        <v>0.27777777777777779</v>
      </c>
      <c r="J30" s="153">
        <f>Data!J33</f>
        <v>6</v>
      </c>
      <c r="K30" s="154">
        <f>IF(Data!$D33=0, 0, J30/Data!$D33)</f>
        <v>0.33333333333333331</v>
      </c>
      <c r="L30" s="151">
        <f>Data!K33</f>
        <v>3</v>
      </c>
      <c r="M30" s="155">
        <f>IF(Data!$D33=0, 0, L30/Data!$D33)</f>
        <v>0.16666666666666666</v>
      </c>
      <c r="N30" s="29"/>
      <c r="O30" s="29"/>
    </row>
    <row r="31" spans="1:15" ht="12" customHeight="1">
      <c r="A31" s="29"/>
      <c r="B31" s="141" t="str">
        <f>UPPER(LEFT(TRIM(Data!B34),1)) &amp; MID(TRIM(Data!B34),2,50)</f>
        <v>Akių</v>
      </c>
      <c r="C31" s="141" t="str">
        <f>Data!C34</f>
        <v>C69</v>
      </c>
      <c r="D31" s="160">
        <f>Data!G34</f>
        <v>2</v>
      </c>
      <c r="E31" s="161">
        <f>IF(Data!$D34=0, 0, D31/Data!$D34)</f>
        <v>0.2</v>
      </c>
      <c r="F31" s="162">
        <f>Data!H34</f>
        <v>2</v>
      </c>
      <c r="G31" s="163">
        <f>IF(Data!$D34=0, 0, F31/Data!$D34)</f>
        <v>0.2</v>
      </c>
      <c r="H31" s="160">
        <f>Data!I34</f>
        <v>3</v>
      </c>
      <c r="I31" s="161">
        <f>IF(Data!$D34=0, 0, H31/Data!$D34)</f>
        <v>0.3</v>
      </c>
      <c r="J31" s="162">
        <f>Data!J34</f>
        <v>1</v>
      </c>
      <c r="K31" s="163">
        <f>IF(Data!$D34=0, 0, J31/Data!$D34)</f>
        <v>0.1</v>
      </c>
      <c r="L31" s="160">
        <f>Data!K34</f>
        <v>2</v>
      </c>
      <c r="M31" s="164">
        <f>IF(Data!$D34=0, 0, L31/Data!$D34)</f>
        <v>0.2</v>
      </c>
      <c r="N31" s="29"/>
      <c r="O31" s="29"/>
    </row>
    <row r="32" spans="1:15" ht="12" customHeight="1">
      <c r="A32" s="29"/>
      <c r="B32" s="125" t="str">
        <f>UPPER(LEFT(TRIM(Data!B35),1)) &amp; MID(TRIM(Data!B35),2,50)</f>
        <v>Smegenų</v>
      </c>
      <c r="C32" s="125" t="str">
        <f>Data!C35</f>
        <v>C70-C72</v>
      </c>
      <c r="D32" s="151">
        <f>Data!G35</f>
        <v>0</v>
      </c>
      <c r="E32" s="152">
        <f>IF(Data!$D35=0, 0, D32/Data!$D35)</f>
        <v>0</v>
      </c>
      <c r="F32" s="153">
        <f>Data!H35</f>
        <v>0</v>
      </c>
      <c r="G32" s="154">
        <f>IF(Data!$D35=0, 0, F32/Data!$D35)</f>
        <v>0</v>
      </c>
      <c r="H32" s="151">
        <f>Data!I35</f>
        <v>0</v>
      </c>
      <c r="I32" s="152">
        <f>IF(Data!$D35=0, 0, H32/Data!$D35)</f>
        <v>0</v>
      </c>
      <c r="J32" s="153">
        <f>Data!J35</f>
        <v>0</v>
      </c>
      <c r="K32" s="154">
        <f>IF(Data!$D35=0, 0, J32/Data!$D35)</f>
        <v>0</v>
      </c>
      <c r="L32" s="151">
        <f>Data!K35</f>
        <v>146</v>
      </c>
      <c r="M32" s="155">
        <f>IF(Data!$D35=0, 0, L32/Data!$D35)</f>
        <v>1</v>
      </c>
      <c r="N32" s="29"/>
      <c r="O32" s="29"/>
    </row>
    <row r="33" spans="1:15" ht="12" customHeight="1">
      <c r="A33" s="29"/>
      <c r="B33" s="141" t="str">
        <f>UPPER(LEFT(TRIM(Data!B36),1)) &amp; MID(TRIM(Data!B36),2,50)</f>
        <v>Skydliaukės</v>
      </c>
      <c r="C33" s="141" t="str">
        <f>Data!C36</f>
        <v>C73</v>
      </c>
      <c r="D33" s="160">
        <f>Data!G36</f>
        <v>28</v>
      </c>
      <c r="E33" s="161">
        <f>IF(Data!$D36=0, 0, D33/Data!$D36)</f>
        <v>0.52830188679245282</v>
      </c>
      <c r="F33" s="162">
        <f>Data!H36</f>
        <v>5</v>
      </c>
      <c r="G33" s="163">
        <f>IF(Data!$D36=0, 0, F33/Data!$D36)</f>
        <v>9.4339622641509441E-2</v>
      </c>
      <c r="H33" s="160">
        <f>Data!I36</f>
        <v>13</v>
      </c>
      <c r="I33" s="161">
        <f>IF(Data!$D36=0, 0, H33/Data!$D36)</f>
        <v>0.24528301886792453</v>
      </c>
      <c r="J33" s="162">
        <f>Data!J36</f>
        <v>6</v>
      </c>
      <c r="K33" s="163">
        <f>IF(Data!$D36=0, 0, J33/Data!$D36)</f>
        <v>0.11320754716981132</v>
      </c>
      <c r="L33" s="160">
        <f>Data!K36</f>
        <v>1</v>
      </c>
      <c r="M33" s="164">
        <f>IF(Data!$D36=0, 0, L33/Data!$D36)</f>
        <v>1.8867924528301886E-2</v>
      </c>
      <c r="N33" s="29"/>
      <c r="O33" s="29"/>
    </row>
    <row r="34" spans="1:15" ht="12" customHeight="1">
      <c r="A34" s="29"/>
      <c r="B34" s="125" t="str">
        <f>UPPER(LEFT(TRIM(Data!B37),1)) &amp; MID(TRIM(Data!B37),2,50)</f>
        <v>Kitų endokrininių liaukų</v>
      </c>
      <c r="C34" s="125" t="str">
        <f>Data!C37</f>
        <v>C74-C75</v>
      </c>
      <c r="D34" s="151">
        <f>Data!G37</f>
        <v>0</v>
      </c>
      <c r="E34" s="152">
        <f>IF(Data!$D37=0, 0, D34/Data!$D37)</f>
        <v>0</v>
      </c>
      <c r="F34" s="153">
        <f>Data!H37</f>
        <v>0</v>
      </c>
      <c r="G34" s="154">
        <f>IF(Data!$D37=0, 0, F34/Data!$D37)</f>
        <v>0</v>
      </c>
      <c r="H34" s="151">
        <f>Data!I37</f>
        <v>0</v>
      </c>
      <c r="I34" s="152">
        <f>IF(Data!$D37=0, 0, H34/Data!$D37)</f>
        <v>0</v>
      </c>
      <c r="J34" s="153">
        <f>Data!J37</f>
        <v>3</v>
      </c>
      <c r="K34" s="154">
        <f>IF(Data!$D37=0, 0, J34/Data!$D37)</f>
        <v>0.33333333333333331</v>
      </c>
      <c r="L34" s="151">
        <f>Data!K37</f>
        <v>6</v>
      </c>
      <c r="M34" s="155">
        <f>IF(Data!$D37=0, 0, L34/Data!$D37)</f>
        <v>0.66666666666666663</v>
      </c>
      <c r="N34" s="29"/>
      <c r="O34" s="29"/>
    </row>
    <row r="35" spans="1:15" ht="12" customHeight="1">
      <c r="A35" s="29"/>
      <c r="B35" s="141" t="str">
        <f>UPPER(LEFT(TRIM(Data!B38),1)) &amp; MID(TRIM(Data!B38),2,50)</f>
        <v>Nepatikslintos lokalizacijos</v>
      </c>
      <c r="C35" s="141" t="str">
        <f>Data!C38</f>
        <v>C76-C80</v>
      </c>
      <c r="D35" s="160">
        <f>Data!G38</f>
        <v>0</v>
      </c>
      <c r="E35" s="161">
        <f>IF(Data!$D38=0, 0, D35/Data!$D38)</f>
        <v>0</v>
      </c>
      <c r="F35" s="162">
        <f>Data!H38</f>
        <v>0</v>
      </c>
      <c r="G35" s="163">
        <f>IF(Data!$D38=0, 0, F35/Data!$D38)</f>
        <v>0</v>
      </c>
      <c r="H35" s="160">
        <f>Data!I38</f>
        <v>0</v>
      </c>
      <c r="I35" s="161">
        <f>IF(Data!$D38=0, 0, H35/Data!$D38)</f>
        <v>0</v>
      </c>
      <c r="J35" s="162">
        <f>Data!J38</f>
        <v>113</v>
      </c>
      <c r="K35" s="163">
        <f>IF(Data!$D38=0, 0, J35/Data!$D38)</f>
        <v>0.48290598290598291</v>
      </c>
      <c r="L35" s="160">
        <f>Data!K38</f>
        <v>121</v>
      </c>
      <c r="M35" s="164">
        <f>IF(Data!$D38=0, 0, L35/Data!$D38)</f>
        <v>0.51709401709401714</v>
      </c>
      <c r="N35" s="29"/>
      <c r="O35" s="29"/>
    </row>
    <row r="36" spans="1:15" ht="6" customHeight="1">
      <c r="A36" s="29"/>
      <c r="B36" s="29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</row>
    <row r="37" spans="1:15" ht="6" customHeight="1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</row>
    <row r="38" spans="1:15" ht="6" customHeight="1"/>
    <row r="39" spans="1:15" ht="6" customHeight="1"/>
    <row r="40" spans="1:15" ht="6" customHeight="1"/>
    <row r="41" spans="1:15" ht="6" customHeight="1"/>
    <row r="42" spans="1:15" ht="6" customHeight="1"/>
    <row r="43" spans="1:15" ht="6" customHeight="1"/>
    <row r="44" spans="1:15" ht="6" customHeight="1"/>
    <row r="45" spans="1:15" ht="6" customHeight="1"/>
    <row r="46" spans="1:15" ht="6" customHeight="1"/>
    <row r="47" spans="1:15" ht="6" customHeight="1"/>
    <row r="48" spans="1:15" ht="6" customHeight="1"/>
    <row r="49" ht="6" customHeight="1"/>
    <row r="50" ht="6" customHeight="1"/>
    <row r="51" ht="6" customHeight="1"/>
    <row r="52" ht="6" customHeight="1"/>
    <row r="53" ht="6" customHeight="1"/>
    <row r="54" ht="6" customHeight="1"/>
    <row r="55" ht="6" customHeight="1"/>
    <row r="56" ht="6" customHeight="1"/>
    <row r="57" ht="6" customHeight="1"/>
    <row r="58" ht="6" customHeight="1"/>
    <row r="59" ht="6" customHeight="1"/>
    <row r="60" ht="6" customHeight="1"/>
    <row r="61" ht="6" customHeight="1"/>
    <row r="62" ht="6" customHeight="1"/>
    <row r="63" ht="6" customHeight="1"/>
    <row r="64" ht="6" customHeight="1"/>
    <row r="65" ht="6" customHeight="1"/>
  </sheetData>
  <mergeCells count="7">
    <mergeCell ref="B4:B5"/>
    <mergeCell ref="C4:C5"/>
    <mergeCell ref="J4:K4"/>
    <mergeCell ref="L4:M4"/>
    <mergeCell ref="D4:E4"/>
    <mergeCell ref="F4:G4"/>
    <mergeCell ref="H4:I4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  <ignoredErrors>
    <ignoredError sqref="L6 J6 F6 D6 H6 F7:F8 H7 J7 L7 F9:F24 H8:H24 J8:J24 L8:L24 F25:F35 H25:H35 J25:J35 L25:L35" 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>
    <tabColor theme="6" tint="0.39997558519241921"/>
  </sheetPr>
  <dimension ref="A1:O39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33.7109375" customWidth="1"/>
    <col min="4" max="13" width="10.5703125" customWidth="1"/>
    <col min="14" max="20" width="0.85546875" customWidth="1"/>
    <col min="21" max="39" width="1.7109375" customWidth="1"/>
  </cols>
  <sheetData>
    <row r="1" spans="1:15" ht="15">
      <c r="A1" s="64"/>
      <c r="B1" s="507" t="s">
        <v>403</v>
      </c>
      <c r="C1" s="520"/>
      <c r="D1" s="520"/>
      <c r="E1" s="520"/>
      <c r="F1" s="64"/>
      <c r="G1" s="64"/>
      <c r="H1" s="64"/>
      <c r="I1" s="64"/>
      <c r="J1" s="64"/>
      <c r="K1" s="64"/>
      <c r="L1" s="64"/>
      <c r="M1" s="64"/>
      <c r="N1" s="64"/>
      <c r="O1" s="64"/>
    </row>
    <row r="2" spans="1:15">
      <c r="A2" s="64"/>
      <c r="B2" s="508" t="str">
        <f>"Susirgimai piktybiniais navikais pagal diagnozuoto susirgimo stadijas (TNM sistema)  " &amp; GrafikaiSerg!A1 &amp; " m. Moterys."</f>
        <v>Susirgimai piktybiniais navikais pagal diagnozuoto susirgimo stadijas (TNM sistema)  2014 m. Moterys.</v>
      </c>
      <c r="C2" s="508"/>
      <c r="D2" s="510"/>
      <c r="E2" s="520"/>
      <c r="F2" s="64"/>
      <c r="G2" s="64"/>
      <c r="H2" s="64"/>
      <c r="I2" s="64"/>
      <c r="J2" s="64"/>
      <c r="K2" s="64"/>
      <c r="L2" s="64"/>
      <c r="M2" s="64"/>
      <c r="N2" s="64"/>
      <c r="O2" s="64"/>
    </row>
    <row r="3" spans="1:15">
      <c r="A3" s="64"/>
      <c r="B3" s="68" t="s">
        <v>620</v>
      </c>
      <c r="C3" s="67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</row>
    <row r="4" spans="1:15" ht="12.95" customHeight="1">
      <c r="A4" s="64"/>
      <c r="B4" s="425" t="s">
        <v>243</v>
      </c>
      <c r="C4" s="427" t="s">
        <v>244</v>
      </c>
      <c r="D4" s="431" t="s">
        <v>238</v>
      </c>
      <c r="E4" s="433"/>
      <c r="F4" s="429" t="s">
        <v>239</v>
      </c>
      <c r="G4" s="430"/>
      <c r="H4" s="431" t="s">
        <v>240</v>
      </c>
      <c r="I4" s="433"/>
      <c r="J4" s="429" t="s">
        <v>241</v>
      </c>
      <c r="K4" s="430"/>
      <c r="L4" s="431" t="s">
        <v>242</v>
      </c>
      <c r="M4" s="432"/>
      <c r="N4" s="64"/>
      <c r="O4" s="64"/>
    </row>
    <row r="5" spans="1:15" ht="12.95" customHeight="1" thickBot="1">
      <c r="A5" s="64"/>
      <c r="B5" s="426"/>
      <c r="C5" s="428"/>
      <c r="D5" s="156" t="s">
        <v>245</v>
      </c>
      <c r="E5" s="157" t="s">
        <v>246</v>
      </c>
      <c r="F5" s="158" t="s">
        <v>245</v>
      </c>
      <c r="G5" s="159" t="s">
        <v>246</v>
      </c>
      <c r="H5" s="156" t="s">
        <v>245</v>
      </c>
      <c r="I5" s="157" t="s">
        <v>246</v>
      </c>
      <c r="J5" s="158" t="s">
        <v>245</v>
      </c>
      <c r="K5" s="159" t="s">
        <v>246</v>
      </c>
      <c r="L5" s="156" t="s">
        <v>245</v>
      </c>
      <c r="M5" s="140" t="s">
        <v>246</v>
      </c>
      <c r="N5" s="64"/>
      <c r="O5" s="64"/>
    </row>
    <row r="6" spans="1:15" ht="12" customHeight="1" thickTop="1">
      <c r="A6" s="64"/>
      <c r="B6" s="125" t="str">
        <f>UPPER(LEFT(TRIM(Data!B5),1)) &amp; MID(TRIM(Data!B5),2,50)</f>
        <v>Piktybiniai navikai</v>
      </c>
      <c r="C6" s="125" t="str">
        <f>Data!C5</f>
        <v>C00-C96</v>
      </c>
      <c r="D6" s="151">
        <f>Data!BT5</f>
        <v>2789</v>
      </c>
      <c r="E6" s="152">
        <f>IF(Data!$BQ5=0, 0, D6/Data!$BQ5)</f>
        <v>0.33695783496435905</v>
      </c>
      <c r="F6" s="153">
        <f>Data!BU5</f>
        <v>1594</v>
      </c>
      <c r="G6" s="152">
        <f>IF(Data!$BQ5=0, 0, F6/Data!$BQ5)</f>
        <v>0.19258185332850067</v>
      </c>
      <c r="H6" s="151">
        <f>Data!BV5</f>
        <v>1079</v>
      </c>
      <c r="I6" s="152">
        <f>IF(Data!$BQ5=0, 0, H6/Data!$BQ5)</f>
        <v>0.13036124199589222</v>
      </c>
      <c r="J6" s="153">
        <f>Data!BW5</f>
        <v>894</v>
      </c>
      <c r="K6" s="154">
        <f>IF(Data!$BQ5=0, 0, J6/Data!$BQ5)</f>
        <v>0.10801014860456687</v>
      </c>
      <c r="L6" s="151">
        <f>Data!BX5</f>
        <v>1921</v>
      </c>
      <c r="M6" s="155">
        <f>IF(Data!$BQ5=0, 0, L6/Data!$BQ5)</f>
        <v>0.23208892110668117</v>
      </c>
      <c r="N6" s="64"/>
      <c r="O6" s="64"/>
    </row>
    <row r="7" spans="1:15" ht="12" customHeight="1">
      <c r="A7" s="64"/>
      <c r="B7" s="141" t="str">
        <f>UPPER(LEFT(TRIM(Data!B6),1)) &amp; MID(TRIM(Data!B6),2,50)</f>
        <v>Lūpos</v>
      </c>
      <c r="C7" s="141" t="str">
        <f>Data!C6</f>
        <v>C00</v>
      </c>
      <c r="D7" s="160">
        <f>Data!BT6</f>
        <v>5</v>
      </c>
      <c r="E7" s="161">
        <f>IF(Data!$BQ6=0, 0, D7/Data!$BQ6)</f>
        <v>1</v>
      </c>
      <c r="F7" s="162">
        <f>Data!BU6</f>
        <v>0</v>
      </c>
      <c r="G7" s="161">
        <f>IF(Data!$BQ6=0, 0, F7/Data!$BQ6)</f>
        <v>0</v>
      </c>
      <c r="H7" s="160">
        <f>Data!BV6</f>
        <v>0</v>
      </c>
      <c r="I7" s="161">
        <f>IF(Data!$BQ6=0, 0, H7/Data!$BQ6)</f>
        <v>0</v>
      </c>
      <c r="J7" s="162">
        <f>Data!BW6</f>
        <v>0</v>
      </c>
      <c r="K7" s="163">
        <f>IF(Data!$BQ6=0, 0, J7/Data!$BQ6)</f>
        <v>0</v>
      </c>
      <c r="L7" s="160">
        <f>Data!BX6</f>
        <v>0</v>
      </c>
      <c r="M7" s="164">
        <f>IF(Data!$BQ6=0, 0, L7/Data!$BQ6)</f>
        <v>0</v>
      </c>
      <c r="N7" s="64"/>
      <c r="O7" s="64"/>
    </row>
    <row r="8" spans="1:15" ht="12" customHeight="1">
      <c r="A8" s="64"/>
      <c r="B8" s="125" t="str">
        <f>UPPER(LEFT(TRIM(Data!B7),1)) &amp; MID(TRIM(Data!B7),2,50)</f>
        <v>Burnos ertmės ir ryklės</v>
      </c>
      <c r="C8" s="125" t="str">
        <f>Data!C7</f>
        <v>C01-C14</v>
      </c>
      <c r="D8" s="151">
        <f>Data!BT7</f>
        <v>12</v>
      </c>
      <c r="E8" s="152">
        <f>IF(Data!$BQ7=0, 0, D8/Data!$BQ7)</f>
        <v>0.16666666666666666</v>
      </c>
      <c r="F8" s="153">
        <f>Data!BU7</f>
        <v>7</v>
      </c>
      <c r="G8" s="152">
        <f>IF(Data!$BQ7=0, 0, F8/Data!$BQ7)</f>
        <v>9.7222222222222224E-2</v>
      </c>
      <c r="H8" s="151">
        <f>Data!BV7</f>
        <v>15</v>
      </c>
      <c r="I8" s="152">
        <f>IF(Data!$BQ7=0, 0, H8/Data!$BQ7)</f>
        <v>0.20833333333333334</v>
      </c>
      <c r="J8" s="153">
        <f>Data!BW7</f>
        <v>24</v>
      </c>
      <c r="K8" s="154">
        <f>IF(Data!$BQ7=0, 0, J8/Data!$BQ7)</f>
        <v>0.33333333333333331</v>
      </c>
      <c r="L8" s="151">
        <f>Data!BX7</f>
        <v>14</v>
      </c>
      <c r="M8" s="155">
        <f>IF(Data!$BQ7=0, 0, L8/Data!$BQ7)</f>
        <v>0.19444444444444445</v>
      </c>
      <c r="N8" s="64"/>
      <c r="O8" s="64"/>
    </row>
    <row r="9" spans="1:15" ht="12" customHeight="1">
      <c r="A9" s="64"/>
      <c r="B9" s="141" t="str">
        <f>UPPER(LEFT(TRIM(Data!B8),1)) &amp; MID(TRIM(Data!B8),2,50)</f>
        <v>Stemplės</v>
      </c>
      <c r="C9" s="141" t="str">
        <f>Data!C8</f>
        <v>C15</v>
      </c>
      <c r="D9" s="160">
        <f>Data!BT8</f>
        <v>2</v>
      </c>
      <c r="E9" s="161">
        <f>IF(Data!$BQ8=0, 0, D9/Data!$BQ8)</f>
        <v>6.6666666666666666E-2</v>
      </c>
      <c r="F9" s="162">
        <f>Data!BU8</f>
        <v>3</v>
      </c>
      <c r="G9" s="161">
        <f>IF(Data!$BQ8=0, 0, F9/Data!$BQ8)</f>
        <v>0.1</v>
      </c>
      <c r="H9" s="160">
        <f>Data!BV8</f>
        <v>5</v>
      </c>
      <c r="I9" s="161">
        <f>IF(Data!$BQ8=0, 0, H9/Data!$BQ8)</f>
        <v>0.16666666666666666</v>
      </c>
      <c r="J9" s="162">
        <f>Data!BW8</f>
        <v>8</v>
      </c>
      <c r="K9" s="163">
        <f>IF(Data!$BQ8=0, 0, J9/Data!$BQ8)</f>
        <v>0.26666666666666666</v>
      </c>
      <c r="L9" s="160">
        <f>Data!BX8</f>
        <v>12</v>
      </c>
      <c r="M9" s="164">
        <f>IF(Data!$BQ8=0, 0, L9/Data!$BQ8)</f>
        <v>0.4</v>
      </c>
      <c r="N9" s="64"/>
      <c r="O9" s="64"/>
    </row>
    <row r="10" spans="1:15" ht="12" customHeight="1">
      <c r="A10" s="64"/>
      <c r="B10" s="125" t="str">
        <f>UPPER(LEFT(TRIM(Data!B9),1)) &amp; MID(TRIM(Data!B9),2,50)</f>
        <v>Skrandžio</v>
      </c>
      <c r="C10" s="125" t="str">
        <f>Data!C9</f>
        <v>C16</v>
      </c>
      <c r="D10" s="151">
        <f>Data!BT9</f>
        <v>37</v>
      </c>
      <c r="E10" s="152">
        <f>IF(Data!$BQ9=0, 0, D10/Data!$BQ9)</f>
        <v>0.10481586402266289</v>
      </c>
      <c r="F10" s="153">
        <f>Data!BU9</f>
        <v>45</v>
      </c>
      <c r="G10" s="152">
        <f>IF(Data!$BQ9=0, 0, F10/Data!$BQ9)</f>
        <v>0.12747875354107649</v>
      </c>
      <c r="H10" s="151">
        <f>Data!BV9</f>
        <v>43</v>
      </c>
      <c r="I10" s="152">
        <f>IF(Data!$BQ9=0, 0, H10/Data!$BQ9)</f>
        <v>0.12181303116147309</v>
      </c>
      <c r="J10" s="153">
        <f>Data!BW9</f>
        <v>107</v>
      </c>
      <c r="K10" s="154">
        <f>IF(Data!$BQ9=0, 0, J10/Data!$BQ9)</f>
        <v>0.30311614730878189</v>
      </c>
      <c r="L10" s="151">
        <f>Data!BX9</f>
        <v>121</v>
      </c>
      <c r="M10" s="155">
        <f>IF(Data!$BQ9=0, 0, L10/Data!$BQ9)</f>
        <v>0.34277620396600567</v>
      </c>
      <c r="N10" s="64"/>
      <c r="O10" s="64"/>
    </row>
    <row r="11" spans="1:15" ht="12" customHeight="1">
      <c r="A11" s="64"/>
      <c r="B11" s="141" t="str">
        <f>UPPER(LEFT(TRIM(Data!B10),1)) &amp; MID(TRIM(Data!B10),2,50)</f>
        <v>Gaubtinės žarnos</v>
      </c>
      <c r="C11" s="141" t="str">
        <f>Data!C10</f>
        <v>C18</v>
      </c>
      <c r="D11" s="160">
        <f>Data!BT10</f>
        <v>51</v>
      </c>
      <c r="E11" s="161">
        <f>IF(Data!$BQ10=0, 0, D11/Data!$BQ10)</f>
        <v>0.10897435897435898</v>
      </c>
      <c r="F11" s="162">
        <f>Data!BU10</f>
        <v>123</v>
      </c>
      <c r="G11" s="161">
        <f>IF(Data!$BQ10=0, 0, F11/Data!$BQ10)</f>
        <v>0.26282051282051283</v>
      </c>
      <c r="H11" s="160">
        <f>Data!BV10</f>
        <v>113</v>
      </c>
      <c r="I11" s="161">
        <f>IF(Data!$BQ10=0, 0, H11/Data!$BQ10)</f>
        <v>0.24145299145299146</v>
      </c>
      <c r="J11" s="162">
        <f>Data!BW10</f>
        <v>77</v>
      </c>
      <c r="K11" s="163">
        <f>IF(Data!$BQ10=0, 0, J11/Data!$BQ10)</f>
        <v>0.16452991452991453</v>
      </c>
      <c r="L11" s="160">
        <f>Data!BX10</f>
        <v>104</v>
      </c>
      <c r="M11" s="164">
        <f>IF(Data!$BQ10=0, 0, L11/Data!$BQ10)</f>
        <v>0.22222222222222221</v>
      </c>
      <c r="N11" s="64"/>
      <c r="O11" s="64"/>
    </row>
    <row r="12" spans="1:15" ht="12" customHeight="1">
      <c r="A12" s="64"/>
      <c r="B12" s="125" t="str">
        <f>UPPER(LEFT(TRIM(Data!B11),1)) &amp; MID(TRIM(Data!B11),2,50)</f>
        <v>Tiesiosios žarnos, išangės</v>
      </c>
      <c r="C12" s="125" t="str">
        <f>Data!C11</f>
        <v>C19-C21</v>
      </c>
      <c r="D12" s="151">
        <f>Data!BT11</f>
        <v>51</v>
      </c>
      <c r="E12" s="152">
        <f>IF(Data!$BQ11=0, 0, D12/Data!$BQ11)</f>
        <v>0.15596330275229359</v>
      </c>
      <c r="F12" s="153">
        <f>Data!BU11</f>
        <v>64</v>
      </c>
      <c r="G12" s="152">
        <f>IF(Data!$BQ11=0, 0, F12/Data!$BQ11)</f>
        <v>0.19571865443425077</v>
      </c>
      <c r="H12" s="151">
        <f>Data!BV11</f>
        <v>84</v>
      </c>
      <c r="I12" s="152">
        <f>IF(Data!$BQ11=0, 0, H12/Data!$BQ11)</f>
        <v>0.25688073394495414</v>
      </c>
      <c r="J12" s="153">
        <f>Data!BW11</f>
        <v>44</v>
      </c>
      <c r="K12" s="154">
        <f>IF(Data!$BQ11=0, 0, J12/Data!$BQ11)</f>
        <v>0.13455657492354739</v>
      </c>
      <c r="L12" s="151">
        <f>Data!BX11</f>
        <v>84</v>
      </c>
      <c r="M12" s="155">
        <f>IF(Data!$BQ11=0, 0, L12/Data!$BQ11)</f>
        <v>0.25688073394495414</v>
      </c>
      <c r="N12" s="64"/>
      <c r="O12" s="64"/>
    </row>
    <row r="13" spans="1:15" ht="12" customHeight="1">
      <c r="A13" s="64"/>
      <c r="B13" s="141" t="str">
        <f>UPPER(LEFT(TRIM(Data!B12),1)) &amp; MID(TRIM(Data!B12),2,50)</f>
        <v>Kepenų</v>
      </c>
      <c r="C13" s="141" t="str">
        <f>Data!C12</f>
        <v>C22</v>
      </c>
      <c r="D13" s="160">
        <f>Data!BT12</f>
        <v>5</v>
      </c>
      <c r="E13" s="161">
        <f>IF(Data!$BQ12=0, 0, D13/Data!$BQ12)</f>
        <v>7.3529411764705885E-2</v>
      </c>
      <c r="F13" s="162">
        <f>Data!BU12</f>
        <v>7</v>
      </c>
      <c r="G13" s="161">
        <f>IF(Data!$BQ12=0, 0, F13/Data!$BQ12)</f>
        <v>0.10294117647058823</v>
      </c>
      <c r="H13" s="160">
        <f>Data!BV12</f>
        <v>6</v>
      </c>
      <c r="I13" s="161">
        <f>IF(Data!$BQ12=0, 0, H13/Data!$BQ12)</f>
        <v>8.8235294117647065E-2</v>
      </c>
      <c r="J13" s="162">
        <f>Data!BW12</f>
        <v>18</v>
      </c>
      <c r="K13" s="163">
        <f>IF(Data!$BQ12=0, 0, J13/Data!$BQ12)</f>
        <v>0.26470588235294118</v>
      </c>
      <c r="L13" s="160">
        <f>Data!BX12</f>
        <v>32</v>
      </c>
      <c r="M13" s="164">
        <f>IF(Data!$BQ12=0, 0, L13/Data!$BQ12)</f>
        <v>0.47058823529411764</v>
      </c>
      <c r="N13" s="64"/>
      <c r="O13" s="64"/>
    </row>
    <row r="14" spans="1:15" ht="12" customHeight="1">
      <c r="A14" s="64"/>
      <c r="B14" s="125" t="str">
        <f>UPPER(LEFT(TRIM(Data!B13),1)) &amp; MID(TRIM(Data!B13),2,50)</f>
        <v>Tulžies pūslės, ekstrahepatinių takų</v>
      </c>
      <c r="C14" s="125" t="str">
        <f>Data!C13</f>
        <v>C23, C24</v>
      </c>
      <c r="D14" s="151">
        <f>Data!BT13</f>
        <v>6</v>
      </c>
      <c r="E14" s="152">
        <f>IF(Data!$BQ13=0, 0, D14/Data!$BQ13)</f>
        <v>6.6666666666666666E-2</v>
      </c>
      <c r="F14" s="153">
        <f>Data!BU13</f>
        <v>16</v>
      </c>
      <c r="G14" s="152">
        <f>IF(Data!$BQ13=0, 0, F14/Data!$BQ13)</f>
        <v>0.17777777777777778</v>
      </c>
      <c r="H14" s="151">
        <f>Data!BV13</f>
        <v>7</v>
      </c>
      <c r="I14" s="152">
        <f>IF(Data!$BQ13=0, 0, H14/Data!$BQ13)</f>
        <v>7.7777777777777779E-2</v>
      </c>
      <c r="J14" s="153">
        <f>Data!BW13</f>
        <v>33</v>
      </c>
      <c r="K14" s="154">
        <f>IF(Data!$BQ13=0, 0, J14/Data!$BQ13)</f>
        <v>0.36666666666666664</v>
      </c>
      <c r="L14" s="151">
        <f>Data!BX13</f>
        <v>28</v>
      </c>
      <c r="M14" s="155">
        <f>IF(Data!$BQ13=0, 0, L14/Data!$BQ13)</f>
        <v>0.31111111111111112</v>
      </c>
      <c r="N14" s="64"/>
      <c r="O14" s="64"/>
    </row>
    <row r="15" spans="1:15" ht="12" customHeight="1">
      <c r="A15" s="64"/>
      <c r="B15" s="141" t="str">
        <f>UPPER(LEFT(TRIM(Data!B14),1)) &amp; MID(TRIM(Data!B14),2,50)</f>
        <v>Kasos</v>
      </c>
      <c r="C15" s="141" t="str">
        <f>Data!C14</f>
        <v>C25</v>
      </c>
      <c r="D15" s="160">
        <f>Data!BT14</f>
        <v>10</v>
      </c>
      <c r="E15" s="161">
        <f>IF(Data!$BQ14=0, 0, D15/Data!$BQ14)</f>
        <v>3.875968992248062E-2</v>
      </c>
      <c r="F15" s="162">
        <f>Data!BU14</f>
        <v>43</v>
      </c>
      <c r="G15" s="161">
        <f>IF(Data!$BQ14=0, 0, F15/Data!$BQ14)</f>
        <v>0.16666666666666666</v>
      </c>
      <c r="H15" s="160">
        <f>Data!BV14</f>
        <v>30</v>
      </c>
      <c r="I15" s="161">
        <f>IF(Data!$BQ14=0, 0, H15/Data!$BQ14)</f>
        <v>0.11627906976744186</v>
      </c>
      <c r="J15" s="162">
        <f>Data!BW14</f>
        <v>90</v>
      </c>
      <c r="K15" s="163">
        <f>IF(Data!$BQ14=0, 0, J15/Data!$BQ14)</f>
        <v>0.34883720930232559</v>
      </c>
      <c r="L15" s="160">
        <f>Data!BX14</f>
        <v>85</v>
      </c>
      <c r="M15" s="164">
        <f>IF(Data!$BQ14=0, 0, L15/Data!$BQ14)</f>
        <v>0.32945736434108525</v>
      </c>
      <c r="N15" s="64"/>
      <c r="O15" s="64"/>
    </row>
    <row r="16" spans="1:15" ht="12" customHeight="1">
      <c r="A16" s="64"/>
      <c r="B16" s="125" t="str">
        <f>UPPER(LEFT(TRIM(Data!B15),1)) &amp; MID(TRIM(Data!B15),2,50)</f>
        <v>Kitų virškinimo sistemos organų</v>
      </c>
      <c r="C16" s="125" t="str">
        <f>Data!C15</f>
        <v>C17, C26, C48</v>
      </c>
      <c r="D16" s="151">
        <f>Data!BT15</f>
        <v>6</v>
      </c>
      <c r="E16" s="152">
        <f>IF(Data!$BQ15=0, 0, D16/Data!$BQ15)</f>
        <v>0.13333333333333333</v>
      </c>
      <c r="F16" s="153">
        <f>Data!BU15</f>
        <v>4</v>
      </c>
      <c r="G16" s="152">
        <f>IF(Data!$BQ15=0, 0, F16/Data!$BQ15)</f>
        <v>8.8888888888888892E-2</v>
      </c>
      <c r="H16" s="151">
        <f>Data!BV15</f>
        <v>7</v>
      </c>
      <c r="I16" s="152">
        <f>IF(Data!$BQ15=0, 0, H16/Data!$BQ15)</f>
        <v>0.15555555555555556</v>
      </c>
      <c r="J16" s="153">
        <f>Data!BW15</f>
        <v>10</v>
      </c>
      <c r="K16" s="154">
        <f>IF(Data!$BQ15=0, 0, J16/Data!$BQ15)</f>
        <v>0.22222222222222221</v>
      </c>
      <c r="L16" s="151">
        <f>Data!BX15</f>
        <v>18</v>
      </c>
      <c r="M16" s="155">
        <f>IF(Data!$BQ15=0, 0, L16/Data!$BQ15)</f>
        <v>0.4</v>
      </c>
      <c r="N16" s="64"/>
      <c r="O16" s="64"/>
    </row>
    <row r="17" spans="1:15" ht="12" customHeight="1">
      <c r="A17" s="64"/>
      <c r="B17" s="141" t="str">
        <f>UPPER(LEFT(TRIM(Data!B16),1)) &amp; MID(TRIM(Data!B16),2,50)</f>
        <v>Nosies ertmės, vid.ausies ir ančių</v>
      </c>
      <c r="C17" s="141" t="str">
        <f>Data!C16</f>
        <v>C30, C31</v>
      </c>
      <c r="D17" s="160">
        <f>Data!BT16</f>
        <v>2</v>
      </c>
      <c r="E17" s="161">
        <f>IF(Data!$BQ16=0, 0, D17/Data!$BQ16)</f>
        <v>0.11764705882352941</v>
      </c>
      <c r="F17" s="162">
        <f>Data!BU16</f>
        <v>1</v>
      </c>
      <c r="G17" s="161">
        <f>IF(Data!$BQ16=0, 0, F17/Data!$BQ16)</f>
        <v>5.8823529411764705E-2</v>
      </c>
      <c r="H17" s="160">
        <f>Data!BV16</f>
        <v>6</v>
      </c>
      <c r="I17" s="161">
        <f>IF(Data!$BQ16=0, 0, H17/Data!$BQ16)</f>
        <v>0.35294117647058826</v>
      </c>
      <c r="J17" s="162">
        <f>Data!BW16</f>
        <v>5</v>
      </c>
      <c r="K17" s="163">
        <f>IF(Data!$BQ16=0, 0, J17/Data!$BQ16)</f>
        <v>0.29411764705882354</v>
      </c>
      <c r="L17" s="160">
        <f>Data!BX16</f>
        <v>3</v>
      </c>
      <c r="M17" s="164">
        <f>IF(Data!$BQ16=0, 0, L17/Data!$BQ16)</f>
        <v>0.17647058823529413</v>
      </c>
      <c r="N17" s="64"/>
      <c r="O17" s="64"/>
    </row>
    <row r="18" spans="1:15" ht="12" customHeight="1">
      <c r="A18" s="64"/>
      <c r="B18" s="125" t="str">
        <f>UPPER(LEFT(TRIM(Data!B17),1)) &amp; MID(TRIM(Data!B17),2,50)</f>
        <v>Gerklų</v>
      </c>
      <c r="C18" s="125" t="str">
        <f>Data!C17</f>
        <v>C32</v>
      </c>
      <c r="D18" s="151">
        <f>Data!BT17</f>
        <v>3</v>
      </c>
      <c r="E18" s="152">
        <f>IF(Data!$BQ17=0, 0, D18/Data!$BQ17)</f>
        <v>0.2</v>
      </c>
      <c r="F18" s="153">
        <f>Data!BU17</f>
        <v>2</v>
      </c>
      <c r="G18" s="152">
        <f>IF(Data!$BQ17=0, 0, F18/Data!$BQ17)</f>
        <v>0.13333333333333333</v>
      </c>
      <c r="H18" s="151">
        <f>Data!BV17</f>
        <v>3</v>
      </c>
      <c r="I18" s="152">
        <f>IF(Data!$BQ17=0, 0, H18/Data!$BQ17)</f>
        <v>0.2</v>
      </c>
      <c r="J18" s="153">
        <f>Data!BW17</f>
        <v>1</v>
      </c>
      <c r="K18" s="154">
        <f>IF(Data!$BQ17=0, 0, J18/Data!$BQ17)</f>
        <v>6.6666666666666666E-2</v>
      </c>
      <c r="L18" s="151">
        <f>Data!BX17</f>
        <v>6</v>
      </c>
      <c r="M18" s="155">
        <f>IF(Data!$BQ17=0, 0, L18/Data!$BQ17)</f>
        <v>0.4</v>
      </c>
      <c r="N18" s="64"/>
      <c r="O18" s="64"/>
    </row>
    <row r="19" spans="1:15" ht="12" customHeight="1">
      <c r="A19" s="64"/>
      <c r="B19" s="141" t="str">
        <f>UPPER(LEFT(TRIM(Data!B18),1)) &amp; MID(TRIM(Data!B18),2,50)</f>
        <v>Plaučių, trachėjos, bronchų</v>
      </c>
      <c r="C19" s="141" t="str">
        <f>Data!C18</f>
        <v>C33, C34</v>
      </c>
      <c r="D19" s="160">
        <f>Data!BT18</f>
        <v>15</v>
      </c>
      <c r="E19" s="161">
        <f>IF(Data!$BQ18=0, 0, D19/Data!$BQ18)</f>
        <v>5.7692307692307696E-2</v>
      </c>
      <c r="F19" s="162">
        <f>Data!BU18</f>
        <v>17</v>
      </c>
      <c r="G19" s="161">
        <f>IF(Data!$BQ18=0, 0, F19/Data!$BQ18)</f>
        <v>6.5384615384615388E-2</v>
      </c>
      <c r="H19" s="160">
        <f>Data!BV18</f>
        <v>37</v>
      </c>
      <c r="I19" s="161">
        <f>IF(Data!$BQ18=0, 0, H19/Data!$BQ18)</f>
        <v>0.1423076923076923</v>
      </c>
      <c r="J19" s="162">
        <f>Data!BW18</f>
        <v>80</v>
      </c>
      <c r="K19" s="163">
        <f>IF(Data!$BQ18=0, 0, J19/Data!$BQ18)</f>
        <v>0.30769230769230771</v>
      </c>
      <c r="L19" s="160">
        <f>Data!BX18</f>
        <v>111</v>
      </c>
      <c r="M19" s="164">
        <f>IF(Data!$BQ18=0, 0, L19/Data!$BQ18)</f>
        <v>0.42692307692307691</v>
      </c>
      <c r="N19" s="64"/>
      <c r="O19" s="64"/>
    </row>
    <row r="20" spans="1:15" ht="12" customHeight="1">
      <c r="A20" s="64"/>
      <c r="B20" s="125" t="str">
        <f>UPPER(LEFT(TRIM(Data!B19),1)) &amp; MID(TRIM(Data!B19),2,50)</f>
        <v>Kitų kvėpavimo sistemos organų</v>
      </c>
      <c r="C20" s="125" t="str">
        <f>Data!C19</f>
        <v>C37-C39</v>
      </c>
      <c r="D20" s="151">
        <f>Data!BT19</f>
        <v>0</v>
      </c>
      <c r="E20" s="152">
        <f>IF(Data!$BQ19=0, 0, D20/Data!$BQ19)</f>
        <v>0</v>
      </c>
      <c r="F20" s="153">
        <f>Data!BU19</f>
        <v>1</v>
      </c>
      <c r="G20" s="152">
        <f>IF(Data!$BQ19=0, 0, F20/Data!$BQ19)</f>
        <v>0.1111111111111111</v>
      </c>
      <c r="H20" s="151">
        <f>Data!BV19</f>
        <v>0</v>
      </c>
      <c r="I20" s="152">
        <f>IF(Data!$BQ19=0, 0, H20/Data!$BQ19)</f>
        <v>0</v>
      </c>
      <c r="J20" s="153">
        <f>Data!BW19</f>
        <v>2</v>
      </c>
      <c r="K20" s="154">
        <f>IF(Data!$BQ19=0, 0, J20/Data!$BQ19)</f>
        <v>0.22222222222222221</v>
      </c>
      <c r="L20" s="151">
        <f>Data!BX19</f>
        <v>6</v>
      </c>
      <c r="M20" s="155">
        <f>IF(Data!$BQ19=0, 0, L20/Data!$BQ19)</f>
        <v>0.66666666666666663</v>
      </c>
      <c r="N20" s="64"/>
      <c r="O20" s="64"/>
    </row>
    <row r="21" spans="1:15" ht="12" customHeight="1">
      <c r="A21" s="64"/>
      <c r="B21" s="141" t="str">
        <f>UPPER(LEFT(TRIM(Data!B20),1)) &amp; MID(TRIM(Data!B20),2,50)</f>
        <v>Kaulų ir jungiamojo audinio</v>
      </c>
      <c r="C21" s="141" t="str">
        <f>Data!C20</f>
        <v>C40-C41, C45-C47, C49</v>
      </c>
      <c r="D21" s="160">
        <f>Data!BT20</f>
        <v>19</v>
      </c>
      <c r="E21" s="161">
        <f>IF(Data!$BQ20=0, 0, D21/Data!$BQ20)</f>
        <v>0.30158730158730157</v>
      </c>
      <c r="F21" s="162">
        <f>Data!BU20</f>
        <v>4</v>
      </c>
      <c r="G21" s="161">
        <f>IF(Data!$BQ20=0, 0, F21/Data!$BQ20)</f>
        <v>6.3492063492063489E-2</v>
      </c>
      <c r="H21" s="160">
        <f>Data!BV20</f>
        <v>8</v>
      </c>
      <c r="I21" s="161">
        <f>IF(Data!$BQ20=0, 0, H21/Data!$BQ20)</f>
        <v>0.12698412698412698</v>
      </c>
      <c r="J21" s="162">
        <f>Data!BW20</f>
        <v>8</v>
      </c>
      <c r="K21" s="163">
        <f>IF(Data!$BQ20=0, 0, J21/Data!$BQ20)</f>
        <v>0.12698412698412698</v>
      </c>
      <c r="L21" s="160">
        <f>Data!BX20</f>
        <v>24</v>
      </c>
      <c r="M21" s="164">
        <f>IF(Data!$BQ20=0, 0, L21/Data!$BQ20)</f>
        <v>0.38095238095238093</v>
      </c>
      <c r="N21" s="64"/>
      <c r="O21" s="64"/>
    </row>
    <row r="22" spans="1:15" ht="12" customHeight="1">
      <c r="A22" s="64"/>
      <c r="B22" s="125" t="str">
        <f>UPPER(LEFT(TRIM(Data!B21),1)) &amp; MID(TRIM(Data!B21),2,50)</f>
        <v>Odos melanoma</v>
      </c>
      <c r="C22" s="125" t="str">
        <f>Data!C21</f>
        <v>C43</v>
      </c>
      <c r="D22" s="151">
        <f>Data!BT21</f>
        <v>89</v>
      </c>
      <c r="E22" s="152">
        <f>IF(Data!$BQ21=0, 0, D22/Data!$BQ21)</f>
        <v>0.47340425531914893</v>
      </c>
      <c r="F22" s="153">
        <f>Data!BU21</f>
        <v>62</v>
      </c>
      <c r="G22" s="152">
        <f>IF(Data!$BQ21=0, 0, F22/Data!$BQ21)</f>
        <v>0.32978723404255317</v>
      </c>
      <c r="H22" s="151">
        <f>Data!BV21</f>
        <v>18</v>
      </c>
      <c r="I22" s="152">
        <f>IF(Data!$BQ21=0, 0, H22/Data!$BQ21)</f>
        <v>9.5744680851063829E-2</v>
      </c>
      <c r="J22" s="153">
        <f>Data!BW21</f>
        <v>3</v>
      </c>
      <c r="K22" s="154">
        <f>IF(Data!$BQ21=0, 0, J22/Data!$BQ21)</f>
        <v>1.5957446808510637E-2</v>
      </c>
      <c r="L22" s="151">
        <f>Data!BX21</f>
        <v>16</v>
      </c>
      <c r="M22" s="155">
        <f>IF(Data!$BQ21=0, 0, L22/Data!$BQ21)</f>
        <v>8.5106382978723402E-2</v>
      </c>
      <c r="N22" s="64"/>
      <c r="O22" s="64"/>
    </row>
    <row r="23" spans="1:15" ht="12" customHeight="1">
      <c r="A23" s="64"/>
      <c r="B23" s="141" t="str">
        <f>UPPER(LEFT(TRIM(Data!B22),1)) &amp; MID(TRIM(Data!B22),2,50)</f>
        <v>Kiti odos piktybiniai navikai</v>
      </c>
      <c r="C23" s="141" t="str">
        <f>Data!C22</f>
        <v>C44</v>
      </c>
      <c r="D23" s="160">
        <f>Data!BT22</f>
        <v>962</v>
      </c>
      <c r="E23" s="161">
        <f>IF(Data!$BQ22=0, 0, D23/Data!$BQ22)</f>
        <v>0.69963636363636361</v>
      </c>
      <c r="F23" s="162">
        <f>Data!BU22</f>
        <v>342</v>
      </c>
      <c r="G23" s="161">
        <f>IF(Data!$BQ22=0, 0, F23/Data!$BQ22)</f>
        <v>0.24872727272727271</v>
      </c>
      <c r="H23" s="160">
        <f>Data!BV22</f>
        <v>7</v>
      </c>
      <c r="I23" s="161">
        <f>IF(Data!$BQ22=0, 0, H23/Data!$BQ22)</f>
        <v>5.0909090909090913E-3</v>
      </c>
      <c r="J23" s="162">
        <f>Data!BW22</f>
        <v>7</v>
      </c>
      <c r="K23" s="163">
        <f>IF(Data!$BQ22=0, 0, J23/Data!$BQ22)</f>
        <v>5.0909090909090913E-3</v>
      </c>
      <c r="L23" s="160">
        <f>Data!BX22</f>
        <v>57</v>
      </c>
      <c r="M23" s="164">
        <f>IF(Data!$BQ22=0, 0, L23/Data!$BQ22)</f>
        <v>4.1454545454545452E-2</v>
      </c>
      <c r="N23" s="64"/>
      <c r="O23" s="64"/>
    </row>
    <row r="24" spans="1:15" ht="12" customHeight="1">
      <c r="A24" s="64"/>
      <c r="B24" s="125" t="str">
        <f>UPPER(LEFT(TRIM(Data!B23),1)) &amp; MID(TRIM(Data!B23),2,50)</f>
        <v>Krūties</v>
      </c>
      <c r="C24" s="125" t="str">
        <f>Data!C23</f>
        <v>C50</v>
      </c>
      <c r="D24" s="151">
        <f>Data!BT23</f>
        <v>553</v>
      </c>
      <c r="E24" s="152">
        <f>IF(Data!$BQ23=0, 0, D24/Data!$BQ23)</f>
        <v>0.3341389728096677</v>
      </c>
      <c r="F24" s="153">
        <f>Data!BU23</f>
        <v>629</v>
      </c>
      <c r="G24" s="152">
        <f>IF(Data!$BQ23=0, 0, F24/Data!$BQ23)</f>
        <v>0.38006042296072506</v>
      </c>
      <c r="H24" s="151">
        <f>Data!BV23</f>
        <v>273</v>
      </c>
      <c r="I24" s="152">
        <f>IF(Data!$BQ23=0, 0, H24/Data!$BQ23)</f>
        <v>0.16495468277945619</v>
      </c>
      <c r="J24" s="153">
        <f>Data!BW23</f>
        <v>80</v>
      </c>
      <c r="K24" s="154">
        <f>IF(Data!$BQ23=0, 0, J24/Data!$BQ23)</f>
        <v>4.8338368580060423E-2</v>
      </c>
      <c r="L24" s="151">
        <f>Data!BX23</f>
        <v>120</v>
      </c>
      <c r="M24" s="155">
        <f>IF(Data!$BQ23=0, 0, L24/Data!$BQ23)</f>
        <v>7.2507552870090641E-2</v>
      </c>
      <c r="N24" s="64"/>
      <c r="O24" s="64"/>
    </row>
    <row r="25" spans="1:15" ht="12" customHeight="1">
      <c r="A25" s="64"/>
      <c r="B25" s="141" t="str">
        <f>UPPER(LEFT(TRIM(Data!B24),1)) &amp; MID(TRIM(Data!B24),2,50)</f>
        <v>Vulvos</v>
      </c>
      <c r="C25" s="141" t="str">
        <f>Data!C24</f>
        <v>C51</v>
      </c>
      <c r="D25" s="160">
        <f>Data!BT24</f>
        <v>14</v>
      </c>
      <c r="E25" s="161">
        <f>IF(Data!$BQ24=0, 0, D25/Data!$BQ24)</f>
        <v>0.30434782608695654</v>
      </c>
      <c r="F25" s="162">
        <f>Data!BU24</f>
        <v>4</v>
      </c>
      <c r="G25" s="161">
        <f>IF(Data!$BQ24=0, 0, F25/Data!$BQ24)</f>
        <v>8.6956521739130432E-2</v>
      </c>
      <c r="H25" s="160">
        <f>Data!BV24</f>
        <v>11</v>
      </c>
      <c r="I25" s="161">
        <f>IF(Data!$BQ24=0, 0, H25/Data!$BQ24)</f>
        <v>0.2391304347826087</v>
      </c>
      <c r="J25" s="162">
        <f>Data!BW24</f>
        <v>6</v>
      </c>
      <c r="K25" s="163">
        <f>IF(Data!$BQ24=0, 0, J25/Data!$BQ24)</f>
        <v>0.13043478260869565</v>
      </c>
      <c r="L25" s="160">
        <f>Data!BX24</f>
        <v>11</v>
      </c>
      <c r="M25" s="164">
        <f>IF(Data!$BQ24=0, 0, L25/Data!$BQ24)</f>
        <v>0.2391304347826087</v>
      </c>
      <c r="N25" s="64"/>
      <c r="O25" s="64"/>
    </row>
    <row r="26" spans="1:15" ht="12" customHeight="1">
      <c r="A26" s="64"/>
      <c r="B26" s="125" t="str">
        <f>UPPER(LEFT(TRIM(Data!B25),1)) &amp; MID(TRIM(Data!B25),2,50)</f>
        <v>Gimdos kaklelio</v>
      </c>
      <c r="C26" s="125" t="str">
        <f>Data!C25</f>
        <v>C53</v>
      </c>
      <c r="D26" s="151">
        <f>Data!BT25</f>
        <v>124</v>
      </c>
      <c r="E26" s="152">
        <f>IF(Data!$BQ25=0, 0, D26/Data!$BQ25)</f>
        <v>0.33879781420765026</v>
      </c>
      <c r="F26" s="153">
        <f>Data!BU25</f>
        <v>73</v>
      </c>
      <c r="G26" s="152">
        <f>IF(Data!$BQ25=0, 0, F26/Data!$BQ25)</f>
        <v>0.19945355191256831</v>
      </c>
      <c r="H26" s="151">
        <f>Data!BV25</f>
        <v>75</v>
      </c>
      <c r="I26" s="152">
        <f>IF(Data!$BQ25=0, 0, H26/Data!$BQ25)</f>
        <v>0.20491803278688525</v>
      </c>
      <c r="J26" s="153">
        <f>Data!BW25</f>
        <v>40</v>
      </c>
      <c r="K26" s="154">
        <f>IF(Data!$BQ25=0, 0, J26/Data!$BQ25)</f>
        <v>0.10928961748633879</v>
      </c>
      <c r="L26" s="151">
        <f>Data!BX25</f>
        <v>54</v>
      </c>
      <c r="M26" s="155">
        <f>IF(Data!$BQ25=0, 0, L26/Data!$BQ25)</f>
        <v>0.14754098360655737</v>
      </c>
      <c r="N26" s="64"/>
      <c r="O26" s="64"/>
    </row>
    <row r="27" spans="1:15" ht="12" customHeight="1">
      <c r="A27" s="64"/>
      <c r="B27" s="141" t="str">
        <f>UPPER(LEFT(TRIM(Data!B26),1)) &amp; MID(TRIM(Data!B26),2,50)</f>
        <v>Gimdos kūno</v>
      </c>
      <c r="C27" s="141" t="str">
        <f>Data!C26</f>
        <v>C54, C55</v>
      </c>
      <c r="D27" s="160">
        <f>Data!BT26</f>
        <v>402</v>
      </c>
      <c r="E27" s="161">
        <f>IF(Data!$BQ26=0, 0, D27/Data!$BQ26)</f>
        <v>0.65259740259740262</v>
      </c>
      <c r="F27" s="162">
        <f>Data!BU26</f>
        <v>45</v>
      </c>
      <c r="G27" s="161">
        <f>IF(Data!$BQ26=0, 0, F27/Data!$BQ26)</f>
        <v>7.3051948051948049E-2</v>
      </c>
      <c r="H27" s="160">
        <f>Data!BV26</f>
        <v>54</v>
      </c>
      <c r="I27" s="161">
        <f>IF(Data!$BQ26=0, 0, H27/Data!$BQ26)</f>
        <v>8.7662337662337664E-2</v>
      </c>
      <c r="J27" s="162">
        <f>Data!BW26</f>
        <v>31</v>
      </c>
      <c r="K27" s="163">
        <f>IF(Data!$BQ26=0, 0, J27/Data!$BQ26)</f>
        <v>5.0324675324675328E-2</v>
      </c>
      <c r="L27" s="160">
        <f>Data!BX26</f>
        <v>84</v>
      </c>
      <c r="M27" s="164">
        <f>IF(Data!$BQ26=0, 0, L27/Data!$BQ26)</f>
        <v>0.13636363636363635</v>
      </c>
      <c r="N27" s="64"/>
      <c r="O27" s="64"/>
    </row>
    <row r="28" spans="1:15" ht="12" customHeight="1">
      <c r="A28" s="64"/>
      <c r="B28" s="125" t="str">
        <f>UPPER(LEFT(TRIM(Data!B27),1)) &amp; MID(TRIM(Data!B27),2,50)</f>
        <v>Kiaušidžių</v>
      </c>
      <c r="C28" s="125" t="str">
        <f>Data!C27</f>
        <v>C56</v>
      </c>
      <c r="D28" s="151">
        <f>Data!BT27</f>
        <v>73</v>
      </c>
      <c r="E28" s="152">
        <f>IF(Data!$BQ27=0, 0, D28/Data!$BQ27)</f>
        <v>0.18069306930693069</v>
      </c>
      <c r="F28" s="153">
        <f>Data!BU27</f>
        <v>30</v>
      </c>
      <c r="G28" s="152">
        <f>IF(Data!$BQ27=0, 0, F28/Data!$BQ27)</f>
        <v>7.4257425742574254E-2</v>
      </c>
      <c r="H28" s="151">
        <f>Data!BV27</f>
        <v>151</v>
      </c>
      <c r="I28" s="152">
        <f>IF(Data!$BQ27=0, 0, H28/Data!$BQ27)</f>
        <v>0.37376237623762376</v>
      </c>
      <c r="J28" s="153">
        <f>Data!BW27</f>
        <v>86</v>
      </c>
      <c r="K28" s="154">
        <f>IF(Data!$BQ27=0, 0, J28/Data!$BQ27)</f>
        <v>0.21287128712871287</v>
      </c>
      <c r="L28" s="151">
        <f>Data!BX27</f>
        <v>64</v>
      </c>
      <c r="M28" s="155">
        <f>IF(Data!$BQ27=0, 0, L28/Data!$BQ27)</f>
        <v>0.15841584158415842</v>
      </c>
      <c r="N28" s="64"/>
      <c r="O28" s="64"/>
    </row>
    <row r="29" spans="1:15" ht="12" customHeight="1">
      <c r="A29" s="64"/>
      <c r="B29" s="141" t="str">
        <f>UPPER(LEFT(TRIM(Data!B30),1)) &amp; MID(TRIM(Data!B30),2,50)</f>
        <v>Kitų lyties organų</v>
      </c>
      <c r="C29" s="141" t="s">
        <v>418</v>
      </c>
      <c r="D29" s="160">
        <f>Data!BT30</f>
        <v>12</v>
      </c>
      <c r="E29" s="161">
        <f>IF(Data!$BQ30=0, 0, D29/Data!$BQ30)</f>
        <v>0.36363636363636365</v>
      </c>
      <c r="F29" s="162">
        <f>Data!BU30</f>
        <v>5</v>
      </c>
      <c r="G29" s="161">
        <f>IF(Data!$BQ30=0, 0, F29/Data!$BQ30)</f>
        <v>0.15151515151515152</v>
      </c>
      <c r="H29" s="160">
        <f>Data!BV30</f>
        <v>1</v>
      </c>
      <c r="I29" s="161">
        <f>IF(Data!$BQ30=0, 0, H29/Data!$BQ30)</f>
        <v>3.0303030303030304E-2</v>
      </c>
      <c r="J29" s="162">
        <f>Data!BW30</f>
        <v>3</v>
      </c>
      <c r="K29" s="163">
        <f>IF(Data!$BQ30=0, 0, J29/Data!$BQ30)</f>
        <v>9.0909090909090912E-2</v>
      </c>
      <c r="L29" s="160">
        <f>Data!BX30</f>
        <v>12</v>
      </c>
      <c r="M29" s="164">
        <f>IF(Data!$BQ30=0, 0, L29/Data!$BQ30)</f>
        <v>0.36363636363636365</v>
      </c>
      <c r="N29" s="64"/>
      <c r="O29" s="64"/>
    </row>
    <row r="30" spans="1:15" ht="12" customHeight="1">
      <c r="A30" s="64"/>
      <c r="B30" s="125" t="str">
        <f>UPPER(LEFT(TRIM(Data!B31),1)) &amp; MID(TRIM(Data!B31),2,50)</f>
        <v>Inkstų</v>
      </c>
      <c r="C30" s="125" t="str">
        <f>Data!C31</f>
        <v>C64</v>
      </c>
      <c r="D30" s="151">
        <f>Data!BT31</f>
        <v>121</v>
      </c>
      <c r="E30" s="152">
        <f>IF(Data!$BQ31=0, 0, D30/Data!$BQ31)</f>
        <v>0.45488721804511278</v>
      </c>
      <c r="F30" s="153">
        <f>Data!BU31</f>
        <v>13</v>
      </c>
      <c r="G30" s="152">
        <f>IF(Data!$BQ31=0, 0, F30/Data!$BQ31)</f>
        <v>4.8872180451127817E-2</v>
      </c>
      <c r="H30" s="151">
        <f>Data!BV31</f>
        <v>48</v>
      </c>
      <c r="I30" s="152">
        <f>IF(Data!$BQ31=0, 0, H30/Data!$BQ31)</f>
        <v>0.18045112781954886</v>
      </c>
      <c r="J30" s="153">
        <f>Data!BW31</f>
        <v>32</v>
      </c>
      <c r="K30" s="154">
        <f>IF(Data!$BQ31=0, 0, J30/Data!$BQ31)</f>
        <v>0.12030075187969924</v>
      </c>
      <c r="L30" s="151">
        <f>Data!BX31</f>
        <v>52</v>
      </c>
      <c r="M30" s="155">
        <f>IF(Data!$BQ31=0, 0, L30/Data!$BQ31)</f>
        <v>0.19548872180451127</v>
      </c>
      <c r="N30" s="64"/>
      <c r="O30" s="64"/>
    </row>
    <row r="31" spans="1:15" ht="12" customHeight="1">
      <c r="A31" s="64"/>
      <c r="B31" s="141" t="str">
        <f>UPPER(LEFT(TRIM(Data!B32),1)) &amp; MID(TRIM(Data!B32),2,50)</f>
        <v>Šlapimo pūslės</v>
      </c>
      <c r="C31" s="141" t="str">
        <f>Data!C32</f>
        <v>C67</v>
      </c>
      <c r="D31" s="160">
        <f>Data!BT32</f>
        <v>26</v>
      </c>
      <c r="E31" s="161">
        <f>IF(Data!$BQ32=0, 0, D31/Data!$BQ32)</f>
        <v>0.38805970149253732</v>
      </c>
      <c r="F31" s="162">
        <f>Data!BU32</f>
        <v>14</v>
      </c>
      <c r="G31" s="161">
        <f>IF(Data!$BQ32=0, 0, F31/Data!$BQ32)</f>
        <v>0.20895522388059701</v>
      </c>
      <c r="H31" s="160">
        <f>Data!BV32</f>
        <v>3</v>
      </c>
      <c r="I31" s="161">
        <f>IF(Data!$BQ32=0, 0, H31/Data!$BQ32)</f>
        <v>4.4776119402985072E-2</v>
      </c>
      <c r="J31" s="162">
        <f>Data!BW32</f>
        <v>4</v>
      </c>
      <c r="K31" s="163">
        <f>IF(Data!$BQ32=0, 0, J31/Data!$BQ32)</f>
        <v>5.9701492537313432E-2</v>
      </c>
      <c r="L31" s="160">
        <f>Data!BX32</f>
        <v>20</v>
      </c>
      <c r="M31" s="164">
        <f>IF(Data!$BQ32=0, 0, L31/Data!$BQ32)</f>
        <v>0.29850746268656714</v>
      </c>
      <c r="N31" s="64"/>
      <c r="O31" s="64"/>
    </row>
    <row r="32" spans="1:15" ht="12" customHeight="1">
      <c r="A32" s="64"/>
      <c r="B32" s="125" t="str">
        <f>UPPER(LEFT(TRIM(Data!B33),1)) &amp; MID(TRIM(Data!B33),2,50)</f>
        <v>Kitų šlapimą išskiriančių organų</v>
      </c>
      <c r="C32" s="125" t="str">
        <f>Data!C33</f>
        <v>C65, C66, C68</v>
      </c>
      <c r="D32" s="151">
        <f>Data!BT33</f>
        <v>2</v>
      </c>
      <c r="E32" s="152">
        <f>IF(Data!$BQ33=0, 0, D32/Data!$BQ33)</f>
        <v>0.08</v>
      </c>
      <c r="F32" s="153">
        <f>Data!BU33</f>
        <v>4</v>
      </c>
      <c r="G32" s="152">
        <f>IF(Data!$BQ33=0, 0, F32/Data!$BQ33)</f>
        <v>0.16</v>
      </c>
      <c r="H32" s="151">
        <f>Data!BV33</f>
        <v>4</v>
      </c>
      <c r="I32" s="152">
        <f>IF(Data!$BQ33=0, 0, H32/Data!$BQ33)</f>
        <v>0.16</v>
      </c>
      <c r="J32" s="153">
        <f>Data!BW33</f>
        <v>2</v>
      </c>
      <c r="K32" s="154">
        <f>IF(Data!$BQ33=0, 0, J32/Data!$BQ33)</f>
        <v>0.08</v>
      </c>
      <c r="L32" s="151">
        <f>Data!BX33</f>
        <v>13</v>
      </c>
      <c r="M32" s="155">
        <f>IF(Data!$BQ33=0, 0, L32/Data!$BQ33)</f>
        <v>0.52</v>
      </c>
      <c r="N32" s="64"/>
      <c r="O32" s="64"/>
    </row>
    <row r="33" spans="1:15" ht="12" customHeight="1">
      <c r="A33" s="64"/>
      <c r="B33" s="141" t="str">
        <f>UPPER(LEFT(TRIM(Data!B34),1)) &amp; MID(TRIM(Data!B34),2,50)</f>
        <v>Akių</v>
      </c>
      <c r="C33" s="141" t="str">
        <f>Data!C34</f>
        <v>C69</v>
      </c>
      <c r="D33" s="160">
        <f>Data!BT34</f>
        <v>2</v>
      </c>
      <c r="E33" s="161">
        <f>IF(Data!$BQ34=0, 0, D33/Data!$BQ34)</f>
        <v>9.0909090909090912E-2</v>
      </c>
      <c r="F33" s="162">
        <f>Data!BU34</f>
        <v>12</v>
      </c>
      <c r="G33" s="161">
        <f>IF(Data!$BQ34=0, 0, F33/Data!$BQ34)</f>
        <v>0.54545454545454541</v>
      </c>
      <c r="H33" s="160">
        <f>Data!BV34</f>
        <v>3</v>
      </c>
      <c r="I33" s="161">
        <f>IF(Data!$BQ34=0, 0, H33/Data!$BQ34)</f>
        <v>0.13636363636363635</v>
      </c>
      <c r="J33" s="162">
        <f>Data!BW34</f>
        <v>3</v>
      </c>
      <c r="K33" s="163">
        <f>IF(Data!$BQ34=0, 0, J33/Data!$BQ34)</f>
        <v>0.13636363636363635</v>
      </c>
      <c r="L33" s="160">
        <f>Data!BX34</f>
        <v>2</v>
      </c>
      <c r="M33" s="164">
        <f>IF(Data!$BQ34=0, 0, L33/Data!$BQ34)</f>
        <v>9.0909090909090912E-2</v>
      </c>
      <c r="N33" s="64"/>
      <c r="O33" s="64"/>
    </row>
    <row r="34" spans="1:15" ht="12" customHeight="1">
      <c r="A34" s="64"/>
      <c r="B34" s="125" t="str">
        <f>UPPER(LEFT(TRIM(Data!B35),1)) &amp; MID(TRIM(Data!B35),2,50)</f>
        <v>Smegenų</v>
      </c>
      <c r="C34" s="125" t="str">
        <f>Data!C35</f>
        <v>C70-C72</v>
      </c>
      <c r="D34" s="151">
        <f>Data!BT35</f>
        <v>0</v>
      </c>
      <c r="E34" s="152">
        <f>IF(Data!$BQ35=0, 0, D34/Data!$BQ35)</f>
        <v>0</v>
      </c>
      <c r="F34" s="153">
        <f>Data!BU35</f>
        <v>0</v>
      </c>
      <c r="G34" s="152">
        <f>IF(Data!$BQ35=0, 0, F34/Data!$BQ35)</f>
        <v>0</v>
      </c>
      <c r="H34" s="151">
        <f>Data!BV35</f>
        <v>0</v>
      </c>
      <c r="I34" s="152">
        <f>IF(Data!$BQ35=0, 0, H34/Data!$BQ35)</f>
        <v>0</v>
      </c>
      <c r="J34" s="153">
        <f>Data!BW35</f>
        <v>0</v>
      </c>
      <c r="K34" s="154">
        <f>IF(Data!$BQ35=0, 0, J34/Data!$BQ35)</f>
        <v>0</v>
      </c>
      <c r="L34" s="151">
        <f>Data!BX35</f>
        <v>135</v>
      </c>
      <c r="M34" s="155">
        <f>IF(Data!$BQ35=0, 0, L34/Data!$BQ35)</f>
        <v>1</v>
      </c>
      <c r="N34" s="64"/>
      <c r="O34" s="64"/>
    </row>
    <row r="35" spans="1:15" ht="12" customHeight="1">
      <c r="A35" s="64"/>
      <c r="B35" s="141" t="str">
        <f>UPPER(LEFT(TRIM(Data!B36),1)) &amp; MID(TRIM(Data!B36),2,50)</f>
        <v>Skydliaukės</v>
      </c>
      <c r="C35" s="141" t="str">
        <f>Data!C36</f>
        <v>C73</v>
      </c>
      <c r="D35" s="160">
        <f>Data!BT36</f>
        <v>184</v>
      </c>
      <c r="E35" s="161">
        <f>IF(Data!$BQ36=0, 0, D35/Data!$BQ36)</f>
        <v>0.62585034013605445</v>
      </c>
      <c r="F35" s="162">
        <f>Data!BU36</f>
        <v>21</v>
      </c>
      <c r="G35" s="161">
        <f>IF(Data!$BQ36=0, 0, F35/Data!$BQ36)</f>
        <v>7.1428571428571425E-2</v>
      </c>
      <c r="H35" s="160">
        <f>Data!BV36</f>
        <v>67</v>
      </c>
      <c r="I35" s="161">
        <f>IF(Data!$BQ36=0, 0, H35/Data!$BQ36)</f>
        <v>0.22789115646258504</v>
      </c>
      <c r="J35" s="162">
        <f>Data!BW36</f>
        <v>19</v>
      </c>
      <c r="K35" s="163">
        <f>IF(Data!$BQ36=0, 0, J35/Data!$BQ36)</f>
        <v>6.4625850340136057E-2</v>
      </c>
      <c r="L35" s="160">
        <f>Data!BX36</f>
        <v>3</v>
      </c>
      <c r="M35" s="164">
        <f>IF(Data!$BQ36=0, 0, L35/Data!$BQ36)</f>
        <v>1.020408163265306E-2</v>
      </c>
      <c r="N35" s="64"/>
      <c r="O35" s="64"/>
    </row>
    <row r="36" spans="1:15" ht="12" customHeight="1">
      <c r="A36" s="64"/>
      <c r="B36" s="125" t="str">
        <f>UPPER(LEFT(TRIM(Data!B37),1)) &amp; MID(TRIM(Data!B37),2,50)</f>
        <v>Kitų endokrininių liaukų</v>
      </c>
      <c r="C36" s="125" t="str">
        <f>Data!C37</f>
        <v>C74-C75</v>
      </c>
      <c r="D36" s="151">
        <f>Data!BT37</f>
        <v>1</v>
      </c>
      <c r="E36" s="152">
        <f>IF(Data!$BQ37=0, 0, D36/Data!$BQ37)</f>
        <v>0.1111111111111111</v>
      </c>
      <c r="F36" s="153">
        <f>Data!BU37</f>
        <v>3</v>
      </c>
      <c r="G36" s="152">
        <f>IF(Data!$BQ37=0, 0, F36/Data!$BQ37)</f>
        <v>0.33333333333333331</v>
      </c>
      <c r="H36" s="151">
        <f>Data!BV37</f>
        <v>0</v>
      </c>
      <c r="I36" s="152">
        <f>IF(Data!$BQ37=0, 0, H36/Data!$BQ37)</f>
        <v>0</v>
      </c>
      <c r="J36" s="153">
        <f>Data!BW37</f>
        <v>2</v>
      </c>
      <c r="K36" s="154">
        <f>IF(Data!$BQ37=0, 0, J36/Data!$BQ37)</f>
        <v>0.22222222222222221</v>
      </c>
      <c r="L36" s="151">
        <f>Data!BX37</f>
        <v>3</v>
      </c>
      <c r="M36" s="155">
        <f>IF(Data!$BQ37=0, 0, L36/Data!$BQ37)</f>
        <v>0.33333333333333331</v>
      </c>
      <c r="N36" s="64"/>
      <c r="O36" s="64"/>
    </row>
    <row r="37" spans="1:15" ht="12" customHeight="1">
      <c r="A37" s="64"/>
      <c r="B37" s="141" t="str">
        <f>UPPER(LEFT(TRIM(Data!B38),1)) &amp; MID(TRIM(Data!B38),2,50)</f>
        <v>Nepatikslintos lokalizacijos</v>
      </c>
      <c r="C37" s="141" t="str">
        <f>Data!C38</f>
        <v>C76-C80</v>
      </c>
      <c r="D37" s="160">
        <f>Data!BT38</f>
        <v>0</v>
      </c>
      <c r="E37" s="161">
        <f>IF(Data!$BQ38=0, 0, D37/Data!$BQ38)</f>
        <v>0</v>
      </c>
      <c r="F37" s="162">
        <f>Data!BU38</f>
        <v>0</v>
      </c>
      <c r="G37" s="161">
        <f>IF(Data!$BQ38=0, 0, F37/Data!$BQ38)</f>
        <v>0</v>
      </c>
      <c r="H37" s="160">
        <f>Data!BV38</f>
        <v>0</v>
      </c>
      <c r="I37" s="161">
        <f>IF(Data!$BQ38=0, 0, H37/Data!$BQ38)</f>
        <v>0</v>
      </c>
      <c r="J37" s="162">
        <f>Data!BW38</f>
        <v>69</v>
      </c>
      <c r="K37" s="163">
        <f>IF(Data!$BQ38=0, 0, J37/Data!$BQ38)</f>
        <v>0.41566265060240964</v>
      </c>
      <c r="L37" s="160">
        <f>Data!BX38</f>
        <v>97</v>
      </c>
      <c r="M37" s="164">
        <f>IF(Data!$BQ38=0, 0, L37/Data!$BQ38)</f>
        <v>0.58433734939759041</v>
      </c>
      <c r="N37" s="64"/>
      <c r="O37" s="64"/>
    </row>
    <row r="38" spans="1:15">
      <c r="A38" s="64"/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</row>
    <row r="39" spans="1:15">
      <c r="A39" s="64"/>
      <c r="B39" s="64"/>
      <c r="C39" s="64"/>
      <c r="D39" s="64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</row>
  </sheetData>
  <mergeCells count="7">
    <mergeCell ref="B4:B5"/>
    <mergeCell ref="C4:C5"/>
    <mergeCell ref="L4:M4"/>
    <mergeCell ref="D4:E4"/>
    <mergeCell ref="F4:G4"/>
    <mergeCell ref="H4:I4"/>
    <mergeCell ref="J4:K4"/>
  </mergeCells>
  <pageMargins left="0.59055118110236215" right="0.62992125984251968" top="1.5748031496062993" bottom="1.9685039370078741" header="0" footer="0"/>
  <pageSetup paperSize="9" orientation="portrait" r:id="rId1"/>
  <headerFooter alignWithMargins="0"/>
  <ignoredErrors>
    <ignoredError sqref="F6 H6 J6 L6 F7 H7 J7 L7 F8:F28 H8:H28 J8:J28 L8:L28 F29:F37 H29:H37 J29:J37 L29:L37" 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6" tint="0.39997558519241921"/>
  </sheetPr>
  <dimension ref="A1:X49"/>
  <sheetViews>
    <sheetView workbookViewId="0">
      <selection activeCell="B3" sqref="B3"/>
    </sheetView>
  </sheetViews>
  <sheetFormatPr defaultRowHeight="11.25"/>
  <cols>
    <col min="1" max="1" width="1.7109375" style="27" customWidth="1"/>
    <col min="2" max="2" width="28.7109375" style="27" customWidth="1"/>
    <col min="3" max="3" width="23.7109375" style="27" customWidth="1"/>
    <col min="4" max="21" width="6" style="27" customWidth="1"/>
    <col min="22" max="22" width="6.42578125" style="27" customWidth="1"/>
    <col min="23" max="33" width="0.85546875" style="27" customWidth="1"/>
    <col min="34" max="16384" width="9.140625" style="27"/>
  </cols>
  <sheetData>
    <row r="1" spans="1:24" ht="15">
      <c r="A1" s="29"/>
      <c r="B1" s="519" t="s">
        <v>403</v>
      </c>
      <c r="C1" s="518"/>
      <c r="D1" s="518"/>
      <c r="E1" s="518"/>
      <c r="F1" s="518"/>
      <c r="G1" s="51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</row>
    <row r="2" spans="1:24" ht="12.75">
      <c r="A2" s="29"/>
      <c r="B2" s="516" t="str">
        <f>"Susirgimų piktybiniais navikais pasiskirstymas pagal amžiaus grupes  " &amp; GrafikaiSerg!A1 &amp; " m. Vyrai."</f>
        <v>Susirgimų piktybiniais navikais pasiskirstymas pagal amžiaus grupes  2014 m. Vyrai.</v>
      </c>
      <c r="C2" s="521"/>
      <c r="D2" s="518"/>
      <c r="E2" s="518"/>
      <c r="F2" s="518"/>
      <c r="G2" s="51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29"/>
      <c r="X2" s="29"/>
    </row>
    <row r="3" spans="1:24" ht="12.75">
      <c r="A3" s="29"/>
      <c r="B3" s="63" t="s">
        <v>621</v>
      </c>
      <c r="C3" s="57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29"/>
      <c r="X3" s="29"/>
    </row>
    <row r="4" spans="1:24" ht="12.95" customHeight="1">
      <c r="A4" s="29"/>
      <c r="B4" s="425" t="s">
        <v>243</v>
      </c>
      <c r="C4" s="425" t="s">
        <v>244</v>
      </c>
      <c r="D4" s="430" t="s">
        <v>419</v>
      </c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29"/>
      <c r="V4" s="435" t="s">
        <v>429</v>
      </c>
      <c r="W4" s="29"/>
      <c r="X4" s="29"/>
    </row>
    <row r="5" spans="1:24" ht="12.95" customHeight="1" thickBot="1">
      <c r="A5" s="29"/>
      <c r="B5" s="426"/>
      <c r="C5" s="426"/>
      <c r="D5" s="166" t="str">
        <f>Data!Q2</f>
        <v xml:space="preserve">0-4 </v>
      </c>
      <c r="E5" s="166" t="str">
        <f>Data!R2</f>
        <v>5-9</v>
      </c>
      <c r="F5" s="166" t="str">
        <f>Data!S2</f>
        <v>10-14</v>
      </c>
      <c r="G5" s="166" t="str">
        <f>Data!T2</f>
        <v>15-19</v>
      </c>
      <c r="H5" s="166" t="str">
        <f>Data!U2</f>
        <v>20-24</v>
      </c>
      <c r="I5" s="166" t="str">
        <f>Data!V2</f>
        <v>25-29</v>
      </c>
      <c r="J5" s="166" t="str">
        <f>Data!W2</f>
        <v>30-34</v>
      </c>
      <c r="K5" s="166" t="str">
        <f>Data!X2</f>
        <v>35-39</v>
      </c>
      <c r="L5" s="166" t="str">
        <f>Data!Y2</f>
        <v>40-44</v>
      </c>
      <c r="M5" s="166" t="str">
        <f>Data!Z2</f>
        <v>45-49</v>
      </c>
      <c r="N5" s="166" t="str">
        <f>Data!AA2</f>
        <v>50-54</v>
      </c>
      <c r="O5" s="166" t="str">
        <f>Data!AB2</f>
        <v>55-59</v>
      </c>
      <c r="P5" s="166" t="str">
        <f>Data!AC2</f>
        <v>60-64</v>
      </c>
      <c r="Q5" s="166" t="str">
        <f>Data!AD2</f>
        <v>65-69</v>
      </c>
      <c r="R5" s="166" t="str">
        <f>Data!AE2</f>
        <v>70-74</v>
      </c>
      <c r="S5" s="166" t="str">
        <f>Data!AF2</f>
        <v>75-79</v>
      </c>
      <c r="T5" s="166" t="str">
        <f>Data!AG2</f>
        <v>80-84</v>
      </c>
      <c r="U5" s="166" t="str">
        <f>Data!AH2</f>
        <v>85+</v>
      </c>
      <c r="V5" s="436"/>
      <c r="W5" s="29"/>
      <c r="X5" s="29"/>
    </row>
    <row r="6" spans="1:24" ht="12" customHeight="1" thickTop="1">
      <c r="A6" s="29"/>
      <c r="B6" s="146" t="str">
        <f>UPPER(LEFT(TRIM(Data!B5),1)) &amp; MID(TRIM(Data!B5),2,50)</f>
        <v>Piktybiniai navikai</v>
      </c>
      <c r="C6" s="146" t="str">
        <f>Data!C5</f>
        <v>C00-C96</v>
      </c>
      <c r="D6" s="165">
        <f>Data!Q5</f>
        <v>25</v>
      </c>
      <c r="E6" s="165">
        <f>Data!R5</f>
        <v>10</v>
      </c>
      <c r="F6" s="165">
        <f>Data!S5</f>
        <v>8</v>
      </c>
      <c r="G6" s="165">
        <f>Data!T5</f>
        <v>18</v>
      </c>
      <c r="H6" s="165">
        <f>Data!U5</f>
        <v>22</v>
      </c>
      <c r="I6" s="165">
        <f>Data!V5</f>
        <v>21</v>
      </c>
      <c r="J6" s="165">
        <f>Data!W5</f>
        <v>53</v>
      </c>
      <c r="K6" s="165">
        <f>Data!X5</f>
        <v>75</v>
      </c>
      <c r="L6" s="165">
        <f>Data!Y5</f>
        <v>133</v>
      </c>
      <c r="M6" s="165">
        <f>Data!Z5</f>
        <v>271</v>
      </c>
      <c r="N6" s="165">
        <f>Data!AA5</f>
        <v>742</v>
      </c>
      <c r="O6" s="165">
        <f>Data!AB5</f>
        <v>1161</v>
      </c>
      <c r="P6" s="165">
        <f>Data!AC5</f>
        <v>1439</v>
      </c>
      <c r="Q6" s="165">
        <f>Data!AD5</f>
        <v>1499</v>
      </c>
      <c r="R6" s="165">
        <f>Data!AE5</f>
        <v>1614</v>
      </c>
      <c r="S6" s="165">
        <f>Data!AF5</f>
        <v>1199</v>
      </c>
      <c r="T6" s="165">
        <f>Data!AG5</f>
        <v>806</v>
      </c>
      <c r="U6" s="165">
        <f>Data!AH5</f>
        <v>473</v>
      </c>
      <c r="V6" s="165">
        <f>SUM(D6:U6)</f>
        <v>9569</v>
      </c>
      <c r="W6" s="29"/>
      <c r="X6" s="29"/>
    </row>
    <row r="7" spans="1:24" ht="12" customHeight="1">
      <c r="A7" s="29"/>
      <c r="B7" s="147" t="str">
        <f>UPPER(LEFT(TRIM(Data!B6),1)) &amp; MID(TRIM(Data!B6),2,50)</f>
        <v>Lūpos</v>
      </c>
      <c r="C7" s="147" t="str">
        <f>Data!C6</f>
        <v>C00</v>
      </c>
      <c r="D7" s="167">
        <f>Data!Q6</f>
        <v>0</v>
      </c>
      <c r="E7" s="167">
        <f>Data!R6</f>
        <v>0</v>
      </c>
      <c r="F7" s="167">
        <f>Data!S6</f>
        <v>0</v>
      </c>
      <c r="G7" s="167">
        <f>Data!T6</f>
        <v>0</v>
      </c>
      <c r="H7" s="167">
        <f>Data!U6</f>
        <v>0</v>
      </c>
      <c r="I7" s="167">
        <f>Data!V6</f>
        <v>0</v>
      </c>
      <c r="J7" s="167">
        <f>Data!W6</f>
        <v>0</v>
      </c>
      <c r="K7" s="167">
        <f>Data!X6</f>
        <v>0</v>
      </c>
      <c r="L7" s="167">
        <f>Data!Y6</f>
        <v>0</v>
      </c>
      <c r="M7" s="167">
        <f>Data!Z6</f>
        <v>0</v>
      </c>
      <c r="N7" s="167">
        <f>Data!AA6</f>
        <v>2</v>
      </c>
      <c r="O7" s="167">
        <f>Data!AB6</f>
        <v>0</v>
      </c>
      <c r="P7" s="167">
        <f>Data!AC6</f>
        <v>4</v>
      </c>
      <c r="Q7" s="167">
        <f>Data!AD6</f>
        <v>2</v>
      </c>
      <c r="R7" s="167">
        <f>Data!AE6</f>
        <v>3</v>
      </c>
      <c r="S7" s="167">
        <f>Data!AF6</f>
        <v>6</v>
      </c>
      <c r="T7" s="167">
        <f>Data!AG6</f>
        <v>2</v>
      </c>
      <c r="U7" s="167">
        <f>Data!AH6</f>
        <v>1</v>
      </c>
      <c r="V7" s="167">
        <f>SUM(D7:U7)</f>
        <v>20</v>
      </c>
      <c r="W7" s="29"/>
      <c r="X7" s="29"/>
    </row>
    <row r="8" spans="1:24" ht="12" customHeight="1">
      <c r="A8" s="29"/>
      <c r="B8" s="146" t="str">
        <f>UPPER(LEFT(TRIM(Data!B7),1)) &amp; MID(TRIM(Data!B7),2,50)</f>
        <v>Burnos ertmės ir ryklės</v>
      </c>
      <c r="C8" s="146" t="str">
        <f>Data!C7</f>
        <v>C01-C14</v>
      </c>
      <c r="D8" s="165">
        <f>Data!Q7</f>
        <v>0</v>
      </c>
      <c r="E8" s="165">
        <f>Data!R7</f>
        <v>0</v>
      </c>
      <c r="F8" s="165">
        <f>Data!S7</f>
        <v>0</v>
      </c>
      <c r="G8" s="165">
        <f>Data!T7</f>
        <v>2</v>
      </c>
      <c r="H8" s="165">
        <f>Data!U7</f>
        <v>0</v>
      </c>
      <c r="I8" s="165">
        <f>Data!V7</f>
        <v>0</v>
      </c>
      <c r="J8" s="165">
        <f>Data!W7</f>
        <v>3</v>
      </c>
      <c r="K8" s="165">
        <f>Data!X7</f>
        <v>4</v>
      </c>
      <c r="L8" s="165">
        <f>Data!Y7</f>
        <v>9</v>
      </c>
      <c r="M8" s="165">
        <f>Data!Z7</f>
        <v>26</v>
      </c>
      <c r="N8" s="165">
        <f>Data!AA7</f>
        <v>32</v>
      </c>
      <c r="O8" s="165">
        <f>Data!AB7</f>
        <v>54</v>
      </c>
      <c r="P8" s="165">
        <f>Data!AC7</f>
        <v>57</v>
      </c>
      <c r="Q8" s="165">
        <f>Data!AD7</f>
        <v>35</v>
      </c>
      <c r="R8" s="165">
        <f>Data!AE7</f>
        <v>17</v>
      </c>
      <c r="S8" s="165">
        <f>Data!AF7</f>
        <v>20</v>
      </c>
      <c r="T8" s="165">
        <f>Data!AG7</f>
        <v>6</v>
      </c>
      <c r="U8" s="165">
        <f>Data!AH7</f>
        <v>7</v>
      </c>
      <c r="V8" s="165">
        <f t="shared" ref="V8:V47" si="0">SUM(D8:U8)</f>
        <v>272</v>
      </c>
      <c r="W8" s="29"/>
      <c r="X8" s="29"/>
    </row>
    <row r="9" spans="1:24" ht="12" customHeight="1">
      <c r="A9" s="29"/>
      <c r="B9" s="147" t="str">
        <f>UPPER(LEFT(TRIM(Data!B8),1)) &amp; MID(TRIM(Data!B8),2,50)</f>
        <v>Stemplės</v>
      </c>
      <c r="C9" s="147" t="str">
        <f>Data!C8</f>
        <v>C15</v>
      </c>
      <c r="D9" s="167">
        <f>Data!Q8</f>
        <v>0</v>
      </c>
      <c r="E9" s="167">
        <f>Data!R8</f>
        <v>0</v>
      </c>
      <c r="F9" s="167">
        <f>Data!S8</f>
        <v>0</v>
      </c>
      <c r="G9" s="167">
        <f>Data!T8</f>
        <v>0</v>
      </c>
      <c r="H9" s="167">
        <f>Data!U8</f>
        <v>0</v>
      </c>
      <c r="I9" s="167">
        <f>Data!V8</f>
        <v>0</v>
      </c>
      <c r="J9" s="167">
        <f>Data!W8</f>
        <v>0</v>
      </c>
      <c r="K9" s="167">
        <f>Data!X8</f>
        <v>2</v>
      </c>
      <c r="L9" s="167">
        <f>Data!Y8</f>
        <v>4</v>
      </c>
      <c r="M9" s="167">
        <f>Data!Z8</f>
        <v>12</v>
      </c>
      <c r="N9" s="167">
        <f>Data!AA8</f>
        <v>20</v>
      </c>
      <c r="O9" s="167">
        <f>Data!AB8</f>
        <v>37</v>
      </c>
      <c r="P9" s="167">
        <f>Data!AC8</f>
        <v>43</v>
      </c>
      <c r="Q9" s="167">
        <f>Data!AD8</f>
        <v>21</v>
      </c>
      <c r="R9" s="167">
        <f>Data!AE8</f>
        <v>17</v>
      </c>
      <c r="S9" s="167">
        <f>Data!AF8</f>
        <v>17</v>
      </c>
      <c r="T9" s="167">
        <f>Data!AG8</f>
        <v>10</v>
      </c>
      <c r="U9" s="167">
        <f>Data!AH8</f>
        <v>5</v>
      </c>
      <c r="V9" s="167">
        <f t="shared" si="0"/>
        <v>188</v>
      </c>
      <c r="W9" s="29"/>
      <c r="X9" s="29"/>
    </row>
    <row r="10" spans="1:24" ht="12" customHeight="1">
      <c r="A10" s="29"/>
      <c r="B10" s="146" t="str">
        <f>UPPER(LEFT(TRIM(Data!B9),1)) &amp; MID(TRIM(Data!B9),2,50)</f>
        <v>Skrandžio</v>
      </c>
      <c r="C10" s="146" t="str">
        <f>Data!C9</f>
        <v>C16</v>
      </c>
      <c r="D10" s="165">
        <f>Data!Q9</f>
        <v>0</v>
      </c>
      <c r="E10" s="165">
        <f>Data!R9</f>
        <v>0</v>
      </c>
      <c r="F10" s="165">
        <f>Data!S9</f>
        <v>0</v>
      </c>
      <c r="G10" s="165">
        <f>Data!T9</f>
        <v>0</v>
      </c>
      <c r="H10" s="165">
        <f>Data!U9</f>
        <v>1</v>
      </c>
      <c r="I10" s="165">
        <f>Data!V9</f>
        <v>0</v>
      </c>
      <c r="J10" s="165">
        <f>Data!W9</f>
        <v>1</v>
      </c>
      <c r="K10" s="165">
        <f>Data!X9</f>
        <v>4</v>
      </c>
      <c r="L10" s="165">
        <f>Data!Y9</f>
        <v>9</v>
      </c>
      <c r="M10" s="165">
        <f>Data!Z9</f>
        <v>21</v>
      </c>
      <c r="N10" s="165">
        <f>Data!AA9</f>
        <v>37</v>
      </c>
      <c r="O10" s="165">
        <f>Data!AB9</f>
        <v>39</v>
      </c>
      <c r="P10" s="165">
        <f>Data!AC9</f>
        <v>79</v>
      </c>
      <c r="Q10" s="165">
        <f>Data!AD9</f>
        <v>43</v>
      </c>
      <c r="R10" s="165">
        <f>Data!AE9</f>
        <v>81</v>
      </c>
      <c r="S10" s="165">
        <f>Data!AF9</f>
        <v>65</v>
      </c>
      <c r="T10" s="165">
        <f>Data!AG9</f>
        <v>50</v>
      </c>
      <c r="U10" s="165">
        <f>Data!AH9</f>
        <v>37</v>
      </c>
      <c r="V10" s="165">
        <f t="shared" si="0"/>
        <v>467</v>
      </c>
      <c r="W10" s="29"/>
      <c r="X10" s="29"/>
    </row>
    <row r="11" spans="1:24" ht="12" customHeight="1">
      <c r="A11" s="29"/>
      <c r="B11" s="147" t="str">
        <f>UPPER(LEFT(TRIM(Data!B10),1)) &amp; MID(TRIM(Data!B10),2,50)</f>
        <v>Gaubtinės žarnos</v>
      </c>
      <c r="C11" s="147" t="str">
        <f>Data!C10</f>
        <v>C18</v>
      </c>
      <c r="D11" s="167">
        <f>Data!Q10</f>
        <v>0</v>
      </c>
      <c r="E11" s="167">
        <f>Data!R10</f>
        <v>0</v>
      </c>
      <c r="F11" s="167">
        <f>Data!S10</f>
        <v>0</v>
      </c>
      <c r="G11" s="167">
        <f>Data!T10</f>
        <v>0</v>
      </c>
      <c r="H11" s="167">
        <f>Data!U10</f>
        <v>1</v>
      </c>
      <c r="I11" s="167">
        <f>Data!V10</f>
        <v>0</v>
      </c>
      <c r="J11" s="167">
        <f>Data!W10</f>
        <v>1</v>
      </c>
      <c r="K11" s="167">
        <f>Data!X10</f>
        <v>4</v>
      </c>
      <c r="L11" s="167">
        <f>Data!Y10</f>
        <v>5</v>
      </c>
      <c r="M11" s="167">
        <f>Data!Z10</f>
        <v>5</v>
      </c>
      <c r="N11" s="167">
        <f>Data!AA10</f>
        <v>12</v>
      </c>
      <c r="O11" s="167">
        <f>Data!AB10</f>
        <v>35</v>
      </c>
      <c r="P11" s="167">
        <f>Data!AC10</f>
        <v>40</v>
      </c>
      <c r="Q11" s="167">
        <f>Data!AD10</f>
        <v>71</v>
      </c>
      <c r="R11" s="167">
        <f>Data!AE10</f>
        <v>74</v>
      </c>
      <c r="S11" s="167">
        <f>Data!AF10</f>
        <v>62</v>
      </c>
      <c r="T11" s="167">
        <f>Data!AG10</f>
        <v>45</v>
      </c>
      <c r="U11" s="167">
        <f>Data!AH10</f>
        <v>48</v>
      </c>
      <c r="V11" s="167">
        <f t="shared" si="0"/>
        <v>403</v>
      </c>
      <c r="W11" s="29"/>
      <c r="X11" s="29"/>
    </row>
    <row r="12" spans="1:24" ht="12" customHeight="1">
      <c r="A12" s="29"/>
      <c r="B12" s="146" t="str">
        <f>UPPER(LEFT(TRIM(Data!B11),1)) &amp; MID(TRIM(Data!B11),2,50)</f>
        <v>Tiesiosios žarnos, išangės</v>
      </c>
      <c r="C12" s="146" t="str">
        <f>Data!C11</f>
        <v>C19-C21</v>
      </c>
      <c r="D12" s="165">
        <f>Data!Q11</f>
        <v>0</v>
      </c>
      <c r="E12" s="165">
        <f>Data!R11</f>
        <v>0</v>
      </c>
      <c r="F12" s="165">
        <f>Data!S11</f>
        <v>0</v>
      </c>
      <c r="G12" s="165">
        <f>Data!T11</f>
        <v>0</v>
      </c>
      <c r="H12" s="165">
        <f>Data!U11</f>
        <v>0</v>
      </c>
      <c r="I12" s="165">
        <f>Data!V11</f>
        <v>0</v>
      </c>
      <c r="J12" s="165">
        <f>Data!W11</f>
        <v>0</v>
      </c>
      <c r="K12" s="165">
        <f>Data!X11</f>
        <v>2</v>
      </c>
      <c r="L12" s="165">
        <f>Data!Y11</f>
        <v>1</v>
      </c>
      <c r="M12" s="165">
        <f>Data!Z11</f>
        <v>11</v>
      </c>
      <c r="N12" s="165">
        <f>Data!AA11</f>
        <v>22</v>
      </c>
      <c r="O12" s="165">
        <f>Data!AB11</f>
        <v>30</v>
      </c>
      <c r="P12" s="165">
        <f>Data!AC11</f>
        <v>41</v>
      </c>
      <c r="Q12" s="165">
        <f>Data!AD11</f>
        <v>47</v>
      </c>
      <c r="R12" s="165">
        <f>Data!AE11</f>
        <v>64</v>
      </c>
      <c r="S12" s="165">
        <f>Data!AF11</f>
        <v>60</v>
      </c>
      <c r="T12" s="165">
        <f>Data!AG11</f>
        <v>46</v>
      </c>
      <c r="U12" s="165">
        <f>Data!AH11</f>
        <v>27</v>
      </c>
      <c r="V12" s="165">
        <f t="shared" si="0"/>
        <v>351</v>
      </c>
      <c r="W12" s="29"/>
      <c r="X12" s="29"/>
    </row>
    <row r="13" spans="1:24" ht="12" customHeight="1">
      <c r="A13" s="29"/>
      <c r="B13" s="147" t="str">
        <f>UPPER(LEFT(TRIM(Data!B12),1)) &amp; MID(TRIM(Data!B12),2,50)</f>
        <v>Kepenų</v>
      </c>
      <c r="C13" s="147" t="str">
        <f>Data!C12</f>
        <v>C22</v>
      </c>
      <c r="D13" s="167">
        <f>Data!Q12</f>
        <v>0</v>
      </c>
      <c r="E13" s="167">
        <f>Data!R12</f>
        <v>0</v>
      </c>
      <c r="F13" s="167">
        <f>Data!S12</f>
        <v>0</v>
      </c>
      <c r="G13" s="167">
        <f>Data!T12</f>
        <v>0</v>
      </c>
      <c r="H13" s="167">
        <f>Data!U12</f>
        <v>0</v>
      </c>
      <c r="I13" s="167">
        <f>Data!V12</f>
        <v>0</v>
      </c>
      <c r="J13" s="167">
        <f>Data!W12</f>
        <v>1</v>
      </c>
      <c r="K13" s="167">
        <f>Data!X12</f>
        <v>0</v>
      </c>
      <c r="L13" s="167">
        <f>Data!Y12</f>
        <v>3</v>
      </c>
      <c r="M13" s="167">
        <f>Data!Z12</f>
        <v>9</v>
      </c>
      <c r="N13" s="167">
        <f>Data!AA12</f>
        <v>14</v>
      </c>
      <c r="O13" s="167">
        <f>Data!AB12</f>
        <v>20</v>
      </c>
      <c r="P13" s="167">
        <f>Data!AC12</f>
        <v>11</v>
      </c>
      <c r="Q13" s="167">
        <f>Data!AD12</f>
        <v>22</v>
      </c>
      <c r="R13" s="167">
        <f>Data!AE12</f>
        <v>21</v>
      </c>
      <c r="S13" s="167">
        <f>Data!AF12</f>
        <v>18</v>
      </c>
      <c r="T13" s="167">
        <f>Data!AG12</f>
        <v>8</v>
      </c>
      <c r="U13" s="167">
        <f>Data!AH12</f>
        <v>10</v>
      </c>
      <c r="V13" s="167">
        <f t="shared" si="0"/>
        <v>137</v>
      </c>
      <c r="W13" s="29"/>
      <c r="X13" s="29"/>
    </row>
    <row r="14" spans="1:24" ht="12" customHeight="1">
      <c r="A14" s="29"/>
      <c r="B14" s="146" t="str">
        <f>UPPER(LEFT(TRIM(Data!B13),1)) &amp; MID(TRIM(Data!B13),2,50)</f>
        <v>Tulžies pūslės, ekstrahepatinių takų</v>
      </c>
      <c r="C14" s="146" t="str">
        <f>Data!C13</f>
        <v>C23, C24</v>
      </c>
      <c r="D14" s="165">
        <f>Data!Q13</f>
        <v>0</v>
      </c>
      <c r="E14" s="165">
        <f>Data!R13</f>
        <v>0</v>
      </c>
      <c r="F14" s="165">
        <f>Data!S13</f>
        <v>0</v>
      </c>
      <c r="G14" s="165">
        <f>Data!T13</f>
        <v>0</v>
      </c>
      <c r="H14" s="165">
        <f>Data!U13</f>
        <v>0</v>
      </c>
      <c r="I14" s="165">
        <f>Data!V13</f>
        <v>0</v>
      </c>
      <c r="J14" s="165">
        <f>Data!W13</f>
        <v>1</v>
      </c>
      <c r="K14" s="165">
        <f>Data!X13</f>
        <v>0</v>
      </c>
      <c r="L14" s="165">
        <f>Data!Y13</f>
        <v>0</v>
      </c>
      <c r="M14" s="165">
        <f>Data!Z13</f>
        <v>2</v>
      </c>
      <c r="N14" s="165">
        <f>Data!AA13</f>
        <v>0</v>
      </c>
      <c r="O14" s="165">
        <f>Data!AB13</f>
        <v>8</v>
      </c>
      <c r="P14" s="165">
        <f>Data!AC13</f>
        <v>5</v>
      </c>
      <c r="Q14" s="165">
        <f>Data!AD13</f>
        <v>5</v>
      </c>
      <c r="R14" s="165">
        <f>Data!AE13</f>
        <v>8</v>
      </c>
      <c r="S14" s="165">
        <f>Data!AF13</f>
        <v>8</v>
      </c>
      <c r="T14" s="165">
        <f>Data!AG13</f>
        <v>8</v>
      </c>
      <c r="U14" s="165">
        <f>Data!AH13</f>
        <v>4</v>
      </c>
      <c r="V14" s="165">
        <f t="shared" si="0"/>
        <v>49</v>
      </c>
      <c r="W14" s="29"/>
      <c r="X14" s="29"/>
    </row>
    <row r="15" spans="1:24" ht="12" customHeight="1">
      <c r="A15" s="29"/>
      <c r="B15" s="147" t="str">
        <f>UPPER(LEFT(TRIM(Data!B14),1)) &amp; MID(TRIM(Data!B14),2,50)</f>
        <v>Kasos</v>
      </c>
      <c r="C15" s="147" t="str">
        <f>Data!C14</f>
        <v>C25</v>
      </c>
      <c r="D15" s="167">
        <f>Data!Q14</f>
        <v>0</v>
      </c>
      <c r="E15" s="167">
        <f>Data!R14</f>
        <v>0</v>
      </c>
      <c r="F15" s="167">
        <f>Data!S14</f>
        <v>0</v>
      </c>
      <c r="G15" s="167">
        <f>Data!T14</f>
        <v>0</v>
      </c>
      <c r="H15" s="167">
        <f>Data!U14</f>
        <v>0</v>
      </c>
      <c r="I15" s="167">
        <f>Data!V14</f>
        <v>0</v>
      </c>
      <c r="J15" s="167">
        <f>Data!W14</f>
        <v>1</v>
      </c>
      <c r="K15" s="167">
        <f>Data!X14</f>
        <v>2</v>
      </c>
      <c r="L15" s="167">
        <f>Data!Y14</f>
        <v>5</v>
      </c>
      <c r="M15" s="167">
        <f>Data!Z14</f>
        <v>9</v>
      </c>
      <c r="N15" s="167">
        <f>Data!AA14</f>
        <v>25</v>
      </c>
      <c r="O15" s="167">
        <f>Data!AB14</f>
        <v>35</v>
      </c>
      <c r="P15" s="167">
        <f>Data!AC14</f>
        <v>30</v>
      </c>
      <c r="Q15" s="167">
        <f>Data!AD14</f>
        <v>45</v>
      </c>
      <c r="R15" s="167">
        <f>Data!AE14</f>
        <v>50</v>
      </c>
      <c r="S15" s="167">
        <f>Data!AF14</f>
        <v>29</v>
      </c>
      <c r="T15" s="167">
        <f>Data!AG14</f>
        <v>22</v>
      </c>
      <c r="U15" s="167">
        <f>Data!AH14</f>
        <v>20</v>
      </c>
      <c r="V15" s="167">
        <f t="shared" si="0"/>
        <v>273</v>
      </c>
      <c r="W15" s="29"/>
      <c r="X15" s="29"/>
    </row>
    <row r="16" spans="1:24" ht="12" customHeight="1">
      <c r="A16" s="29"/>
      <c r="B16" s="146" t="str">
        <f>UPPER(LEFT(TRIM(Data!B15),1)) &amp; MID(TRIM(Data!B15),2,50)</f>
        <v>Kitų virškinimo sistemos organų</v>
      </c>
      <c r="C16" s="146" t="str">
        <f>Data!C15</f>
        <v>C17, C26, C48</v>
      </c>
      <c r="D16" s="165">
        <f>Data!Q15</f>
        <v>0</v>
      </c>
      <c r="E16" s="165">
        <f>Data!R15</f>
        <v>0</v>
      </c>
      <c r="F16" s="165">
        <f>Data!S15</f>
        <v>0</v>
      </c>
      <c r="G16" s="165">
        <f>Data!T15</f>
        <v>1</v>
      </c>
      <c r="H16" s="165">
        <f>Data!U15</f>
        <v>0</v>
      </c>
      <c r="I16" s="165">
        <f>Data!V15</f>
        <v>0</v>
      </c>
      <c r="J16" s="165">
        <f>Data!W15</f>
        <v>0</v>
      </c>
      <c r="K16" s="165">
        <f>Data!X15</f>
        <v>0</v>
      </c>
      <c r="L16" s="165">
        <f>Data!Y15</f>
        <v>2</v>
      </c>
      <c r="M16" s="165">
        <f>Data!Z15</f>
        <v>1</v>
      </c>
      <c r="N16" s="165">
        <f>Data!AA15</f>
        <v>5</v>
      </c>
      <c r="O16" s="165">
        <f>Data!AB15</f>
        <v>4</v>
      </c>
      <c r="P16" s="165">
        <f>Data!AC15</f>
        <v>2</v>
      </c>
      <c r="Q16" s="165">
        <f>Data!AD15</f>
        <v>4</v>
      </c>
      <c r="R16" s="165">
        <f>Data!AE15</f>
        <v>3</v>
      </c>
      <c r="S16" s="165">
        <f>Data!AF15</f>
        <v>5</v>
      </c>
      <c r="T16" s="165">
        <f>Data!AG15</f>
        <v>2</v>
      </c>
      <c r="U16" s="165">
        <f>Data!AH15</f>
        <v>4</v>
      </c>
      <c r="V16" s="165">
        <f t="shared" si="0"/>
        <v>33</v>
      </c>
      <c r="W16" s="29"/>
      <c r="X16" s="29"/>
    </row>
    <row r="17" spans="1:24" ht="12" customHeight="1">
      <c r="A17" s="29"/>
      <c r="B17" s="147" t="str">
        <f>UPPER(LEFT(TRIM(Data!B16),1)) &amp; MID(TRIM(Data!B16),2,50)</f>
        <v>Nosies ertmės, vid.ausies ir ančių</v>
      </c>
      <c r="C17" s="147" t="str">
        <f>Data!C16</f>
        <v>C30, C31</v>
      </c>
      <c r="D17" s="167">
        <f>Data!Q16</f>
        <v>0</v>
      </c>
      <c r="E17" s="167">
        <f>Data!R16</f>
        <v>0</v>
      </c>
      <c r="F17" s="167">
        <f>Data!S16</f>
        <v>0</v>
      </c>
      <c r="G17" s="167">
        <f>Data!T16</f>
        <v>0</v>
      </c>
      <c r="H17" s="167">
        <f>Data!U16</f>
        <v>0</v>
      </c>
      <c r="I17" s="167">
        <f>Data!V16</f>
        <v>0</v>
      </c>
      <c r="J17" s="167">
        <f>Data!W16</f>
        <v>0</v>
      </c>
      <c r="K17" s="167">
        <f>Data!X16</f>
        <v>0</v>
      </c>
      <c r="L17" s="167">
        <f>Data!Y16</f>
        <v>2</v>
      </c>
      <c r="M17" s="167">
        <f>Data!Z16</f>
        <v>3</v>
      </c>
      <c r="N17" s="167">
        <f>Data!AA16</f>
        <v>3</v>
      </c>
      <c r="O17" s="167">
        <f>Data!AB16</f>
        <v>3</v>
      </c>
      <c r="P17" s="167">
        <f>Data!AC16</f>
        <v>3</v>
      </c>
      <c r="Q17" s="167">
        <f>Data!AD16</f>
        <v>4</v>
      </c>
      <c r="R17" s="167">
        <f>Data!AE16</f>
        <v>0</v>
      </c>
      <c r="S17" s="167">
        <f>Data!AF16</f>
        <v>1</v>
      </c>
      <c r="T17" s="167">
        <f>Data!AG16</f>
        <v>1</v>
      </c>
      <c r="U17" s="167">
        <f>Data!AH16</f>
        <v>1</v>
      </c>
      <c r="V17" s="167">
        <f t="shared" si="0"/>
        <v>21</v>
      </c>
      <c r="W17" s="29"/>
      <c r="X17" s="29"/>
    </row>
    <row r="18" spans="1:24" ht="12" customHeight="1">
      <c r="A18" s="29"/>
      <c r="B18" s="146" t="str">
        <f>UPPER(LEFT(TRIM(Data!B17),1)) &amp; MID(TRIM(Data!B17),2,50)</f>
        <v>Gerklų</v>
      </c>
      <c r="C18" s="146" t="str">
        <f>Data!C17</f>
        <v>C32</v>
      </c>
      <c r="D18" s="165">
        <f>Data!Q17</f>
        <v>0</v>
      </c>
      <c r="E18" s="165">
        <f>Data!R17</f>
        <v>0</v>
      </c>
      <c r="F18" s="165">
        <f>Data!S17</f>
        <v>0</v>
      </c>
      <c r="G18" s="165">
        <f>Data!T17</f>
        <v>0</v>
      </c>
      <c r="H18" s="165">
        <f>Data!U17</f>
        <v>0</v>
      </c>
      <c r="I18" s="165">
        <f>Data!V17</f>
        <v>0</v>
      </c>
      <c r="J18" s="165">
        <f>Data!W17</f>
        <v>0</v>
      </c>
      <c r="K18" s="165">
        <f>Data!X17</f>
        <v>0</v>
      </c>
      <c r="L18" s="165">
        <f>Data!Y17</f>
        <v>1</v>
      </c>
      <c r="M18" s="165">
        <f>Data!Z17</f>
        <v>13</v>
      </c>
      <c r="N18" s="165">
        <f>Data!AA17</f>
        <v>23</v>
      </c>
      <c r="O18" s="165">
        <f>Data!AB17</f>
        <v>31</v>
      </c>
      <c r="P18" s="165">
        <f>Data!AC17</f>
        <v>28</v>
      </c>
      <c r="Q18" s="165">
        <f>Data!AD17</f>
        <v>30</v>
      </c>
      <c r="R18" s="165">
        <f>Data!AE17</f>
        <v>21</v>
      </c>
      <c r="S18" s="165">
        <f>Data!AF17</f>
        <v>11</v>
      </c>
      <c r="T18" s="165">
        <f>Data!AG17</f>
        <v>10</v>
      </c>
      <c r="U18" s="165">
        <f>Data!AH17</f>
        <v>6</v>
      </c>
      <c r="V18" s="165">
        <f t="shared" si="0"/>
        <v>174</v>
      </c>
      <c r="W18" s="29"/>
      <c r="X18" s="29"/>
    </row>
    <row r="19" spans="1:24" ht="12" customHeight="1">
      <c r="A19" s="29"/>
      <c r="B19" s="147" t="str">
        <f>UPPER(LEFT(TRIM(Data!B18),1)) &amp; MID(TRIM(Data!B18),2,50)</f>
        <v>Plaučių, trachėjos, bronchų</v>
      </c>
      <c r="C19" s="147" t="str">
        <f>Data!C18</f>
        <v>C33, C34</v>
      </c>
      <c r="D19" s="167">
        <f>Data!Q18</f>
        <v>0</v>
      </c>
      <c r="E19" s="167">
        <f>Data!R18</f>
        <v>0</v>
      </c>
      <c r="F19" s="167">
        <f>Data!S18</f>
        <v>0</v>
      </c>
      <c r="G19" s="167">
        <f>Data!T18</f>
        <v>0</v>
      </c>
      <c r="H19" s="167">
        <f>Data!U18</f>
        <v>0</v>
      </c>
      <c r="I19" s="167">
        <f>Data!V18</f>
        <v>1</v>
      </c>
      <c r="J19" s="167">
        <f>Data!W18</f>
        <v>2</v>
      </c>
      <c r="K19" s="167">
        <f>Data!X18</f>
        <v>2</v>
      </c>
      <c r="L19" s="167">
        <f>Data!Y18</f>
        <v>13</v>
      </c>
      <c r="M19" s="167">
        <f>Data!Z18</f>
        <v>26</v>
      </c>
      <c r="N19" s="167">
        <f>Data!AA18</f>
        <v>76</v>
      </c>
      <c r="O19" s="167">
        <f>Data!AB18</f>
        <v>133</v>
      </c>
      <c r="P19" s="167">
        <f>Data!AC18</f>
        <v>215</v>
      </c>
      <c r="Q19" s="167">
        <f>Data!AD18</f>
        <v>190</v>
      </c>
      <c r="R19" s="167">
        <f>Data!AE18</f>
        <v>214</v>
      </c>
      <c r="S19" s="167">
        <f>Data!AF18</f>
        <v>175</v>
      </c>
      <c r="T19" s="167">
        <f>Data!AG18</f>
        <v>92</v>
      </c>
      <c r="U19" s="167">
        <f>Data!AH18</f>
        <v>37</v>
      </c>
      <c r="V19" s="167">
        <f t="shared" si="0"/>
        <v>1176</v>
      </c>
      <c r="W19" s="29"/>
      <c r="X19" s="29"/>
    </row>
    <row r="20" spans="1:24" ht="12" customHeight="1">
      <c r="A20" s="29"/>
      <c r="B20" s="146" t="str">
        <f>UPPER(LEFT(TRIM(Data!B19),1)) &amp; MID(TRIM(Data!B19),2,50)</f>
        <v>Kitų kvėpavimo sistemos organų</v>
      </c>
      <c r="C20" s="146" t="str">
        <f>Data!C19</f>
        <v>C37-C39</v>
      </c>
      <c r="D20" s="165">
        <f>Data!Q19</f>
        <v>1</v>
      </c>
      <c r="E20" s="165">
        <f>Data!R19</f>
        <v>0</v>
      </c>
      <c r="F20" s="165">
        <f>Data!S19</f>
        <v>0</v>
      </c>
      <c r="G20" s="165">
        <f>Data!T19</f>
        <v>0</v>
      </c>
      <c r="H20" s="165">
        <f>Data!U19</f>
        <v>0</v>
      </c>
      <c r="I20" s="165">
        <f>Data!V19</f>
        <v>0</v>
      </c>
      <c r="J20" s="165">
        <f>Data!W19</f>
        <v>1</v>
      </c>
      <c r="K20" s="165">
        <f>Data!X19</f>
        <v>0</v>
      </c>
      <c r="L20" s="165">
        <f>Data!Y19</f>
        <v>1</v>
      </c>
      <c r="M20" s="165">
        <f>Data!Z19</f>
        <v>1</v>
      </c>
      <c r="N20" s="165">
        <f>Data!AA19</f>
        <v>1</v>
      </c>
      <c r="O20" s="165">
        <f>Data!AB19</f>
        <v>2</v>
      </c>
      <c r="P20" s="165">
        <f>Data!AC19</f>
        <v>2</v>
      </c>
      <c r="Q20" s="165">
        <f>Data!AD19</f>
        <v>0</v>
      </c>
      <c r="R20" s="165">
        <f>Data!AE19</f>
        <v>1</v>
      </c>
      <c r="S20" s="165">
        <f>Data!AF19</f>
        <v>1</v>
      </c>
      <c r="T20" s="165">
        <f>Data!AG19</f>
        <v>0</v>
      </c>
      <c r="U20" s="165">
        <f>Data!AH19</f>
        <v>0</v>
      </c>
      <c r="V20" s="165">
        <f t="shared" si="0"/>
        <v>11</v>
      </c>
      <c r="W20" s="29"/>
      <c r="X20" s="29"/>
    </row>
    <row r="21" spans="1:24" ht="12" customHeight="1">
      <c r="A21" s="29"/>
      <c r="B21" s="147" t="str">
        <f>UPPER(LEFT(TRIM(Data!B20),1)) &amp; MID(TRIM(Data!B20),2,50)</f>
        <v>Kaulų ir jungiamojo audinio</v>
      </c>
      <c r="C21" s="147" t="str">
        <f>Data!C20</f>
        <v>C40-C41, C45-C47, C49</v>
      </c>
      <c r="D21" s="167">
        <f>Data!Q20</f>
        <v>4</v>
      </c>
      <c r="E21" s="167">
        <f>Data!R20</f>
        <v>2</v>
      </c>
      <c r="F21" s="167">
        <f>Data!S20</f>
        <v>1</v>
      </c>
      <c r="G21" s="167">
        <f>Data!T20</f>
        <v>1</v>
      </c>
      <c r="H21" s="167">
        <f>Data!U20</f>
        <v>0</v>
      </c>
      <c r="I21" s="167">
        <f>Data!V20</f>
        <v>3</v>
      </c>
      <c r="J21" s="167">
        <f>Data!W20</f>
        <v>4</v>
      </c>
      <c r="K21" s="167">
        <f>Data!X20</f>
        <v>4</v>
      </c>
      <c r="L21" s="167">
        <f>Data!Y20</f>
        <v>3</v>
      </c>
      <c r="M21" s="167">
        <f>Data!Z20</f>
        <v>4</v>
      </c>
      <c r="N21" s="167">
        <f>Data!AA20</f>
        <v>6</v>
      </c>
      <c r="O21" s="167">
        <f>Data!AB20</f>
        <v>5</v>
      </c>
      <c r="P21" s="167">
        <f>Data!AC20</f>
        <v>5</v>
      </c>
      <c r="Q21" s="167">
        <f>Data!AD20</f>
        <v>3</v>
      </c>
      <c r="R21" s="167">
        <f>Data!AE20</f>
        <v>4</v>
      </c>
      <c r="S21" s="167">
        <f>Data!AF20</f>
        <v>5</v>
      </c>
      <c r="T21" s="167">
        <f>Data!AG20</f>
        <v>6</v>
      </c>
      <c r="U21" s="167">
        <f>Data!AH20</f>
        <v>2</v>
      </c>
      <c r="V21" s="167">
        <f t="shared" si="0"/>
        <v>62</v>
      </c>
      <c r="W21" s="29"/>
      <c r="X21" s="29"/>
    </row>
    <row r="22" spans="1:24" ht="12" customHeight="1">
      <c r="A22" s="29"/>
      <c r="B22" s="146" t="str">
        <f>UPPER(LEFT(TRIM(Data!B21),1)) &amp; MID(TRIM(Data!B21),2,50)</f>
        <v>Odos melanoma</v>
      </c>
      <c r="C22" s="146" t="str">
        <f>Data!C21</f>
        <v>C43</v>
      </c>
      <c r="D22" s="165">
        <f>Data!Q21</f>
        <v>0</v>
      </c>
      <c r="E22" s="165">
        <f>Data!R21</f>
        <v>0</v>
      </c>
      <c r="F22" s="165">
        <f>Data!S21</f>
        <v>0</v>
      </c>
      <c r="G22" s="165">
        <f>Data!T21</f>
        <v>1</v>
      </c>
      <c r="H22" s="165">
        <f>Data!U21</f>
        <v>0</v>
      </c>
      <c r="I22" s="165">
        <f>Data!V21</f>
        <v>1</v>
      </c>
      <c r="J22" s="165">
        <f>Data!W21</f>
        <v>1</v>
      </c>
      <c r="K22" s="165">
        <f>Data!X21</f>
        <v>7</v>
      </c>
      <c r="L22" s="165">
        <f>Data!Y21</f>
        <v>5</v>
      </c>
      <c r="M22" s="165">
        <f>Data!Z21</f>
        <v>7</v>
      </c>
      <c r="N22" s="165">
        <f>Data!AA21</f>
        <v>12</v>
      </c>
      <c r="O22" s="165">
        <f>Data!AB21</f>
        <v>11</v>
      </c>
      <c r="P22" s="165">
        <f>Data!AC21</f>
        <v>12</v>
      </c>
      <c r="Q22" s="165">
        <f>Data!AD21</f>
        <v>10</v>
      </c>
      <c r="R22" s="165">
        <f>Data!AE21</f>
        <v>11</v>
      </c>
      <c r="S22" s="165">
        <f>Data!AF21</f>
        <v>13</v>
      </c>
      <c r="T22" s="165">
        <f>Data!AG21</f>
        <v>11</v>
      </c>
      <c r="U22" s="165">
        <f>Data!AH21</f>
        <v>6</v>
      </c>
      <c r="V22" s="165">
        <f t="shared" si="0"/>
        <v>108</v>
      </c>
      <c r="W22" s="29"/>
      <c r="X22" s="29"/>
    </row>
    <row r="23" spans="1:24" ht="12" customHeight="1">
      <c r="A23" s="29"/>
      <c r="B23" s="147" t="str">
        <f>UPPER(LEFT(TRIM(Data!B22),1)) &amp; MID(TRIM(Data!B22),2,50)</f>
        <v>Kiti odos piktybiniai navikai</v>
      </c>
      <c r="C23" s="147" t="str">
        <f>Data!C22</f>
        <v>C44</v>
      </c>
      <c r="D23" s="167">
        <f>Data!Q22</f>
        <v>0</v>
      </c>
      <c r="E23" s="167">
        <f>Data!R22</f>
        <v>0</v>
      </c>
      <c r="F23" s="167">
        <f>Data!S22</f>
        <v>0</v>
      </c>
      <c r="G23" s="167">
        <f>Data!T22</f>
        <v>1</v>
      </c>
      <c r="H23" s="167">
        <f>Data!U22</f>
        <v>3</v>
      </c>
      <c r="I23" s="167">
        <f>Data!V22</f>
        <v>3</v>
      </c>
      <c r="J23" s="167">
        <f>Data!W22</f>
        <v>8</v>
      </c>
      <c r="K23" s="167">
        <f>Data!X22</f>
        <v>10</v>
      </c>
      <c r="L23" s="167">
        <f>Data!Y22</f>
        <v>18</v>
      </c>
      <c r="M23" s="167">
        <f>Data!Z22</f>
        <v>23</v>
      </c>
      <c r="N23" s="167">
        <f>Data!AA22</f>
        <v>38</v>
      </c>
      <c r="O23" s="167">
        <f>Data!AB22</f>
        <v>88</v>
      </c>
      <c r="P23" s="167">
        <f>Data!AC22</f>
        <v>93</v>
      </c>
      <c r="Q23" s="167">
        <f>Data!AD22</f>
        <v>107</v>
      </c>
      <c r="R23" s="167">
        <f>Data!AE22</f>
        <v>135</v>
      </c>
      <c r="S23" s="167">
        <f>Data!AF22</f>
        <v>164</v>
      </c>
      <c r="T23" s="167">
        <f>Data!AG22</f>
        <v>108</v>
      </c>
      <c r="U23" s="167">
        <f>Data!AH22</f>
        <v>68</v>
      </c>
      <c r="V23" s="167">
        <f t="shared" si="0"/>
        <v>867</v>
      </c>
      <c r="W23" s="29"/>
      <c r="X23" s="29"/>
    </row>
    <row r="24" spans="1:24" ht="12" customHeight="1">
      <c r="A24" s="29"/>
      <c r="B24" s="146" t="str">
        <f>UPPER(LEFT(TRIM(Data!B23),1)) &amp; MID(TRIM(Data!B23),2,50)</f>
        <v>Krūties</v>
      </c>
      <c r="C24" s="146" t="str">
        <f>Data!C23</f>
        <v>C50</v>
      </c>
      <c r="D24" s="165">
        <f>Data!Q23</f>
        <v>0</v>
      </c>
      <c r="E24" s="165">
        <f>Data!R23</f>
        <v>0</v>
      </c>
      <c r="F24" s="165">
        <f>Data!S23</f>
        <v>0</v>
      </c>
      <c r="G24" s="165">
        <f>Data!T23</f>
        <v>0</v>
      </c>
      <c r="H24" s="165">
        <f>Data!U23</f>
        <v>0</v>
      </c>
      <c r="I24" s="165">
        <f>Data!V23</f>
        <v>0</v>
      </c>
      <c r="J24" s="165">
        <f>Data!W23</f>
        <v>0</v>
      </c>
      <c r="K24" s="165">
        <f>Data!X23</f>
        <v>1</v>
      </c>
      <c r="L24" s="165">
        <f>Data!Y23</f>
        <v>0</v>
      </c>
      <c r="M24" s="165">
        <f>Data!Z23</f>
        <v>0</v>
      </c>
      <c r="N24" s="165">
        <f>Data!AA23</f>
        <v>1</v>
      </c>
      <c r="O24" s="165">
        <f>Data!AB23</f>
        <v>2</v>
      </c>
      <c r="P24" s="165">
        <f>Data!AC23</f>
        <v>0</v>
      </c>
      <c r="Q24" s="165">
        <f>Data!AD23</f>
        <v>2</v>
      </c>
      <c r="R24" s="165">
        <f>Data!AE23</f>
        <v>4</v>
      </c>
      <c r="S24" s="165">
        <f>Data!AF23</f>
        <v>4</v>
      </c>
      <c r="T24" s="165">
        <f>Data!AG23</f>
        <v>0</v>
      </c>
      <c r="U24" s="165">
        <f>Data!AH23</f>
        <v>0</v>
      </c>
      <c r="V24" s="165">
        <f t="shared" si="0"/>
        <v>14</v>
      </c>
      <c r="W24" s="29"/>
      <c r="X24" s="29"/>
    </row>
    <row r="25" spans="1:24" ht="12" customHeight="1">
      <c r="A25" s="29"/>
      <c r="B25" s="147" t="str">
        <f>UPPER(LEFT(TRIM(Data!B28),1)) &amp; MID(TRIM(Data!B28),2,50)</f>
        <v>Priešinės liaukos</v>
      </c>
      <c r="C25" s="147" t="str">
        <f>Data!C28</f>
        <v>C61</v>
      </c>
      <c r="D25" s="167">
        <f>Data!Q28</f>
        <v>0</v>
      </c>
      <c r="E25" s="167">
        <f>Data!R28</f>
        <v>0</v>
      </c>
      <c r="F25" s="167">
        <f>Data!S28</f>
        <v>0</v>
      </c>
      <c r="G25" s="167">
        <f>Data!T28</f>
        <v>0</v>
      </c>
      <c r="H25" s="167">
        <f>Data!U28</f>
        <v>0</v>
      </c>
      <c r="I25" s="167">
        <f>Data!V28</f>
        <v>0</v>
      </c>
      <c r="J25" s="167">
        <f>Data!W28</f>
        <v>0</v>
      </c>
      <c r="K25" s="167">
        <f>Data!X28</f>
        <v>0</v>
      </c>
      <c r="L25" s="167">
        <f>Data!Y28</f>
        <v>8</v>
      </c>
      <c r="M25" s="167">
        <f>Data!Z28</f>
        <v>29</v>
      </c>
      <c r="N25" s="167">
        <f>Data!AA28</f>
        <v>289</v>
      </c>
      <c r="O25" s="167">
        <f>Data!AB28</f>
        <v>459</v>
      </c>
      <c r="P25" s="167">
        <f>Data!AC28</f>
        <v>577</v>
      </c>
      <c r="Q25" s="167">
        <f>Data!AD28</f>
        <v>631</v>
      </c>
      <c r="R25" s="167">
        <f>Data!AE28</f>
        <v>637</v>
      </c>
      <c r="S25" s="167">
        <f>Data!AF28</f>
        <v>299</v>
      </c>
      <c r="T25" s="167">
        <f>Data!AG28</f>
        <v>204</v>
      </c>
      <c r="U25" s="167">
        <f>Data!AH28</f>
        <v>97</v>
      </c>
      <c r="V25" s="167">
        <f t="shared" si="0"/>
        <v>3230</v>
      </c>
      <c r="W25" s="29"/>
      <c r="X25" s="29"/>
    </row>
    <row r="26" spans="1:24" ht="12" customHeight="1">
      <c r="A26" s="29"/>
      <c r="B26" s="146" t="str">
        <f>UPPER(LEFT(TRIM(Data!B29),1)) &amp; MID(TRIM(Data!B29),2,50)</f>
        <v>Sėklidžių</v>
      </c>
      <c r="C26" s="146" t="str">
        <f>Data!C29</f>
        <v>C62</v>
      </c>
      <c r="D26" s="165">
        <f>Data!Q29</f>
        <v>0</v>
      </c>
      <c r="E26" s="165">
        <f>Data!R29</f>
        <v>0</v>
      </c>
      <c r="F26" s="165">
        <f>Data!S29</f>
        <v>0</v>
      </c>
      <c r="G26" s="165">
        <f>Data!T29</f>
        <v>4</v>
      </c>
      <c r="H26" s="165">
        <f>Data!U29</f>
        <v>3</v>
      </c>
      <c r="I26" s="165">
        <f>Data!V29</f>
        <v>7</v>
      </c>
      <c r="J26" s="165">
        <f>Data!W29</f>
        <v>5</v>
      </c>
      <c r="K26" s="165">
        <f>Data!X29</f>
        <v>2</v>
      </c>
      <c r="L26" s="165">
        <f>Data!Y29</f>
        <v>5</v>
      </c>
      <c r="M26" s="165">
        <f>Data!Z29</f>
        <v>2</v>
      </c>
      <c r="N26" s="165">
        <f>Data!AA29</f>
        <v>2</v>
      </c>
      <c r="O26" s="165">
        <f>Data!AB29</f>
        <v>1</v>
      </c>
      <c r="P26" s="165">
        <f>Data!AC29</f>
        <v>0</v>
      </c>
      <c r="Q26" s="165">
        <f>Data!AD29</f>
        <v>0</v>
      </c>
      <c r="R26" s="165">
        <f>Data!AE29</f>
        <v>0</v>
      </c>
      <c r="S26" s="165">
        <f>Data!AF29</f>
        <v>0</v>
      </c>
      <c r="T26" s="165">
        <f>Data!AG29</f>
        <v>0</v>
      </c>
      <c r="U26" s="165">
        <f>Data!AH29</f>
        <v>0</v>
      </c>
      <c r="V26" s="165">
        <f t="shared" si="0"/>
        <v>31</v>
      </c>
      <c r="W26" s="29"/>
      <c r="X26" s="29"/>
    </row>
    <row r="27" spans="1:24" ht="12" customHeight="1">
      <c r="A27" s="29"/>
      <c r="B27" s="147" t="str">
        <f>UPPER(LEFT(TRIM(Data!B30),1)) &amp; MID(TRIM(Data!B30),2,50)</f>
        <v>Kitų lyties organų</v>
      </c>
      <c r="C27" s="147" t="s">
        <v>417</v>
      </c>
      <c r="D27" s="167">
        <f>Data!Q30</f>
        <v>0</v>
      </c>
      <c r="E27" s="167">
        <f>Data!R30</f>
        <v>0</v>
      </c>
      <c r="F27" s="167">
        <f>Data!S30</f>
        <v>0</v>
      </c>
      <c r="G27" s="167">
        <f>Data!T30</f>
        <v>0</v>
      </c>
      <c r="H27" s="167">
        <f>Data!U30</f>
        <v>0</v>
      </c>
      <c r="I27" s="167">
        <f>Data!V30</f>
        <v>0</v>
      </c>
      <c r="J27" s="167">
        <f>Data!W30</f>
        <v>1</v>
      </c>
      <c r="K27" s="167">
        <f>Data!X30</f>
        <v>0</v>
      </c>
      <c r="L27" s="167">
        <f>Data!Y30</f>
        <v>0</v>
      </c>
      <c r="M27" s="167">
        <f>Data!Z30</f>
        <v>1</v>
      </c>
      <c r="N27" s="167">
        <f>Data!AA30</f>
        <v>1</v>
      </c>
      <c r="O27" s="167">
        <f>Data!AB30</f>
        <v>1</v>
      </c>
      <c r="P27" s="167">
        <f>Data!AC30</f>
        <v>4</v>
      </c>
      <c r="Q27" s="167">
        <f>Data!AD30</f>
        <v>3</v>
      </c>
      <c r="R27" s="167">
        <f>Data!AE30</f>
        <v>6</v>
      </c>
      <c r="S27" s="167">
        <f>Data!AF30</f>
        <v>1</v>
      </c>
      <c r="T27" s="167">
        <f>Data!AG30</f>
        <v>1</v>
      </c>
      <c r="U27" s="167">
        <f>Data!AH30</f>
        <v>2</v>
      </c>
      <c r="V27" s="167">
        <f t="shared" si="0"/>
        <v>21</v>
      </c>
      <c r="W27" s="29"/>
      <c r="X27" s="29"/>
    </row>
    <row r="28" spans="1:24" ht="12" customHeight="1">
      <c r="A28" s="29"/>
      <c r="B28" s="146" t="str">
        <f>UPPER(LEFT(TRIM(Data!B31),1)) &amp; MID(TRIM(Data!B31),2,50)</f>
        <v>Inkstų</v>
      </c>
      <c r="C28" s="146" t="str">
        <f>Data!C31</f>
        <v>C64</v>
      </c>
      <c r="D28" s="165">
        <f>Data!Q31</f>
        <v>0</v>
      </c>
      <c r="E28" s="165">
        <f>Data!R31</f>
        <v>1</v>
      </c>
      <c r="F28" s="165">
        <f>Data!S31</f>
        <v>0</v>
      </c>
      <c r="G28" s="165">
        <f>Data!T31</f>
        <v>0</v>
      </c>
      <c r="H28" s="165">
        <f>Data!U31</f>
        <v>0</v>
      </c>
      <c r="I28" s="165">
        <f>Data!V31</f>
        <v>1</v>
      </c>
      <c r="J28" s="165">
        <f>Data!W31</f>
        <v>5</v>
      </c>
      <c r="K28" s="165">
        <f>Data!X31</f>
        <v>7</v>
      </c>
      <c r="L28" s="165">
        <f>Data!Y31</f>
        <v>13</v>
      </c>
      <c r="M28" s="165">
        <f>Data!Z31</f>
        <v>23</v>
      </c>
      <c r="N28" s="165">
        <f>Data!AA31</f>
        <v>26</v>
      </c>
      <c r="O28" s="165">
        <f>Data!AB31</f>
        <v>65</v>
      </c>
      <c r="P28" s="165">
        <f>Data!AC31</f>
        <v>58</v>
      </c>
      <c r="Q28" s="165">
        <f>Data!AD31</f>
        <v>73</v>
      </c>
      <c r="R28" s="165">
        <f>Data!AE31</f>
        <v>64</v>
      </c>
      <c r="S28" s="165">
        <f>Data!AF31</f>
        <v>43</v>
      </c>
      <c r="T28" s="165">
        <f>Data!AG31</f>
        <v>32</v>
      </c>
      <c r="U28" s="165">
        <f>Data!AH31</f>
        <v>10</v>
      </c>
      <c r="V28" s="165">
        <f t="shared" si="0"/>
        <v>421</v>
      </c>
      <c r="W28" s="29"/>
      <c r="X28" s="29"/>
    </row>
    <row r="29" spans="1:24" ht="12" customHeight="1">
      <c r="A29" s="29"/>
      <c r="B29" s="147" t="str">
        <f>UPPER(LEFT(TRIM(Data!B32),1)) &amp; MID(TRIM(Data!B32),2,50)</f>
        <v>Šlapimo pūslės</v>
      </c>
      <c r="C29" s="147" t="str">
        <f>Data!C32</f>
        <v>C67</v>
      </c>
      <c r="D29" s="167">
        <f>Data!Q32</f>
        <v>0</v>
      </c>
      <c r="E29" s="167">
        <f>Data!R32</f>
        <v>0</v>
      </c>
      <c r="F29" s="167">
        <f>Data!S32</f>
        <v>0</v>
      </c>
      <c r="G29" s="167">
        <f>Data!T32</f>
        <v>0</v>
      </c>
      <c r="H29" s="167">
        <f>Data!U32</f>
        <v>0</v>
      </c>
      <c r="I29" s="167">
        <f>Data!V32</f>
        <v>0</v>
      </c>
      <c r="J29" s="167">
        <f>Data!W32</f>
        <v>2</v>
      </c>
      <c r="K29" s="167">
        <f>Data!X32</f>
        <v>2</v>
      </c>
      <c r="L29" s="167">
        <f>Data!Y32</f>
        <v>2</v>
      </c>
      <c r="M29" s="167">
        <f>Data!Z32</f>
        <v>8</v>
      </c>
      <c r="N29" s="167">
        <f>Data!AA32</f>
        <v>11</v>
      </c>
      <c r="O29" s="167">
        <f>Data!AB32</f>
        <v>19</v>
      </c>
      <c r="P29" s="167">
        <f>Data!AC32</f>
        <v>26</v>
      </c>
      <c r="Q29" s="167">
        <f>Data!AD32</f>
        <v>46</v>
      </c>
      <c r="R29" s="167">
        <f>Data!AE32</f>
        <v>46</v>
      </c>
      <c r="S29" s="167">
        <f>Data!AF32</f>
        <v>45</v>
      </c>
      <c r="T29" s="167">
        <f>Data!AG32</f>
        <v>38</v>
      </c>
      <c r="U29" s="167">
        <f>Data!AH32</f>
        <v>27</v>
      </c>
      <c r="V29" s="167">
        <f t="shared" si="0"/>
        <v>272</v>
      </c>
      <c r="W29" s="29"/>
      <c r="X29" s="29"/>
    </row>
    <row r="30" spans="1:24" ht="12" customHeight="1">
      <c r="A30" s="29"/>
      <c r="B30" s="146" t="str">
        <f>UPPER(LEFT(TRIM(Data!B33),1)) &amp; MID(TRIM(Data!B33),2,50)</f>
        <v>Kitų šlapimą išskiriančių organų</v>
      </c>
      <c r="C30" s="146" t="str">
        <f>Data!C33</f>
        <v>C65, C66, C68</v>
      </c>
      <c r="D30" s="165">
        <f>Data!Q33</f>
        <v>0</v>
      </c>
      <c r="E30" s="165">
        <f>Data!R33</f>
        <v>0</v>
      </c>
      <c r="F30" s="165">
        <f>Data!S33</f>
        <v>0</v>
      </c>
      <c r="G30" s="165">
        <f>Data!T33</f>
        <v>0</v>
      </c>
      <c r="H30" s="165">
        <f>Data!U33</f>
        <v>0</v>
      </c>
      <c r="I30" s="165">
        <f>Data!V33</f>
        <v>0</v>
      </c>
      <c r="J30" s="165">
        <f>Data!W33</f>
        <v>0</v>
      </c>
      <c r="K30" s="165">
        <f>Data!X33</f>
        <v>1</v>
      </c>
      <c r="L30" s="165">
        <f>Data!Y33</f>
        <v>0</v>
      </c>
      <c r="M30" s="165">
        <f>Data!Z33</f>
        <v>0</v>
      </c>
      <c r="N30" s="165">
        <f>Data!AA33</f>
        <v>1</v>
      </c>
      <c r="O30" s="165">
        <f>Data!AB33</f>
        <v>1</v>
      </c>
      <c r="P30" s="165">
        <f>Data!AC33</f>
        <v>3</v>
      </c>
      <c r="Q30" s="165">
        <f>Data!AD33</f>
        <v>2</v>
      </c>
      <c r="R30" s="165">
        <f>Data!AE33</f>
        <v>3</v>
      </c>
      <c r="S30" s="165">
        <f>Data!AF33</f>
        <v>5</v>
      </c>
      <c r="T30" s="165">
        <f>Data!AG33</f>
        <v>1</v>
      </c>
      <c r="U30" s="165">
        <f>Data!AH33</f>
        <v>1</v>
      </c>
      <c r="V30" s="165">
        <f t="shared" si="0"/>
        <v>18</v>
      </c>
      <c r="W30" s="29"/>
      <c r="X30" s="29"/>
    </row>
    <row r="31" spans="1:24" ht="12" customHeight="1">
      <c r="A31" s="29"/>
      <c r="B31" s="147" t="str">
        <f>UPPER(LEFT(TRIM(Data!B34),1)) &amp; MID(TRIM(Data!B34),2,50)</f>
        <v>Akių</v>
      </c>
      <c r="C31" s="147" t="str">
        <f>Data!C34</f>
        <v>C69</v>
      </c>
      <c r="D31" s="167">
        <f>Data!Q34</f>
        <v>1</v>
      </c>
      <c r="E31" s="167">
        <f>Data!R34</f>
        <v>0</v>
      </c>
      <c r="F31" s="167">
        <f>Data!S34</f>
        <v>0</v>
      </c>
      <c r="G31" s="167">
        <f>Data!T34</f>
        <v>0</v>
      </c>
      <c r="H31" s="167">
        <f>Data!U34</f>
        <v>0</v>
      </c>
      <c r="I31" s="167">
        <f>Data!V34</f>
        <v>0</v>
      </c>
      <c r="J31" s="167">
        <f>Data!W34</f>
        <v>0</v>
      </c>
      <c r="K31" s="167">
        <f>Data!X34</f>
        <v>1</v>
      </c>
      <c r="L31" s="167">
        <f>Data!Y34</f>
        <v>0</v>
      </c>
      <c r="M31" s="167">
        <f>Data!Z34</f>
        <v>1</v>
      </c>
      <c r="N31" s="167">
        <f>Data!AA34</f>
        <v>0</v>
      </c>
      <c r="O31" s="167">
        <f>Data!AB34</f>
        <v>0</v>
      </c>
      <c r="P31" s="167">
        <f>Data!AC34</f>
        <v>0</v>
      </c>
      <c r="Q31" s="167">
        <f>Data!AD34</f>
        <v>0</v>
      </c>
      <c r="R31" s="167">
        <f>Data!AE34</f>
        <v>4</v>
      </c>
      <c r="S31" s="167">
        <f>Data!AF34</f>
        <v>2</v>
      </c>
      <c r="T31" s="167">
        <f>Data!AG34</f>
        <v>1</v>
      </c>
      <c r="U31" s="167">
        <f>Data!AH34</f>
        <v>0</v>
      </c>
      <c r="V31" s="167">
        <f t="shared" si="0"/>
        <v>10</v>
      </c>
      <c r="W31" s="29"/>
      <c r="X31" s="29"/>
    </row>
    <row r="32" spans="1:24" ht="12" customHeight="1">
      <c r="A32" s="29"/>
      <c r="B32" s="146" t="str">
        <f>UPPER(LEFT(TRIM(Data!B35),1)) &amp; MID(TRIM(Data!B35),2,50)</f>
        <v>Smegenų</v>
      </c>
      <c r="C32" s="146" t="str">
        <f>Data!C35</f>
        <v>C70-C72</v>
      </c>
      <c r="D32" s="165">
        <f>Data!Q35</f>
        <v>3</v>
      </c>
      <c r="E32" s="165">
        <f>Data!R35</f>
        <v>3</v>
      </c>
      <c r="F32" s="165">
        <f>Data!S35</f>
        <v>3</v>
      </c>
      <c r="G32" s="165">
        <f>Data!T35</f>
        <v>1</v>
      </c>
      <c r="H32" s="165">
        <f>Data!U35</f>
        <v>2</v>
      </c>
      <c r="I32" s="165">
        <f>Data!V35</f>
        <v>1</v>
      </c>
      <c r="J32" s="165">
        <f>Data!W35</f>
        <v>4</v>
      </c>
      <c r="K32" s="165">
        <f>Data!X35</f>
        <v>4</v>
      </c>
      <c r="L32" s="165">
        <f>Data!Y35</f>
        <v>10</v>
      </c>
      <c r="M32" s="165">
        <f>Data!Z35</f>
        <v>7</v>
      </c>
      <c r="N32" s="165">
        <f>Data!AA35</f>
        <v>19</v>
      </c>
      <c r="O32" s="165">
        <f>Data!AB35</f>
        <v>13</v>
      </c>
      <c r="P32" s="165">
        <f>Data!AC35</f>
        <v>11</v>
      </c>
      <c r="Q32" s="165">
        <f>Data!AD35</f>
        <v>17</v>
      </c>
      <c r="R32" s="165">
        <f>Data!AE35</f>
        <v>17</v>
      </c>
      <c r="S32" s="165">
        <f>Data!AF35</f>
        <v>16</v>
      </c>
      <c r="T32" s="165">
        <f>Data!AG35</f>
        <v>13</v>
      </c>
      <c r="U32" s="165">
        <f>Data!AH35</f>
        <v>2</v>
      </c>
      <c r="V32" s="165">
        <f t="shared" si="0"/>
        <v>146</v>
      </c>
      <c r="W32" s="29"/>
      <c r="X32" s="29"/>
    </row>
    <row r="33" spans="1:24" ht="12" customHeight="1">
      <c r="A33" s="29"/>
      <c r="B33" s="147" t="str">
        <f>UPPER(LEFT(TRIM(Data!B36),1)) &amp; MID(TRIM(Data!B36),2,50)</f>
        <v>Skydliaukės</v>
      </c>
      <c r="C33" s="147" t="str">
        <f>Data!C36</f>
        <v>C73</v>
      </c>
      <c r="D33" s="167">
        <f>Data!Q36</f>
        <v>0</v>
      </c>
      <c r="E33" s="167">
        <f>Data!R36</f>
        <v>0</v>
      </c>
      <c r="F33" s="167">
        <f>Data!S36</f>
        <v>1</v>
      </c>
      <c r="G33" s="167">
        <f>Data!T36</f>
        <v>0</v>
      </c>
      <c r="H33" s="167">
        <f>Data!U36</f>
        <v>3</v>
      </c>
      <c r="I33" s="167">
        <f>Data!V36</f>
        <v>1</v>
      </c>
      <c r="J33" s="167">
        <f>Data!W36</f>
        <v>3</v>
      </c>
      <c r="K33" s="167">
        <f>Data!X36</f>
        <v>4</v>
      </c>
      <c r="L33" s="167">
        <f>Data!Y36</f>
        <v>3</v>
      </c>
      <c r="M33" s="167">
        <f>Data!Z36</f>
        <v>4</v>
      </c>
      <c r="N33" s="167">
        <f>Data!AA36</f>
        <v>10</v>
      </c>
      <c r="O33" s="167">
        <f>Data!AB36</f>
        <v>5</v>
      </c>
      <c r="P33" s="167">
        <f>Data!AC36</f>
        <v>5</v>
      </c>
      <c r="Q33" s="167">
        <f>Data!AD36</f>
        <v>6</v>
      </c>
      <c r="R33" s="167">
        <f>Data!AE36</f>
        <v>4</v>
      </c>
      <c r="S33" s="167">
        <f>Data!AF36</f>
        <v>4</v>
      </c>
      <c r="T33" s="167">
        <f>Data!AG36</f>
        <v>0</v>
      </c>
      <c r="U33" s="167">
        <f>Data!AH36</f>
        <v>0</v>
      </c>
      <c r="V33" s="167">
        <f t="shared" si="0"/>
        <v>53</v>
      </c>
      <c r="W33" s="29"/>
      <c r="X33" s="29"/>
    </row>
    <row r="34" spans="1:24" ht="12" customHeight="1">
      <c r="A34" s="29"/>
      <c r="B34" s="146" t="str">
        <f>UPPER(LEFT(TRIM(Data!B37),1)) &amp; MID(TRIM(Data!B37),2,50)</f>
        <v>Kitų endokrininių liaukų</v>
      </c>
      <c r="C34" s="146" t="str">
        <f>Data!C37</f>
        <v>C74-C75</v>
      </c>
      <c r="D34" s="165">
        <f>Data!Q37</f>
        <v>3</v>
      </c>
      <c r="E34" s="165">
        <f>Data!R37</f>
        <v>1</v>
      </c>
      <c r="F34" s="165">
        <f>Data!S37</f>
        <v>0</v>
      </c>
      <c r="G34" s="165">
        <f>Data!T37</f>
        <v>0</v>
      </c>
      <c r="H34" s="165">
        <f>Data!U37</f>
        <v>0</v>
      </c>
      <c r="I34" s="165">
        <f>Data!V37</f>
        <v>0</v>
      </c>
      <c r="J34" s="165">
        <f>Data!W37</f>
        <v>0</v>
      </c>
      <c r="K34" s="165">
        <f>Data!X37</f>
        <v>1</v>
      </c>
      <c r="L34" s="165">
        <f>Data!Y37</f>
        <v>0</v>
      </c>
      <c r="M34" s="165">
        <f>Data!Z37</f>
        <v>0</v>
      </c>
      <c r="N34" s="165">
        <f>Data!AA37</f>
        <v>1</v>
      </c>
      <c r="O34" s="165">
        <f>Data!AB37</f>
        <v>0</v>
      </c>
      <c r="P34" s="165">
        <f>Data!AC37</f>
        <v>1</v>
      </c>
      <c r="Q34" s="165">
        <f>Data!AD37</f>
        <v>0</v>
      </c>
      <c r="R34" s="165">
        <f>Data!AE37</f>
        <v>0</v>
      </c>
      <c r="S34" s="165">
        <f>Data!AF37</f>
        <v>2</v>
      </c>
      <c r="T34" s="165">
        <f>Data!AG37</f>
        <v>0</v>
      </c>
      <c r="U34" s="165">
        <f>Data!AH37</f>
        <v>0</v>
      </c>
      <c r="V34" s="165">
        <f t="shared" si="0"/>
        <v>9</v>
      </c>
      <c r="W34" s="29"/>
      <c r="X34" s="29"/>
    </row>
    <row r="35" spans="1:24" ht="12" customHeight="1">
      <c r="A35" s="29"/>
      <c r="B35" s="147" t="str">
        <f>UPPER(LEFT(TRIM(Data!B38),1)) &amp; MID(TRIM(Data!B38),2,50)</f>
        <v>Nepatikslintos lokalizacijos</v>
      </c>
      <c r="C35" s="147" t="str">
        <f>Data!C38</f>
        <v>C76-C80</v>
      </c>
      <c r="D35" s="167">
        <f>Data!Q38</f>
        <v>0</v>
      </c>
      <c r="E35" s="167">
        <f>Data!R38</f>
        <v>0</v>
      </c>
      <c r="F35" s="167">
        <f>Data!S38</f>
        <v>0</v>
      </c>
      <c r="G35" s="167">
        <f>Data!T38</f>
        <v>0</v>
      </c>
      <c r="H35" s="167">
        <f>Data!U38</f>
        <v>1</v>
      </c>
      <c r="I35" s="167">
        <f>Data!V38</f>
        <v>0</v>
      </c>
      <c r="J35" s="167">
        <f>Data!W38</f>
        <v>0</v>
      </c>
      <c r="K35" s="167">
        <f>Data!X38</f>
        <v>1</v>
      </c>
      <c r="L35" s="167">
        <f>Data!Y38</f>
        <v>2</v>
      </c>
      <c r="M35" s="167">
        <f>Data!Z38</f>
        <v>7</v>
      </c>
      <c r="N35" s="167">
        <f>Data!AA38</f>
        <v>10</v>
      </c>
      <c r="O35" s="167">
        <f>Data!AB38</f>
        <v>16</v>
      </c>
      <c r="P35" s="167">
        <f>Data!AC38</f>
        <v>32</v>
      </c>
      <c r="Q35" s="167">
        <f>Data!AD38</f>
        <v>32</v>
      </c>
      <c r="R35" s="167">
        <f>Data!AE38</f>
        <v>41</v>
      </c>
      <c r="S35" s="167">
        <f>Data!AF38</f>
        <v>43</v>
      </c>
      <c r="T35" s="167">
        <f>Data!AG38</f>
        <v>30</v>
      </c>
      <c r="U35" s="167">
        <f>Data!AH38</f>
        <v>19</v>
      </c>
      <c r="V35" s="167">
        <f t="shared" si="0"/>
        <v>234</v>
      </c>
      <c r="W35" s="29"/>
      <c r="X35" s="29"/>
    </row>
    <row r="36" spans="1:24" ht="12" customHeight="1">
      <c r="A36" s="29"/>
      <c r="B36" s="146" t="str">
        <f>UPPER(LEFT(TRIM(Data!B39),1)) &amp; MID(TRIM(Data!B39),2,50)</f>
        <v>Hodžkino limfomos</v>
      </c>
      <c r="C36" s="146" t="str">
        <f>Data!C39</f>
        <v>C81</v>
      </c>
      <c r="D36" s="165">
        <f>Data!Q39</f>
        <v>0</v>
      </c>
      <c r="E36" s="165">
        <f>Data!R39</f>
        <v>0</v>
      </c>
      <c r="F36" s="165">
        <f>Data!S39</f>
        <v>1</v>
      </c>
      <c r="G36" s="165">
        <f>Data!T39</f>
        <v>4</v>
      </c>
      <c r="H36" s="165">
        <f>Data!U39</f>
        <v>4</v>
      </c>
      <c r="I36" s="165">
        <f>Data!V39</f>
        <v>0</v>
      </c>
      <c r="J36" s="165">
        <f>Data!W39</f>
        <v>3</v>
      </c>
      <c r="K36" s="165">
        <f>Data!X39</f>
        <v>2</v>
      </c>
      <c r="L36" s="165">
        <f>Data!Y39</f>
        <v>0</v>
      </c>
      <c r="M36" s="165">
        <f>Data!Z39</f>
        <v>3</v>
      </c>
      <c r="N36" s="165">
        <f>Data!AA39</f>
        <v>2</v>
      </c>
      <c r="O36" s="165">
        <f>Data!AB39</f>
        <v>2</v>
      </c>
      <c r="P36" s="165">
        <f>Data!AC39</f>
        <v>1</v>
      </c>
      <c r="Q36" s="165">
        <f>Data!AD39</f>
        <v>1</v>
      </c>
      <c r="R36" s="165">
        <f>Data!AE39</f>
        <v>0</v>
      </c>
      <c r="S36" s="165">
        <f>Data!AF39</f>
        <v>0</v>
      </c>
      <c r="T36" s="165">
        <f>Data!AG39</f>
        <v>0</v>
      </c>
      <c r="U36" s="165">
        <f>Data!AH39</f>
        <v>0</v>
      </c>
      <c r="V36" s="165">
        <f t="shared" si="0"/>
        <v>23</v>
      </c>
      <c r="W36" s="29"/>
      <c r="X36" s="29"/>
    </row>
    <row r="37" spans="1:24" ht="12" customHeight="1">
      <c r="A37" s="29"/>
      <c r="B37" s="147" t="str">
        <f>UPPER(LEFT(TRIM(Data!B40),1)) &amp; MID(TRIM(Data!B40),2,50)</f>
        <v>Ne Hodžkino limfomos</v>
      </c>
      <c r="C37" s="147" t="str">
        <f>Data!C40</f>
        <v>C82-C85</v>
      </c>
      <c r="D37" s="167">
        <f>Data!Q40</f>
        <v>1</v>
      </c>
      <c r="E37" s="167">
        <f>Data!R40</f>
        <v>1</v>
      </c>
      <c r="F37" s="167">
        <f>Data!S40</f>
        <v>1</v>
      </c>
      <c r="G37" s="167">
        <f>Data!T40</f>
        <v>2</v>
      </c>
      <c r="H37" s="167">
        <f>Data!U40</f>
        <v>1</v>
      </c>
      <c r="I37" s="167">
        <f>Data!V40</f>
        <v>1</v>
      </c>
      <c r="J37" s="167">
        <f>Data!W40</f>
        <v>1</v>
      </c>
      <c r="K37" s="167">
        <f>Data!X40</f>
        <v>5</v>
      </c>
      <c r="L37" s="167">
        <f>Data!Y40</f>
        <v>5</v>
      </c>
      <c r="M37" s="167">
        <f>Data!Z40</f>
        <v>6</v>
      </c>
      <c r="N37" s="167">
        <f>Data!AA40</f>
        <v>17</v>
      </c>
      <c r="O37" s="167">
        <f>Data!AB40</f>
        <v>14</v>
      </c>
      <c r="P37" s="167">
        <f>Data!AC40</f>
        <v>24</v>
      </c>
      <c r="Q37" s="167">
        <f>Data!AD40</f>
        <v>16</v>
      </c>
      <c r="R37" s="167">
        <f>Data!AE40</f>
        <v>18</v>
      </c>
      <c r="S37" s="167">
        <f>Data!AF40</f>
        <v>27</v>
      </c>
      <c r="T37" s="167">
        <f>Data!AG40</f>
        <v>12</v>
      </c>
      <c r="U37" s="167">
        <f>Data!AH40</f>
        <v>9</v>
      </c>
      <c r="V37" s="167">
        <f t="shared" si="0"/>
        <v>161</v>
      </c>
      <c r="W37" s="29"/>
      <c r="X37" s="29"/>
    </row>
    <row r="38" spans="1:24" ht="12" customHeight="1">
      <c r="A38" s="29"/>
      <c r="B38" s="146" t="str">
        <f>UPPER(LEFT(TRIM(Data!B41),1)) &amp; MID(TRIM(Data!B41),2,50)</f>
        <v>Mielominės ligos</v>
      </c>
      <c r="C38" s="146" t="str">
        <f>Data!C41</f>
        <v>C90</v>
      </c>
      <c r="D38" s="165">
        <f>Data!Q41</f>
        <v>0</v>
      </c>
      <c r="E38" s="165">
        <f>Data!R41</f>
        <v>0</v>
      </c>
      <c r="F38" s="165">
        <f>Data!S41</f>
        <v>0</v>
      </c>
      <c r="G38" s="165">
        <f>Data!T41</f>
        <v>0</v>
      </c>
      <c r="H38" s="165">
        <f>Data!U41</f>
        <v>0</v>
      </c>
      <c r="I38" s="165">
        <f>Data!V41</f>
        <v>0</v>
      </c>
      <c r="J38" s="165">
        <f>Data!W41</f>
        <v>0</v>
      </c>
      <c r="K38" s="165">
        <f>Data!X41</f>
        <v>0</v>
      </c>
      <c r="L38" s="165">
        <f>Data!Y41</f>
        <v>1</v>
      </c>
      <c r="M38" s="165">
        <f>Data!Z41</f>
        <v>3</v>
      </c>
      <c r="N38" s="165">
        <f>Data!AA41</f>
        <v>8</v>
      </c>
      <c r="O38" s="165">
        <f>Data!AB41</f>
        <v>14</v>
      </c>
      <c r="P38" s="165">
        <f>Data!AC41</f>
        <v>5</v>
      </c>
      <c r="Q38" s="165">
        <f>Data!AD41</f>
        <v>9</v>
      </c>
      <c r="R38" s="165">
        <f>Data!AE41</f>
        <v>12</v>
      </c>
      <c r="S38" s="165">
        <f>Data!AF41</f>
        <v>12</v>
      </c>
      <c r="T38" s="165">
        <f>Data!AG41</f>
        <v>14</v>
      </c>
      <c r="U38" s="165">
        <f>Data!AH41</f>
        <v>5</v>
      </c>
      <c r="V38" s="165">
        <f t="shared" si="0"/>
        <v>83</v>
      </c>
      <c r="W38" s="29"/>
      <c r="X38" s="29"/>
    </row>
    <row r="39" spans="1:24" ht="12" customHeight="1">
      <c r="A39" s="29"/>
      <c r="B39" s="147" t="str">
        <f>UPPER(LEFT(TRIM(Data!B42),1)) &amp; MID(TRIM(Data!B42),2,50)</f>
        <v>Leukemijos</v>
      </c>
      <c r="C39" s="147" t="str">
        <f>Data!C42</f>
        <v>C91-C95</v>
      </c>
      <c r="D39" s="167">
        <f>Data!Q42</f>
        <v>12</v>
      </c>
      <c r="E39" s="167">
        <f>Data!R42</f>
        <v>2</v>
      </c>
      <c r="F39" s="167">
        <f>Data!S42</f>
        <v>1</v>
      </c>
      <c r="G39" s="167">
        <f>Data!T42</f>
        <v>1</v>
      </c>
      <c r="H39" s="167">
        <f>Data!U42</f>
        <v>2</v>
      </c>
      <c r="I39" s="167">
        <f>Data!V42</f>
        <v>2</v>
      </c>
      <c r="J39" s="167">
        <f>Data!W42</f>
        <v>5</v>
      </c>
      <c r="K39" s="167">
        <f>Data!X42</f>
        <v>2</v>
      </c>
      <c r="L39" s="167">
        <f>Data!Y42</f>
        <v>3</v>
      </c>
      <c r="M39" s="167">
        <f>Data!Z42</f>
        <v>4</v>
      </c>
      <c r="N39" s="167">
        <f>Data!AA42</f>
        <v>16</v>
      </c>
      <c r="O39" s="167">
        <f>Data!AB42</f>
        <v>13</v>
      </c>
      <c r="P39" s="167">
        <f>Data!AC42</f>
        <v>21</v>
      </c>
      <c r="Q39" s="167">
        <f>Data!AD42</f>
        <v>21</v>
      </c>
      <c r="R39" s="167">
        <f>Data!AE42</f>
        <v>34</v>
      </c>
      <c r="S39" s="167">
        <f>Data!AF42</f>
        <v>35</v>
      </c>
      <c r="T39" s="167">
        <f>Data!AG42</f>
        <v>32</v>
      </c>
      <c r="U39" s="167">
        <f>Data!AH42</f>
        <v>18</v>
      </c>
      <c r="V39" s="167">
        <f t="shared" si="0"/>
        <v>224</v>
      </c>
      <c r="W39" s="29"/>
      <c r="X39" s="29"/>
    </row>
    <row r="40" spans="1:24" ht="12" customHeight="1">
      <c r="A40" s="29"/>
      <c r="B40" s="146" t="str">
        <f>UPPER(LEFT(TRIM(Data!B43),1)) &amp; MID(TRIM(Data!B43),2,50)</f>
        <v>Kiti limfinio, kraujodaros audinių</v>
      </c>
      <c r="C40" s="146" t="str">
        <f>Data!C43</f>
        <v>C88, C96</v>
      </c>
      <c r="D40" s="165">
        <f>Data!Q43</f>
        <v>0</v>
      </c>
      <c r="E40" s="165">
        <f>Data!R43</f>
        <v>0</v>
      </c>
      <c r="F40" s="165">
        <f>Data!S43</f>
        <v>0</v>
      </c>
      <c r="G40" s="165">
        <f>Data!T43</f>
        <v>0</v>
      </c>
      <c r="H40" s="165">
        <f>Data!U43</f>
        <v>1</v>
      </c>
      <c r="I40" s="165">
        <f>Data!V43</f>
        <v>0</v>
      </c>
      <c r="J40" s="165">
        <f>Data!W43</f>
        <v>0</v>
      </c>
      <c r="K40" s="165">
        <f>Data!X43</f>
        <v>1</v>
      </c>
      <c r="L40" s="165">
        <f>Data!Y43</f>
        <v>0</v>
      </c>
      <c r="M40" s="165">
        <f>Data!Z43</f>
        <v>0</v>
      </c>
      <c r="N40" s="165">
        <f>Data!AA43</f>
        <v>0</v>
      </c>
      <c r="O40" s="165">
        <f>Data!AB43</f>
        <v>1</v>
      </c>
      <c r="P40" s="165">
        <f>Data!AC43</f>
        <v>1</v>
      </c>
      <c r="Q40" s="165">
        <f>Data!AD43</f>
        <v>1</v>
      </c>
      <c r="R40" s="165">
        <f>Data!AE43</f>
        <v>0</v>
      </c>
      <c r="S40" s="165">
        <f>Data!AF43</f>
        <v>1</v>
      </c>
      <c r="T40" s="165">
        <f>Data!AG43</f>
        <v>1</v>
      </c>
      <c r="U40" s="165">
        <f>Data!AH43</f>
        <v>0</v>
      </c>
      <c r="V40" s="165">
        <f t="shared" si="0"/>
        <v>7</v>
      </c>
      <c r="W40" s="29"/>
      <c r="X40" s="29"/>
    </row>
    <row r="41" spans="1:24" ht="24" customHeight="1">
      <c r="A41" s="29"/>
      <c r="B41" s="145"/>
      <c r="C41" s="145"/>
      <c r="D41" s="168"/>
      <c r="E41" s="168"/>
      <c r="F41" s="168"/>
      <c r="G41" s="168"/>
      <c r="H41" s="168"/>
      <c r="I41" s="168"/>
      <c r="J41" s="168"/>
      <c r="K41" s="168"/>
      <c r="L41" s="168"/>
      <c r="M41" s="168"/>
      <c r="N41" s="168"/>
      <c r="O41" s="168"/>
      <c r="P41" s="168"/>
      <c r="Q41" s="168"/>
      <c r="R41" s="168"/>
      <c r="S41" s="168"/>
      <c r="T41" s="168"/>
      <c r="U41" s="168"/>
      <c r="V41" s="168"/>
      <c r="W41" s="29"/>
      <c r="X41" s="29"/>
    </row>
    <row r="42" spans="1:24" ht="12" customHeight="1">
      <c r="A42" s="29"/>
      <c r="B42" s="146" t="str">
        <f>UPPER(LEFT(TRIM(Data!B44),1)) &amp; MID(TRIM(Data!B44),2,50)</f>
        <v>Melanoma in situ</v>
      </c>
      <c r="C42" s="146" t="str">
        <f>Data!C44</f>
        <v>D03</v>
      </c>
      <c r="D42" s="165">
        <f>Data!Q44</f>
        <v>0</v>
      </c>
      <c r="E42" s="165">
        <f>Data!R44</f>
        <v>0</v>
      </c>
      <c r="F42" s="165">
        <f>Data!S44</f>
        <v>0</v>
      </c>
      <c r="G42" s="165">
        <f>Data!T44</f>
        <v>0</v>
      </c>
      <c r="H42" s="165">
        <f>Data!U44</f>
        <v>0</v>
      </c>
      <c r="I42" s="165">
        <f>Data!V44</f>
        <v>0</v>
      </c>
      <c r="J42" s="165">
        <f>Data!W44</f>
        <v>0</v>
      </c>
      <c r="K42" s="165">
        <f>Data!X44</f>
        <v>1</v>
      </c>
      <c r="L42" s="165">
        <f>Data!Y44</f>
        <v>1</v>
      </c>
      <c r="M42" s="165">
        <f>Data!Z44</f>
        <v>0</v>
      </c>
      <c r="N42" s="165">
        <f>Data!AA44</f>
        <v>1</v>
      </c>
      <c r="O42" s="165">
        <f>Data!AB44</f>
        <v>2</v>
      </c>
      <c r="P42" s="165">
        <f>Data!AC44</f>
        <v>2</v>
      </c>
      <c r="Q42" s="165">
        <f>Data!AD44</f>
        <v>2</v>
      </c>
      <c r="R42" s="165">
        <f>Data!AE44</f>
        <v>3</v>
      </c>
      <c r="S42" s="165">
        <f>Data!AF44</f>
        <v>0</v>
      </c>
      <c r="T42" s="165">
        <f>Data!AG44</f>
        <v>1</v>
      </c>
      <c r="U42" s="165">
        <f>Data!AH44</f>
        <v>0</v>
      </c>
      <c r="V42" s="165">
        <f t="shared" si="0"/>
        <v>13</v>
      </c>
      <c r="W42" s="29"/>
      <c r="X42" s="29"/>
    </row>
    <row r="43" spans="1:24" ht="12" customHeight="1">
      <c r="A43" s="29"/>
      <c r="B43" s="147" t="str">
        <f>UPPER(LEFT(TRIM(Data!B45),1)) &amp; MID(TRIM(Data!B45),2,50)</f>
        <v>Krūties navikai in situ</v>
      </c>
      <c r="C43" s="147" t="str">
        <f>Data!C45</f>
        <v>D05</v>
      </c>
      <c r="D43" s="167">
        <f>Data!Q45</f>
        <v>0</v>
      </c>
      <c r="E43" s="167">
        <f>Data!R45</f>
        <v>0</v>
      </c>
      <c r="F43" s="167">
        <f>Data!S45</f>
        <v>0</v>
      </c>
      <c r="G43" s="167">
        <f>Data!T45</f>
        <v>0</v>
      </c>
      <c r="H43" s="167">
        <f>Data!U45</f>
        <v>0</v>
      </c>
      <c r="I43" s="167">
        <f>Data!V45</f>
        <v>0</v>
      </c>
      <c r="J43" s="167">
        <f>Data!W45</f>
        <v>0</v>
      </c>
      <c r="K43" s="167">
        <f>Data!X45</f>
        <v>0</v>
      </c>
      <c r="L43" s="167">
        <f>Data!Y45</f>
        <v>0</v>
      </c>
      <c r="M43" s="167">
        <f>Data!Z45</f>
        <v>0</v>
      </c>
      <c r="N43" s="167">
        <f>Data!AA45</f>
        <v>0</v>
      </c>
      <c r="O43" s="167">
        <f>Data!AB45</f>
        <v>0</v>
      </c>
      <c r="P43" s="167">
        <f>Data!AC45</f>
        <v>0</v>
      </c>
      <c r="Q43" s="167">
        <f>Data!AD45</f>
        <v>0</v>
      </c>
      <c r="R43" s="167">
        <f>Data!AE45</f>
        <v>0</v>
      </c>
      <c r="S43" s="167">
        <f>Data!AF45</f>
        <v>0</v>
      </c>
      <c r="T43" s="167">
        <f>Data!AG45</f>
        <v>0</v>
      </c>
      <c r="U43" s="167">
        <f>Data!AH45</f>
        <v>0</v>
      </c>
      <c r="V43" s="167">
        <f t="shared" si="0"/>
        <v>0</v>
      </c>
      <c r="W43" s="29"/>
      <c r="X43" s="29"/>
    </row>
    <row r="44" spans="1:24" ht="12" customHeight="1">
      <c r="A44" s="29"/>
      <c r="B44" s="146" t="str">
        <f>UPPER(LEFT(TRIM(Data!B47),1)) &amp; MID(TRIM(Data!B47),2,50)</f>
        <v>Šlapimo pūslės in situ</v>
      </c>
      <c r="C44" s="146" t="str">
        <f>Data!C47</f>
        <v>D09.0</v>
      </c>
      <c r="D44" s="165">
        <f>Data!Q47</f>
        <v>0</v>
      </c>
      <c r="E44" s="165">
        <f>Data!R47</f>
        <v>0</v>
      </c>
      <c r="F44" s="165">
        <f>Data!S47</f>
        <v>0</v>
      </c>
      <c r="G44" s="165">
        <f>Data!T47</f>
        <v>0</v>
      </c>
      <c r="H44" s="165">
        <f>Data!U47</f>
        <v>0</v>
      </c>
      <c r="I44" s="165">
        <f>Data!V47</f>
        <v>0</v>
      </c>
      <c r="J44" s="165">
        <f>Data!W47</f>
        <v>0</v>
      </c>
      <c r="K44" s="165">
        <f>Data!X47</f>
        <v>1</v>
      </c>
      <c r="L44" s="165">
        <f>Data!Y47</f>
        <v>2</v>
      </c>
      <c r="M44" s="165">
        <f>Data!Z47</f>
        <v>2</v>
      </c>
      <c r="N44" s="165">
        <f>Data!AA47</f>
        <v>5</v>
      </c>
      <c r="O44" s="165">
        <f>Data!AB47</f>
        <v>12</v>
      </c>
      <c r="P44" s="165">
        <f>Data!AC47</f>
        <v>16</v>
      </c>
      <c r="Q44" s="165">
        <f>Data!AD47</f>
        <v>21</v>
      </c>
      <c r="R44" s="165">
        <f>Data!AE47</f>
        <v>21</v>
      </c>
      <c r="S44" s="165">
        <f>Data!AF47</f>
        <v>14</v>
      </c>
      <c r="T44" s="165">
        <f>Data!AG47</f>
        <v>12</v>
      </c>
      <c r="U44" s="165">
        <f>Data!AH47</f>
        <v>2</v>
      </c>
      <c r="V44" s="165">
        <f t="shared" si="0"/>
        <v>108</v>
      </c>
      <c r="W44" s="29"/>
      <c r="X44" s="29"/>
    </row>
    <row r="45" spans="1:24" ht="12" customHeight="1">
      <c r="A45" s="29"/>
      <c r="B45" s="147" t="str">
        <f>UPPER(LEFT(TRIM(Data!B48),1)) &amp; MID(TRIM(Data!B48),2,50)</f>
        <v>Nervų sistemos gerybiniai navikai</v>
      </c>
      <c r="C45" s="147" t="str">
        <f>Data!C48</f>
        <v>D32, D33</v>
      </c>
      <c r="D45" s="167">
        <f>Data!Q48</f>
        <v>1</v>
      </c>
      <c r="E45" s="167">
        <f>Data!R48</f>
        <v>0</v>
      </c>
      <c r="F45" s="167">
        <f>Data!S48</f>
        <v>1</v>
      </c>
      <c r="G45" s="167">
        <f>Data!T48</f>
        <v>1</v>
      </c>
      <c r="H45" s="167">
        <f>Data!U48</f>
        <v>0</v>
      </c>
      <c r="I45" s="167">
        <f>Data!V48</f>
        <v>1</v>
      </c>
      <c r="J45" s="167">
        <f>Data!W48</f>
        <v>1</v>
      </c>
      <c r="K45" s="167">
        <f>Data!X48</f>
        <v>3</v>
      </c>
      <c r="L45" s="167">
        <f>Data!Y48</f>
        <v>4</v>
      </c>
      <c r="M45" s="167">
        <f>Data!Z48</f>
        <v>1</v>
      </c>
      <c r="N45" s="167">
        <f>Data!AA48</f>
        <v>5</v>
      </c>
      <c r="O45" s="167">
        <f>Data!AB48</f>
        <v>2</v>
      </c>
      <c r="P45" s="167">
        <f>Data!AC48</f>
        <v>4</v>
      </c>
      <c r="Q45" s="167">
        <f>Data!AD48</f>
        <v>3</v>
      </c>
      <c r="R45" s="167">
        <f>Data!AE48</f>
        <v>8</v>
      </c>
      <c r="S45" s="167">
        <f>Data!AF48</f>
        <v>5</v>
      </c>
      <c r="T45" s="167">
        <f>Data!AG48</f>
        <v>2</v>
      </c>
      <c r="U45" s="167">
        <f>Data!AH48</f>
        <v>4</v>
      </c>
      <c r="V45" s="167">
        <f t="shared" si="0"/>
        <v>46</v>
      </c>
      <c r="W45" s="29"/>
      <c r="X45" s="29"/>
    </row>
    <row r="46" spans="1:24" ht="12" customHeight="1">
      <c r="A46" s="29"/>
      <c r="B46" s="146" t="str">
        <f>UPPER(LEFT(TRIM(Data!B50),1)) &amp; MID(TRIM(Data!B50),2,50)</f>
        <v>Kiti nervų sistemos</v>
      </c>
      <c r="C46" s="146" t="str">
        <f>Data!C50</f>
        <v>D42, D43</v>
      </c>
      <c r="D46" s="165">
        <f>Data!Q50</f>
        <v>2</v>
      </c>
      <c r="E46" s="165">
        <f>Data!R50</f>
        <v>2</v>
      </c>
      <c r="F46" s="165">
        <f>Data!S50</f>
        <v>2</v>
      </c>
      <c r="G46" s="165">
        <f>Data!T50</f>
        <v>1</v>
      </c>
      <c r="H46" s="165">
        <f>Data!U50</f>
        <v>0</v>
      </c>
      <c r="I46" s="165">
        <f>Data!V50</f>
        <v>0</v>
      </c>
      <c r="J46" s="165">
        <f>Data!W50</f>
        <v>0</v>
      </c>
      <c r="K46" s="165">
        <f>Data!X50</f>
        <v>0</v>
      </c>
      <c r="L46" s="165">
        <f>Data!Y50</f>
        <v>0</v>
      </c>
      <c r="M46" s="165">
        <f>Data!Z50</f>
        <v>1</v>
      </c>
      <c r="N46" s="165">
        <f>Data!AA50</f>
        <v>0</v>
      </c>
      <c r="O46" s="165">
        <f>Data!AB50</f>
        <v>2</v>
      </c>
      <c r="P46" s="165">
        <f>Data!AC50</f>
        <v>0</v>
      </c>
      <c r="Q46" s="165">
        <f>Data!AD50</f>
        <v>1</v>
      </c>
      <c r="R46" s="165">
        <f>Data!AE50</f>
        <v>1</v>
      </c>
      <c r="S46" s="165">
        <f>Data!AF50</f>
        <v>4</v>
      </c>
      <c r="T46" s="165">
        <f>Data!AG50</f>
        <v>2</v>
      </c>
      <c r="U46" s="165">
        <f>Data!AH50</f>
        <v>0</v>
      </c>
      <c r="V46" s="165">
        <f t="shared" si="0"/>
        <v>18</v>
      </c>
      <c r="W46" s="29"/>
      <c r="X46" s="29"/>
    </row>
    <row r="47" spans="1:24" ht="12" customHeight="1">
      <c r="A47" s="29"/>
      <c r="B47" s="147" t="str">
        <f>UPPER(LEFT(TRIM(Data!B51),1)) &amp; MID(TRIM(Data!B51),2,50)</f>
        <v>Limfinio ir kraujodaros audinių</v>
      </c>
      <c r="C47" s="147" t="str">
        <f>Data!C51</f>
        <v>D45-D47</v>
      </c>
      <c r="D47" s="167">
        <f>Data!Q51</f>
        <v>0</v>
      </c>
      <c r="E47" s="167">
        <f>Data!R51</f>
        <v>0</v>
      </c>
      <c r="F47" s="167">
        <f>Data!S51</f>
        <v>0</v>
      </c>
      <c r="G47" s="167">
        <f>Data!T51</f>
        <v>0</v>
      </c>
      <c r="H47" s="167">
        <f>Data!U51</f>
        <v>1</v>
      </c>
      <c r="I47" s="167">
        <f>Data!V51</f>
        <v>1</v>
      </c>
      <c r="J47" s="167">
        <f>Data!W51</f>
        <v>1</v>
      </c>
      <c r="K47" s="167">
        <f>Data!X51</f>
        <v>5</v>
      </c>
      <c r="L47" s="167">
        <f>Data!Y51</f>
        <v>2</v>
      </c>
      <c r="M47" s="167">
        <f>Data!Z51</f>
        <v>10</v>
      </c>
      <c r="N47" s="167">
        <f>Data!AA51</f>
        <v>8</v>
      </c>
      <c r="O47" s="167">
        <f>Data!AB51</f>
        <v>18</v>
      </c>
      <c r="P47" s="167">
        <f>Data!AC51</f>
        <v>13</v>
      </c>
      <c r="Q47" s="167">
        <f>Data!AD51</f>
        <v>19</v>
      </c>
      <c r="R47" s="167">
        <f>Data!AE51</f>
        <v>24</v>
      </c>
      <c r="S47" s="167">
        <f>Data!AF51</f>
        <v>33</v>
      </c>
      <c r="T47" s="167">
        <f>Data!AG51</f>
        <v>19</v>
      </c>
      <c r="U47" s="167">
        <f>Data!AH51</f>
        <v>12</v>
      </c>
      <c r="V47" s="167">
        <f t="shared" si="0"/>
        <v>166</v>
      </c>
      <c r="W47" s="29"/>
      <c r="X47" s="29"/>
    </row>
    <row r="48" spans="1:24">
      <c r="A48" s="29"/>
      <c r="B48" s="29"/>
      <c r="C48" s="29"/>
      <c r="D48" s="29"/>
      <c r="E48" s="29"/>
      <c r="F48" s="29"/>
      <c r="G48" s="29"/>
      <c r="H48" s="29"/>
      <c r="I48" s="29"/>
      <c r="J48" s="29"/>
      <c r="K48" s="29"/>
      <c r="L48" s="29"/>
      <c r="M48" s="29"/>
      <c r="N48" s="29"/>
      <c r="O48" s="29"/>
      <c r="P48" s="29"/>
      <c r="Q48" s="29"/>
      <c r="R48" s="29"/>
      <c r="S48" s="29"/>
      <c r="T48" s="29"/>
      <c r="U48" s="29"/>
      <c r="V48" s="29"/>
      <c r="W48" s="29"/>
      <c r="X48" s="29"/>
    </row>
    <row r="49" spans="1:24">
      <c r="A49" s="29"/>
      <c r="B49" s="29"/>
      <c r="C49" s="29"/>
      <c r="D49" s="29"/>
      <c r="E49" s="29"/>
      <c r="F49" s="29"/>
      <c r="G49" s="29"/>
      <c r="H49" s="29"/>
      <c r="I49" s="29"/>
      <c r="J49" s="29"/>
      <c r="K49" s="29"/>
      <c r="L49" s="29"/>
      <c r="M49" s="29"/>
      <c r="N49" s="29"/>
      <c r="O49" s="29"/>
      <c r="P49" s="29"/>
      <c r="Q49" s="29"/>
      <c r="R49" s="29"/>
      <c r="S49" s="29"/>
      <c r="T49" s="29"/>
      <c r="U49" s="29"/>
      <c r="V49" s="29"/>
      <c r="W49" s="29"/>
      <c r="X49" s="29"/>
    </row>
  </sheetData>
  <mergeCells count="4">
    <mergeCell ref="D4:U4"/>
    <mergeCell ref="B4:B5"/>
    <mergeCell ref="C4:C5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theme="6" tint="0.39997558519241921"/>
  </sheetPr>
  <dimension ref="A1:W53"/>
  <sheetViews>
    <sheetView zoomScaleNormal="100"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1" width="6" customWidth="1"/>
    <col min="22" max="22" width="6.42578125" customWidth="1"/>
    <col min="23" max="33" width="0.85546875" customWidth="1"/>
  </cols>
  <sheetData>
    <row r="1" spans="1:23" ht="15">
      <c r="A1" s="64"/>
      <c r="B1" s="522" t="s">
        <v>403</v>
      </c>
      <c r="C1" s="522"/>
      <c r="D1" s="522"/>
      <c r="E1" s="522"/>
      <c r="F1" s="522"/>
      <c r="G1" s="522"/>
      <c r="H1" s="522"/>
      <c r="I1" s="65"/>
      <c r="J1" s="65"/>
      <c r="K1" s="65"/>
      <c r="L1" s="65"/>
      <c r="M1" s="65"/>
      <c r="N1" s="64"/>
      <c r="O1" s="64"/>
      <c r="P1" s="64"/>
      <c r="Q1" s="64"/>
      <c r="R1" s="64"/>
      <c r="S1" s="64"/>
      <c r="T1" s="64"/>
      <c r="U1" s="64"/>
      <c r="V1" s="66"/>
      <c r="W1" s="66"/>
    </row>
    <row r="2" spans="1:23" ht="12.75" customHeight="1">
      <c r="A2" s="64"/>
      <c r="B2" s="508" t="str">
        <f>"Susirgimų piktybiniais navikais pasiskirstymas pagal amžiaus grupes  " &amp; GrafikaiSerg!A1 &amp; " m. Moterys."</f>
        <v>Susirgimų piktybiniais navikais pasiskirstymas pagal amžiaus grupes  2014 m. Moterys.</v>
      </c>
      <c r="C2" s="523"/>
      <c r="D2" s="522"/>
      <c r="E2" s="522"/>
      <c r="F2" s="522"/>
      <c r="G2" s="522"/>
      <c r="H2" s="522"/>
      <c r="I2" s="65"/>
      <c r="J2" s="65"/>
      <c r="K2" s="65"/>
      <c r="L2" s="65"/>
      <c r="M2" s="65"/>
      <c r="N2" s="64"/>
      <c r="O2" s="64"/>
      <c r="P2" s="64"/>
      <c r="Q2" s="64"/>
      <c r="R2" s="64"/>
      <c r="S2" s="64"/>
      <c r="T2" s="64"/>
      <c r="U2" s="64"/>
      <c r="V2" s="66"/>
      <c r="W2" s="66"/>
    </row>
    <row r="3" spans="1:23" ht="12.75" customHeight="1">
      <c r="A3" s="64"/>
      <c r="B3" s="68" t="s">
        <v>622</v>
      </c>
      <c r="C3" s="67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6"/>
      <c r="W3" s="66"/>
    </row>
    <row r="4" spans="1:23" ht="12.95" customHeight="1">
      <c r="A4" s="64"/>
      <c r="B4" s="425" t="s">
        <v>243</v>
      </c>
      <c r="C4" s="425" t="s">
        <v>244</v>
      </c>
      <c r="D4" s="430" t="s">
        <v>419</v>
      </c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29"/>
      <c r="V4" s="435" t="s">
        <v>429</v>
      </c>
      <c r="W4" s="66"/>
    </row>
    <row r="5" spans="1:23" ht="12.95" customHeight="1" thickBot="1">
      <c r="A5" s="64"/>
      <c r="B5" s="426"/>
      <c r="C5" s="426"/>
      <c r="D5" s="169" t="str">
        <f>Data!CD2</f>
        <v xml:space="preserve">0-4 </v>
      </c>
      <c r="E5" s="169" t="str">
        <f>Data!CE2</f>
        <v>5-9</v>
      </c>
      <c r="F5" s="169" t="str">
        <f>Data!CF2</f>
        <v>10-14</v>
      </c>
      <c r="G5" s="169" t="str">
        <f>Data!CG2</f>
        <v>15-19</v>
      </c>
      <c r="H5" s="169" t="str">
        <f>Data!CH2</f>
        <v>20-24</v>
      </c>
      <c r="I5" s="169" t="str">
        <f>Data!CI2</f>
        <v>25-29</v>
      </c>
      <c r="J5" s="169" t="str">
        <f>Data!CJ2</f>
        <v>30-34</v>
      </c>
      <c r="K5" s="169" t="str">
        <f>Data!CK2</f>
        <v>35-39</v>
      </c>
      <c r="L5" s="169" t="str">
        <f>Data!CL2</f>
        <v>40-44</v>
      </c>
      <c r="M5" s="169" t="str">
        <f>Data!CM2</f>
        <v>45-49</v>
      </c>
      <c r="N5" s="169" t="str">
        <f>Data!CN2</f>
        <v>50-54</v>
      </c>
      <c r="O5" s="169" t="str">
        <f>Data!CO2</f>
        <v>55-59</v>
      </c>
      <c r="P5" s="169" t="str">
        <f>Data!CP2</f>
        <v>60-64</v>
      </c>
      <c r="Q5" s="169" t="str">
        <f>Data!CQ2</f>
        <v>65-69</v>
      </c>
      <c r="R5" s="169" t="str">
        <f>Data!CR2</f>
        <v>70-74</v>
      </c>
      <c r="S5" s="169" t="str">
        <f>Data!CS2</f>
        <v>75-79</v>
      </c>
      <c r="T5" s="169" t="str">
        <f>Data!CT2</f>
        <v>80-84</v>
      </c>
      <c r="U5" s="169" t="str">
        <f>Data!CU2</f>
        <v>85+</v>
      </c>
      <c r="V5" s="436"/>
      <c r="W5" s="66"/>
    </row>
    <row r="6" spans="1:23" ht="12" customHeight="1" thickTop="1">
      <c r="A6" s="64"/>
      <c r="B6" s="146" t="str">
        <f>UPPER(LEFT(TRIM(Data!B5),1)) &amp; MID(TRIM(Data!B5),2,50)</f>
        <v>Piktybiniai navikai</v>
      </c>
      <c r="C6" s="146" t="str">
        <f>Data!C5</f>
        <v>C00-C96</v>
      </c>
      <c r="D6" s="165">
        <f>Data!CD5</f>
        <v>11</v>
      </c>
      <c r="E6" s="165">
        <f>Data!CE5</f>
        <v>3</v>
      </c>
      <c r="F6" s="165">
        <f>Data!CF5</f>
        <v>9</v>
      </c>
      <c r="G6" s="165">
        <f>Data!CG5</f>
        <v>23</v>
      </c>
      <c r="H6" s="165">
        <f>Data!CH5</f>
        <v>35</v>
      </c>
      <c r="I6" s="165">
        <f>Data!CI5</f>
        <v>73</v>
      </c>
      <c r="J6" s="165">
        <f>Data!CJ5</f>
        <v>89</v>
      </c>
      <c r="K6" s="165">
        <f>Data!CK5</f>
        <v>133</v>
      </c>
      <c r="L6" s="165">
        <f>Data!CL5</f>
        <v>280</v>
      </c>
      <c r="M6" s="165">
        <f>Data!CM5</f>
        <v>484</v>
      </c>
      <c r="N6" s="165">
        <f>Data!CN5</f>
        <v>712</v>
      </c>
      <c r="O6" s="165">
        <f>Data!CO5</f>
        <v>800</v>
      </c>
      <c r="P6" s="165">
        <f>Data!CP5</f>
        <v>889</v>
      </c>
      <c r="Q6" s="165">
        <f>Data!CQ5</f>
        <v>933</v>
      </c>
      <c r="R6" s="165">
        <f>Data!CR5</f>
        <v>1061</v>
      </c>
      <c r="S6" s="165">
        <f>Data!CS5</f>
        <v>1151</v>
      </c>
      <c r="T6" s="165">
        <f>Data!CT5</f>
        <v>884</v>
      </c>
      <c r="U6" s="165">
        <f>Data!CU5</f>
        <v>707</v>
      </c>
      <c r="V6" s="165">
        <f>SUM(D6:U6)</f>
        <v>8277</v>
      </c>
      <c r="W6" s="66"/>
    </row>
    <row r="7" spans="1:23" ht="12" customHeight="1">
      <c r="A7" s="64"/>
      <c r="B7" s="141" t="str">
        <f>UPPER(LEFT(TRIM(Data!B6),1)) &amp; MID(TRIM(Data!B6),2,50)</f>
        <v>Lūpos</v>
      </c>
      <c r="C7" s="170" t="str">
        <f>Data!C6</f>
        <v>C00</v>
      </c>
      <c r="D7" s="171">
        <f>Data!CD6</f>
        <v>0</v>
      </c>
      <c r="E7" s="171">
        <f>Data!CE6</f>
        <v>0</v>
      </c>
      <c r="F7" s="171">
        <f>Data!CF6</f>
        <v>0</v>
      </c>
      <c r="G7" s="171">
        <f>Data!CG6</f>
        <v>0</v>
      </c>
      <c r="H7" s="171">
        <f>Data!CH6</f>
        <v>0</v>
      </c>
      <c r="I7" s="171">
        <f>Data!CI6</f>
        <v>0</v>
      </c>
      <c r="J7" s="171">
        <f>Data!CJ6</f>
        <v>0</v>
      </c>
      <c r="K7" s="171">
        <f>Data!CK6</f>
        <v>0</v>
      </c>
      <c r="L7" s="171">
        <f>Data!CL6</f>
        <v>0</v>
      </c>
      <c r="M7" s="171">
        <f>Data!CM6</f>
        <v>0</v>
      </c>
      <c r="N7" s="171">
        <f>Data!CN6</f>
        <v>0</v>
      </c>
      <c r="O7" s="171">
        <f>Data!CO6</f>
        <v>0</v>
      </c>
      <c r="P7" s="171">
        <f>Data!CP6</f>
        <v>0</v>
      </c>
      <c r="Q7" s="171">
        <f>Data!CQ6</f>
        <v>0</v>
      </c>
      <c r="R7" s="171">
        <f>Data!CR6</f>
        <v>3</v>
      </c>
      <c r="S7" s="171">
        <f>Data!CS6</f>
        <v>1</v>
      </c>
      <c r="T7" s="171">
        <f>Data!CT6</f>
        <v>0</v>
      </c>
      <c r="U7" s="171">
        <f>Data!CU6</f>
        <v>1</v>
      </c>
      <c r="V7" s="171">
        <f>SUM(D7:U7)</f>
        <v>5</v>
      </c>
      <c r="W7" s="66"/>
    </row>
    <row r="8" spans="1:23" ht="12" customHeight="1">
      <c r="A8" s="64"/>
      <c r="B8" s="146" t="str">
        <f>UPPER(LEFT(TRIM(Data!B7),1)) &amp; MID(TRIM(Data!B7),2,50)</f>
        <v>Burnos ertmės ir ryklės</v>
      </c>
      <c r="C8" s="146" t="str">
        <f>Data!C7</f>
        <v>C01-C14</v>
      </c>
      <c r="D8" s="165">
        <f>Data!CD7</f>
        <v>0</v>
      </c>
      <c r="E8" s="165">
        <f>Data!CE7</f>
        <v>0</v>
      </c>
      <c r="F8" s="165">
        <f>Data!CF7</f>
        <v>0</v>
      </c>
      <c r="G8" s="165">
        <f>Data!CG7</f>
        <v>0</v>
      </c>
      <c r="H8" s="165">
        <f>Data!CH7</f>
        <v>0</v>
      </c>
      <c r="I8" s="165">
        <f>Data!CI7</f>
        <v>0</v>
      </c>
      <c r="J8" s="165">
        <f>Data!CJ7</f>
        <v>0</v>
      </c>
      <c r="K8" s="165">
        <f>Data!CK7</f>
        <v>1</v>
      </c>
      <c r="L8" s="165">
        <f>Data!CL7</f>
        <v>2</v>
      </c>
      <c r="M8" s="165">
        <f>Data!CM7</f>
        <v>8</v>
      </c>
      <c r="N8" s="165">
        <f>Data!CN7</f>
        <v>7</v>
      </c>
      <c r="O8" s="165">
        <f>Data!CO7</f>
        <v>11</v>
      </c>
      <c r="P8" s="165">
        <f>Data!CP7</f>
        <v>12</v>
      </c>
      <c r="Q8" s="165">
        <f>Data!CQ7</f>
        <v>8</v>
      </c>
      <c r="R8" s="165">
        <f>Data!CR7</f>
        <v>10</v>
      </c>
      <c r="S8" s="165">
        <f>Data!CS7</f>
        <v>7</v>
      </c>
      <c r="T8" s="165">
        <f>Data!CT7</f>
        <v>3</v>
      </c>
      <c r="U8" s="165">
        <f>Data!CU7</f>
        <v>3</v>
      </c>
      <c r="V8" s="165">
        <f t="shared" ref="V8:V51" si="0">SUM(D8:U8)</f>
        <v>72</v>
      </c>
      <c r="W8" s="66"/>
    </row>
    <row r="9" spans="1:23" ht="12" customHeight="1">
      <c r="A9" s="64"/>
      <c r="B9" s="141" t="str">
        <f>UPPER(LEFT(TRIM(Data!B8),1)) &amp; MID(TRIM(Data!B8),2,50)</f>
        <v>Stemplės</v>
      </c>
      <c r="C9" s="170" t="str">
        <f>Data!C8</f>
        <v>C15</v>
      </c>
      <c r="D9" s="171">
        <f>Data!CD8</f>
        <v>0</v>
      </c>
      <c r="E9" s="171">
        <f>Data!CE8</f>
        <v>0</v>
      </c>
      <c r="F9" s="171">
        <f>Data!CF8</f>
        <v>0</v>
      </c>
      <c r="G9" s="171">
        <f>Data!CG8</f>
        <v>0</v>
      </c>
      <c r="H9" s="171">
        <f>Data!CH8</f>
        <v>0</v>
      </c>
      <c r="I9" s="171">
        <f>Data!CI8</f>
        <v>0</v>
      </c>
      <c r="J9" s="171">
        <f>Data!CJ8</f>
        <v>0</v>
      </c>
      <c r="K9" s="171">
        <f>Data!CK8</f>
        <v>0</v>
      </c>
      <c r="L9" s="171">
        <f>Data!CL8</f>
        <v>0</v>
      </c>
      <c r="M9" s="171">
        <f>Data!CM8</f>
        <v>1</v>
      </c>
      <c r="N9" s="171">
        <f>Data!CN8</f>
        <v>1</v>
      </c>
      <c r="O9" s="171">
        <f>Data!CO8</f>
        <v>4</v>
      </c>
      <c r="P9" s="171">
        <f>Data!CP8</f>
        <v>6</v>
      </c>
      <c r="Q9" s="171">
        <f>Data!CQ8</f>
        <v>3</v>
      </c>
      <c r="R9" s="171">
        <f>Data!CR8</f>
        <v>2</v>
      </c>
      <c r="S9" s="171">
        <f>Data!CS8</f>
        <v>3</v>
      </c>
      <c r="T9" s="171">
        <f>Data!CT8</f>
        <v>6</v>
      </c>
      <c r="U9" s="171">
        <f>Data!CU8</f>
        <v>4</v>
      </c>
      <c r="V9" s="171">
        <f t="shared" si="0"/>
        <v>30</v>
      </c>
      <c r="W9" s="66"/>
    </row>
    <row r="10" spans="1:23" ht="12" customHeight="1">
      <c r="A10" s="64"/>
      <c r="B10" s="146" t="str">
        <f>UPPER(LEFT(TRIM(Data!B9),1)) &amp; MID(TRIM(Data!B9),2,50)</f>
        <v>Skrandžio</v>
      </c>
      <c r="C10" s="146" t="str">
        <f>Data!C9</f>
        <v>C16</v>
      </c>
      <c r="D10" s="165">
        <f>Data!CD9</f>
        <v>0</v>
      </c>
      <c r="E10" s="165">
        <f>Data!CE9</f>
        <v>0</v>
      </c>
      <c r="F10" s="165">
        <f>Data!CF9</f>
        <v>0</v>
      </c>
      <c r="G10" s="165">
        <f>Data!CG9</f>
        <v>0</v>
      </c>
      <c r="H10" s="165">
        <f>Data!CH9</f>
        <v>2</v>
      </c>
      <c r="I10" s="165">
        <f>Data!CI9</f>
        <v>3</v>
      </c>
      <c r="J10" s="165">
        <f>Data!CJ9</f>
        <v>3</v>
      </c>
      <c r="K10" s="165">
        <f>Data!CK9</f>
        <v>11</v>
      </c>
      <c r="L10" s="165">
        <f>Data!CL9</f>
        <v>8</v>
      </c>
      <c r="M10" s="165">
        <f>Data!CM9</f>
        <v>9</v>
      </c>
      <c r="N10" s="165">
        <f>Data!CN9</f>
        <v>24</v>
      </c>
      <c r="O10" s="165">
        <f>Data!CO9</f>
        <v>22</v>
      </c>
      <c r="P10" s="165">
        <f>Data!CP9</f>
        <v>28</v>
      </c>
      <c r="Q10" s="165">
        <f>Data!CQ9</f>
        <v>36</v>
      </c>
      <c r="R10" s="165">
        <f>Data!CR9</f>
        <v>48</v>
      </c>
      <c r="S10" s="165">
        <f>Data!CS9</f>
        <v>57</v>
      </c>
      <c r="T10" s="165">
        <f>Data!CT9</f>
        <v>50</v>
      </c>
      <c r="U10" s="165">
        <f>Data!CU9</f>
        <v>52</v>
      </c>
      <c r="V10" s="165">
        <f t="shared" si="0"/>
        <v>353</v>
      </c>
      <c r="W10" s="66"/>
    </row>
    <row r="11" spans="1:23" ht="12" customHeight="1">
      <c r="A11" s="64"/>
      <c r="B11" s="141" t="str">
        <f>UPPER(LEFT(TRIM(Data!B10),1)) &amp; MID(TRIM(Data!B10),2,50)</f>
        <v>Gaubtinės žarnos</v>
      </c>
      <c r="C11" s="170" t="str">
        <f>Data!C10</f>
        <v>C18</v>
      </c>
      <c r="D11" s="171">
        <f>Data!CD10</f>
        <v>0</v>
      </c>
      <c r="E11" s="171">
        <f>Data!CE10</f>
        <v>0</v>
      </c>
      <c r="F11" s="171">
        <f>Data!CF10</f>
        <v>0</v>
      </c>
      <c r="G11" s="171">
        <f>Data!CG10</f>
        <v>1</v>
      </c>
      <c r="H11" s="171">
        <f>Data!CH10</f>
        <v>1</v>
      </c>
      <c r="I11" s="171">
        <f>Data!CI10</f>
        <v>0</v>
      </c>
      <c r="J11" s="171">
        <f>Data!CJ10</f>
        <v>0</v>
      </c>
      <c r="K11" s="171">
        <f>Data!CK10</f>
        <v>2</v>
      </c>
      <c r="L11" s="171">
        <f>Data!CL10</f>
        <v>5</v>
      </c>
      <c r="M11" s="171">
        <f>Data!CM10</f>
        <v>13</v>
      </c>
      <c r="N11" s="171">
        <f>Data!CN10</f>
        <v>20</v>
      </c>
      <c r="O11" s="171">
        <f>Data!CO10</f>
        <v>32</v>
      </c>
      <c r="P11" s="171">
        <f>Data!CP10</f>
        <v>63</v>
      </c>
      <c r="Q11" s="171">
        <f>Data!CQ10</f>
        <v>49</v>
      </c>
      <c r="R11" s="171">
        <f>Data!CR10</f>
        <v>78</v>
      </c>
      <c r="S11" s="171">
        <f>Data!CS10</f>
        <v>80</v>
      </c>
      <c r="T11" s="171">
        <f>Data!CT10</f>
        <v>69</v>
      </c>
      <c r="U11" s="171">
        <f>Data!CU10</f>
        <v>55</v>
      </c>
      <c r="V11" s="171">
        <f t="shared" si="0"/>
        <v>468</v>
      </c>
      <c r="W11" s="66"/>
    </row>
    <row r="12" spans="1:23" ht="12" customHeight="1">
      <c r="A12" s="64"/>
      <c r="B12" s="146" t="str">
        <f>UPPER(LEFT(TRIM(Data!B11),1)) &amp; MID(TRIM(Data!B11),2,50)</f>
        <v>Tiesiosios žarnos, išangės</v>
      </c>
      <c r="C12" s="146" t="str">
        <f>Data!C11</f>
        <v>C19-C21</v>
      </c>
      <c r="D12" s="165">
        <f>Data!CD11</f>
        <v>0</v>
      </c>
      <c r="E12" s="165">
        <f>Data!CE11</f>
        <v>0</v>
      </c>
      <c r="F12" s="165">
        <f>Data!CF11</f>
        <v>0</v>
      </c>
      <c r="G12" s="165">
        <f>Data!CG11</f>
        <v>0</v>
      </c>
      <c r="H12" s="165">
        <f>Data!CH11</f>
        <v>0</v>
      </c>
      <c r="I12" s="165">
        <f>Data!CI11</f>
        <v>0</v>
      </c>
      <c r="J12" s="165">
        <f>Data!CJ11</f>
        <v>4</v>
      </c>
      <c r="K12" s="165">
        <f>Data!CK11</f>
        <v>2</v>
      </c>
      <c r="L12" s="165">
        <f>Data!CL11</f>
        <v>3</v>
      </c>
      <c r="M12" s="165">
        <f>Data!CM11</f>
        <v>15</v>
      </c>
      <c r="N12" s="165">
        <f>Data!CN11</f>
        <v>34</v>
      </c>
      <c r="O12" s="165">
        <f>Data!CO11</f>
        <v>27</v>
      </c>
      <c r="P12" s="165">
        <f>Data!CP11</f>
        <v>38</v>
      </c>
      <c r="Q12" s="165">
        <f>Data!CQ11</f>
        <v>25</v>
      </c>
      <c r="R12" s="165">
        <f>Data!CR11</f>
        <v>41</v>
      </c>
      <c r="S12" s="165">
        <f>Data!CS11</f>
        <v>52</v>
      </c>
      <c r="T12" s="165">
        <f>Data!CT11</f>
        <v>45</v>
      </c>
      <c r="U12" s="165">
        <f>Data!CU11</f>
        <v>41</v>
      </c>
      <c r="V12" s="165">
        <f t="shared" si="0"/>
        <v>327</v>
      </c>
      <c r="W12" s="66"/>
    </row>
    <row r="13" spans="1:23" ht="12" customHeight="1">
      <c r="A13" s="64"/>
      <c r="B13" s="141" t="str">
        <f>UPPER(LEFT(TRIM(Data!B12),1)) &amp; MID(TRIM(Data!B12),2,50)</f>
        <v>Kepenų</v>
      </c>
      <c r="C13" s="170" t="str">
        <f>Data!C12</f>
        <v>C22</v>
      </c>
      <c r="D13" s="171">
        <f>Data!CD12</f>
        <v>0</v>
      </c>
      <c r="E13" s="171">
        <f>Data!CE12</f>
        <v>0</v>
      </c>
      <c r="F13" s="171">
        <f>Data!CF12</f>
        <v>0</v>
      </c>
      <c r="G13" s="171">
        <f>Data!CG12</f>
        <v>0</v>
      </c>
      <c r="H13" s="171">
        <f>Data!CH12</f>
        <v>1</v>
      </c>
      <c r="I13" s="171">
        <f>Data!CI12</f>
        <v>0</v>
      </c>
      <c r="J13" s="171">
        <f>Data!CJ12</f>
        <v>0</v>
      </c>
      <c r="K13" s="171">
        <f>Data!CK12</f>
        <v>1</v>
      </c>
      <c r="L13" s="171">
        <f>Data!CL12</f>
        <v>1</v>
      </c>
      <c r="M13" s="171">
        <f>Data!CM12</f>
        <v>1</v>
      </c>
      <c r="N13" s="171">
        <f>Data!CN12</f>
        <v>7</v>
      </c>
      <c r="O13" s="171">
        <f>Data!CO12</f>
        <v>5</v>
      </c>
      <c r="P13" s="171">
        <f>Data!CP12</f>
        <v>6</v>
      </c>
      <c r="Q13" s="171">
        <f>Data!CQ12</f>
        <v>4</v>
      </c>
      <c r="R13" s="171">
        <f>Data!CR12</f>
        <v>15</v>
      </c>
      <c r="S13" s="171">
        <f>Data!CS12</f>
        <v>9</v>
      </c>
      <c r="T13" s="171">
        <f>Data!CT12</f>
        <v>10</v>
      </c>
      <c r="U13" s="171">
        <f>Data!CU12</f>
        <v>8</v>
      </c>
      <c r="V13" s="171">
        <f t="shared" si="0"/>
        <v>68</v>
      </c>
      <c r="W13" s="66"/>
    </row>
    <row r="14" spans="1:23" ht="12" customHeight="1">
      <c r="A14" s="64"/>
      <c r="B14" s="146" t="str">
        <f>UPPER(LEFT(TRIM(Data!B13),1)) &amp; MID(TRIM(Data!B13),2,50)</f>
        <v>Tulžies pūslės, ekstrahepatinių takų</v>
      </c>
      <c r="C14" s="146" t="str">
        <f>Data!C13</f>
        <v>C23, C24</v>
      </c>
      <c r="D14" s="165">
        <f>Data!CD13</f>
        <v>0</v>
      </c>
      <c r="E14" s="165">
        <f>Data!CE13</f>
        <v>0</v>
      </c>
      <c r="F14" s="165">
        <f>Data!CF13</f>
        <v>0</v>
      </c>
      <c r="G14" s="165">
        <f>Data!CG13</f>
        <v>0</v>
      </c>
      <c r="H14" s="165">
        <f>Data!CH13</f>
        <v>0</v>
      </c>
      <c r="I14" s="165">
        <f>Data!CI13</f>
        <v>0</v>
      </c>
      <c r="J14" s="165">
        <f>Data!CJ13</f>
        <v>1</v>
      </c>
      <c r="K14" s="165">
        <f>Data!CK13</f>
        <v>0</v>
      </c>
      <c r="L14" s="165">
        <f>Data!CL13</f>
        <v>0</v>
      </c>
      <c r="M14" s="165">
        <f>Data!CM13</f>
        <v>2</v>
      </c>
      <c r="N14" s="165">
        <f>Data!CN13</f>
        <v>4</v>
      </c>
      <c r="O14" s="165">
        <f>Data!CO13</f>
        <v>7</v>
      </c>
      <c r="P14" s="165">
        <f>Data!CP13</f>
        <v>14</v>
      </c>
      <c r="Q14" s="165">
        <f>Data!CQ13</f>
        <v>6</v>
      </c>
      <c r="R14" s="165">
        <f>Data!CR13</f>
        <v>15</v>
      </c>
      <c r="S14" s="165">
        <f>Data!CS13</f>
        <v>10</v>
      </c>
      <c r="T14" s="165">
        <f>Data!CT13</f>
        <v>12</v>
      </c>
      <c r="U14" s="165">
        <f>Data!CU13</f>
        <v>19</v>
      </c>
      <c r="V14" s="165">
        <f t="shared" si="0"/>
        <v>90</v>
      </c>
      <c r="W14" s="66"/>
    </row>
    <row r="15" spans="1:23" ht="12" customHeight="1">
      <c r="A15" s="64"/>
      <c r="B15" s="141" t="str">
        <f>UPPER(LEFT(TRIM(Data!B14),1)) &amp; MID(TRIM(Data!B14),2,50)</f>
        <v>Kasos</v>
      </c>
      <c r="C15" s="170" t="str">
        <f>Data!C14</f>
        <v>C25</v>
      </c>
      <c r="D15" s="171">
        <f>Data!CD14</f>
        <v>0</v>
      </c>
      <c r="E15" s="171">
        <f>Data!CE14</f>
        <v>0</v>
      </c>
      <c r="F15" s="171">
        <f>Data!CF14</f>
        <v>0</v>
      </c>
      <c r="G15" s="171">
        <f>Data!CG14</f>
        <v>0</v>
      </c>
      <c r="H15" s="171">
        <f>Data!CH14</f>
        <v>0</v>
      </c>
      <c r="I15" s="171">
        <f>Data!CI14</f>
        <v>0</v>
      </c>
      <c r="J15" s="171">
        <f>Data!CJ14</f>
        <v>0</v>
      </c>
      <c r="K15" s="171">
        <f>Data!CK14</f>
        <v>0</v>
      </c>
      <c r="L15" s="171">
        <f>Data!CL14</f>
        <v>1</v>
      </c>
      <c r="M15" s="171">
        <f>Data!CM14</f>
        <v>5</v>
      </c>
      <c r="N15" s="171">
        <f>Data!CN14</f>
        <v>11</v>
      </c>
      <c r="O15" s="171">
        <f>Data!CO14</f>
        <v>16</v>
      </c>
      <c r="P15" s="171">
        <f>Data!CP14</f>
        <v>26</v>
      </c>
      <c r="Q15" s="171">
        <f>Data!CQ14</f>
        <v>35</v>
      </c>
      <c r="R15" s="171">
        <f>Data!CR14</f>
        <v>38</v>
      </c>
      <c r="S15" s="171">
        <f>Data!CS14</f>
        <v>52</v>
      </c>
      <c r="T15" s="171">
        <f>Data!CT14</f>
        <v>38</v>
      </c>
      <c r="U15" s="171">
        <f>Data!CU14</f>
        <v>36</v>
      </c>
      <c r="V15" s="171">
        <f t="shared" si="0"/>
        <v>258</v>
      </c>
      <c r="W15" s="66"/>
    </row>
    <row r="16" spans="1:23" ht="12" customHeight="1">
      <c r="A16" s="64"/>
      <c r="B16" s="146" t="str">
        <f>UPPER(LEFT(TRIM(Data!B15),1)) &amp; MID(TRIM(Data!B15),2,50)</f>
        <v>Kitų virškinimo sistemos organų</v>
      </c>
      <c r="C16" s="146" t="str">
        <f>Data!C15</f>
        <v>C17, C26, C48</v>
      </c>
      <c r="D16" s="165">
        <f>Data!CD15</f>
        <v>3</v>
      </c>
      <c r="E16" s="165">
        <f>Data!CE15</f>
        <v>0</v>
      </c>
      <c r="F16" s="165">
        <f>Data!CF15</f>
        <v>0</v>
      </c>
      <c r="G16" s="165">
        <f>Data!CG15</f>
        <v>0</v>
      </c>
      <c r="H16" s="165">
        <f>Data!CH15</f>
        <v>0</v>
      </c>
      <c r="I16" s="165">
        <f>Data!CI15</f>
        <v>0</v>
      </c>
      <c r="J16" s="165">
        <f>Data!CJ15</f>
        <v>0</v>
      </c>
      <c r="K16" s="165">
        <f>Data!CK15</f>
        <v>1</v>
      </c>
      <c r="L16" s="165">
        <f>Data!CL15</f>
        <v>1</v>
      </c>
      <c r="M16" s="165">
        <f>Data!CM15</f>
        <v>3</v>
      </c>
      <c r="N16" s="165">
        <f>Data!CN15</f>
        <v>0</v>
      </c>
      <c r="O16" s="165">
        <f>Data!CO15</f>
        <v>5</v>
      </c>
      <c r="P16" s="165">
        <f>Data!CP15</f>
        <v>3</v>
      </c>
      <c r="Q16" s="165">
        <f>Data!CQ15</f>
        <v>9</v>
      </c>
      <c r="R16" s="165">
        <f>Data!CR15</f>
        <v>5</v>
      </c>
      <c r="S16" s="165">
        <f>Data!CS15</f>
        <v>5</v>
      </c>
      <c r="T16" s="165">
        <f>Data!CT15</f>
        <v>6</v>
      </c>
      <c r="U16" s="165">
        <f>Data!CU15</f>
        <v>4</v>
      </c>
      <c r="V16" s="165">
        <f t="shared" si="0"/>
        <v>45</v>
      </c>
      <c r="W16" s="66"/>
    </row>
    <row r="17" spans="1:23" ht="12" customHeight="1">
      <c r="A17" s="64"/>
      <c r="B17" s="141" t="str">
        <f>UPPER(LEFT(TRIM(Data!B16),1)) &amp; MID(TRIM(Data!B16),2,50)</f>
        <v>Nosies ertmės, vid.ausies ir ančių</v>
      </c>
      <c r="C17" s="170" t="str">
        <f>Data!C16</f>
        <v>C30, C31</v>
      </c>
      <c r="D17" s="171">
        <f>Data!CD16</f>
        <v>0</v>
      </c>
      <c r="E17" s="171">
        <f>Data!CE16</f>
        <v>0</v>
      </c>
      <c r="F17" s="171">
        <f>Data!CF16</f>
        <v>0</v>
      </c>
      <c r="G17" s="171">
        <f>Data!CG16</f>
        <v>0</v>
      </c>
      <c r="H17" s="171">
        <f>Data!CH16</f>
        <v>0</v>
      </c>
      <c r="I17" s="171">
        <f>Data!CI16</f>
        <v>0</v>
      </c>
      <c r="J17" s="171">
        <f>Data!CJ16</f>
        <v>0</v>
      </c>
      <c r="K17" s="171">
        <f>Data!CK16</f>
        <v>0</v>
      </c>
      <c r="L17" s="171">
        <f>Data!CL16</f>
        <v>0</v>
      </c>
      <c r="M17" s="171">
        <f>Data!CM16</f>
        <v>0</v>
      </c>
      <c r="N17" s="171">
        <f>Data!CN16</f>
        <v>2</v>
      </c>
      <c r="O17" s="171">
        <f>Data!CO16</f>
        <v>1</v>
      </c>
      <c r="P17" s="171">
        <f>Data!CP16</f>
        <v>2</v>
      </c>
      <c r="Q17" s="171">
        <f>Data!CQ16</f>
        <v>3</v>
      </c>
      <c r="R17" s="171">
        <f>Data!CR16</f>
        <v>2</v>
      </c>
      <c r="S17" s="171">
        <f>Data!CS16</f>
        <v>4</v>
      </c>
      <c r="T17" s="171">
        <f>Data!CT16</f>
        <v>0</v>
      </c>
      <c r="U17" s="171">
        <f>Data!CU16</f>
        <v>3</v>
      </c>
      <c r="V17" s="171">
        <f t="shared" si="0"/>
        <v>17</v>
      </c>
      <c r="W17" s="66"/>
    </row>
    <row r="18" spans="1:23" ht="12" customHeight="1">
      <c r="A18" s="64"/>
      <c r="B18" s="146" t="str">
        <f>UPPER(LEFT(TRIM(Data!B17),1)) &amp; MID(TRIM(Data!B17),2,50)</f>
        <v>Gerklų</v>
      </c>
      <c r="C18" s="146" t="str">
        <f>Data!C17</f>
        <v>C32</v>
      </c>
      <c r="D18" s="165">
        <f>Data!CD17</f>
        <v>0</v>
      </c>
      <c r="E18" s="165">
        <f>Data!CE17</f>
        <v>0</v>
      </c>
      <c r="F18" s="165">
        <f>Data!CF17</f>
        <v>0</v>
      </c>
      <c r="G18" s="165">
        <f>Data!CG17</f>
        <v>0</v>
      </c>
      <c r="H18" s="165">
        <f>Data!CH17</f>
        <v>0</v>
      </c>
      <c r="I18" s="165">
        <f>Data!CI17</f>
        <v>1</v>
      </c>
      <c r="J18" s="165">
        <f>Data!CJ17</f>
        <v>1</v>
      </c>
      <c r="K18" s="165">
        <f>Data!CK17</f>
        <v>0</v>
      </c>
      <c r="L18" s="165">
        <f>Data!CL17</f>
        <v>0</v>
      </c>
      <c r="M18" s="165">
        <f>Data!CM17</f>
        <v>1</v>
      </c>
      <c r="N18" s="165">
        <f>Data!CN17</f>
        <v>1</v>
      </c>
      <c r="O18" s="165">
        <f>Data!CO17</f>
        <v>3</v>
      </c>
      <c r="P18" s="165">
        <f>Data!CP17</f>
        <v>2</v>
      </c>
      <c r="Q18" s="165">
        <f>Data!CQ17</f>
        <v>0</v>
      </c>
      <c r="R18" s="165">
        <f>Data!CR17</f>
        <v>1</v>
      </c>
      <c r="S18" s="165">
        <f>Data!CS17</f>
        <v>3</v>
      </c>
      <c r="T18" s="165">
        <f>Data!CT17</f>
        <v>1</v>
      </c>
      <c r="U18" s="165">
        <f>Data!CU17</f>
        <v>1</v>
      </c>
      <c r="V18" s="165">
        <f t="shared" si="0"/>
        <v>15</v>
      </c>
      <c r="W18" s="66"/>
    </row>
    <row r="19" spans="1:23" ht="12" customHeight="1">
      <c r="A19" s="64"/>
      <c r="B19" s="141" t="str">
        <f>UPPER(LEFT(TRIM(Data!B18),1)) &amp; MID(TRIM(Data!B18),2,50)</f>
        <v>Plaučių, trachėjos, bronchų</v>
      </c>
      <c r="C19" s="170" t="str">
        <f>Data!C18</f>
        <v>C33, C34</v>
      </c>
      <c r="D19" s="171">
        <f>Data!CD18</f>
        <v>0</v>
      </c>
      <c r="E19" s="171">
        <f>Data!CE18</f>
        <v>0</v>
      </c>
      <c r="F19" s="171">
        <f>Data!CF18</f>
        <v>0</v>
      </c>
      <c r="G19" s="171">
        <f>Data!CG18</f>
        <v>0</v>
      </c>
      <c r="H19" s="171">
        <f>Data!CH18</f>
        <v>1</v>
      </c>
      <c r="I19" s="171">
        <f>Data!CI18</f>
        <v>0</v>
      </c>
      <c r="J19" s="171">
        <f>Data!CJ18</f>
        <v>0</v>
      </c>
      <c r="K19" s="171">
        <f>Data!CK18</f>
        <v>0</v>
      </c>
      <c r="L19" s="171">
        <f>Data!CL18</f>
        <v>4</v>
      </c>
      <c r="M19" s="171">
        <f>Data!CM18</f>
        <v>9</v>
      </c>
      <c r="N19" s="171">
        <f>Data!CN18</f>
        <v>13</v>
      </c>
      <c r="O19" s="171">
        <f>Data!CO18</f>
        <v>24</v>
      </c>
      <c r="P19" s="171">
        <f>Data!CP18</f>
        <v>31</v>
      </c>
      <c r="Q19" s="171">
        <f>Data!CQ18</f>
        <v>34</v>
      </c>
      <c r="R19" s="171">
        <f>Data!CR18</f>
        <v>47</v>
      </c>
      <c r="S19" s="171">
        <f>Data!CS18</f>
        <v>38</v>
      </c>
      <c r="T19" s="171">
        <f>Data!CT18</f>
        <v>36</v>
      </c>
      <c r="U19" s="171">
        <f>Data!CU18</f>
        <v>23</v>
      </c>
      <c r="V19" s="171">
        <f t="shared" si="0"/>
        <v>260</v>
      </c>
      <c r="W19" s="66"/>
    </row>
    <row r="20" spans="1:23" ht="12" customHeight="1">
      <c r="A20" s="64"/>
      <c r="B20" s="146" t="str">
        <f>UPPER(LEFT(TRIM(Data!B19),1)) &amp; MID(TRIM(Data!B19),2,50)</f>
        <v>Kitų kvėpavimo sistemos organų</v>
      </c>
      <c r="C20" s="146" t="str">
        <f>Data!C19</f>
        <v>C37-C39</v>
      </c>
      <c r="D20" s="165">
        <f>Data!CD19</f>
        <v>0</v>
      </c>
      <c r="E20" s="165">
        <f>Data!CE19</f>
        <v>1</v>
      </c>
      <c r="F20" s="165">
        <f>Data!CF19</f>
        <v>0</v>
      </c>
      <c r="G20" s="165">
        <f>Data!CG19</f>
        <v>1</v>
      </c>
      <c r="H20" s="165">
        <f>Data!CH19</f>
        <v>0</v>
      </c>
      <c r="I20" s="165">
        <f>Data!CI19</f>
        <v>0</v>
      </c>
      <c r="J20" s="165">
        <f>Data!CJ19</f>
        <v>0</v>
      </c>
      <c r="K20" s="165">
        <f>Data!CK19</f>
        <v>0</v>
      </c>
      <c r="L20" s="165">
        <f>Data!CL19</f>
        <v>0</v>
      </c>
      <c r="M20" s="165">
        <f>Data!CM19</f>
        <v>1</v>
      </c>
      <c r="N20" s="165">
        <f>Data!CN19</f>
        <v>0</v>
      </c>
      <c r="O20" s="165">
        <f>Data!CO19</f>
        <v>0</v>
      </c>
      <c r="P20" s="165">
        <f>Data!CP19</f>
        <v>0</v>
      </c>
      <c r="Q20" s="165">
        <f>Data!CQ19</f>
        <v>1</v>
      </c>
      <c r="R20" s="165">
        <f>Data!CR19</f>
        <v>0</v>
      </c>
      <c r="S20" s="165">
        <f>Data!CS19</f>
        <v>2</v>
      </c>
      <c r="T20" s="165">
        <f>Data!CT19</f>
        <v>1</v>
      </c>
      <c r="U20" s="165">
        <f>Data!CU19</f>
        <v>2</v>
      </c>
      <c r="V20" s="165">
        <f t="shared" si="0"/>
        <v>9</v>
      </c>
      <c r="W20" s="66"/>
    </row>
    <row r="21" spans="1:23" ht="12" customHeight="1">
      <c r="A21" s="64"/>
      <c r="B21" s="141" t="str">
        <f>UPPER(LEFT(TRIM(Data!B20),1)) &amp; MID(TRIM(Data!B20),2,50)</f>
        <v>Kaulų ir jungiamojo audinio</v>
      </c>
      <c r="C21" s="170" t="str">
        <f>Data!C20</f>
        <v>C40-C41, C45-C47, C49</v>
      </c>
      <c r="D21" s="171">
        <f>Data!CD20</f>
        <v>0</v>
      </c>
      <c r="E21" s="171">
        <f>Data!CE20</f>
        <v>1</v>
      </c>
      <c r="F21" s="171">
        <f>Data!CF20</f>
        <v>1</v>
      </c>
      <c r="G21" s="171">
        <f>Data!CG20</f>
        <v>3</v>
      </c>
      <c r="H21" s="171">
        <f>Data!CH20</f>
        <v>1</v>
      </c>
      <c r="I21" s="171">
        <f>Data!CI20</f>
        <v>3</v>
      </c>
      <c r="J21" s="171">
        <f>Data!CJ20</f>
        <v>2</v>
      </c>
      <c r="K21" s="171">
        <f>Data!CK20</f>
        <v>2</v>
      </c>
      <c r="L21" s="171">
        <f>Data!CL20</f>
        <v>3</v>
      </c>
      <c r="M21" s="171">
        <f>Data!CM20</f>
        <v>4</v>
      </c>
      <c r="N21" s="171">
        <f>Data!CN20</f>
        <v>6</v>
      </c>
      <c r="O21" s="171">
        <f>Data!CO20</f>
        <v>4</v>
      </c>
      <c r="P21" s="171">
        <f>Data!CP20</f>
        <v>3</v>
      </c>
      <c r="Q21" s="171">
        <f>Data!CQ20</f>
        <v>3</v>
      </c>
      <c r="R21" s="171">
        <f>Data!CR20</f>
        <v>8</v>
      </c>
      <c r="S21" s="171">
        <f>Data!CS20</f>
        <v>9</v>
      </c>
      <c r="T21" s="171">
        <f>Data!CT20</f>
        <v>4</v>
      </c>
      <c r="U21" s="171">
        <f>Data!CU20</f>
        <v>6</v>
      </c>
      <c r="V21" s="171">
        <f t="shared" si="0"/>
        <v>63</v>
      </c>
      <c r="W21" s="66"/>
    </row>
    <row r="22" spans="1:23" ht="12" customHeight="1">
      <c r="A22" s="64"/>
      <c r="B22" s="146" t="str">
        <f>UPPER(LEFT(TRIM(Data!B21),1)) &amp; MID(TRIM(Data!B21),2,50)</f>
        <v>Odos melanoma</v>
      </c>
      <c r="C22" s="146" t="str">
        <f>Data!C21</f>
        <v>C43</v>
      </c>
      <c r="D22" s="165">
        <f>Data!CD21</f>
        <v>0</v>
      </c>
      <c r="E22" s="165">
        <f>Data!CE21</f>
        <v>0</v>
      </c>
      <c r="F22" s="165">
        <f>Data!CF21</f>
        <v>0</v>
      </c>
      <c r="G22" s="165">
        <f>Data!CG21</f>
        <v>0</v>
      </c>
      <c r="H22" s="165">
        <f>Data!CH21</f>
        <v>2</v>
      </c>
      <c r="I22" s="165">
        <f>Data!CI21</f>
        <v>5</v>
      </c>
      <c r="J22" s="165">
        <f>Data!CJ21</f>
        <v>2</v>
      </c>
      <c r="K22" s="165">
        <f>Data!CK21</f>
        <v>3</v>
      </c>
      <c r="L22" s="165">
        <f>Data!CL21</f>
        <v>8</v>
      </c>
      <c r="M22" s="165">
        <f>Data!CM21</f>
        <v>12</v>
      </c>
      <c r="N22" s="165">
        <f>Data!CN21</f>
        <v>22</v>
      </c>
      <c r="O22" s="165">
        <f>Data!CO21</f>
        <v>16</v>
      </c>
      <c r="P22" s="165">
        <f>Data!CP21</f>
        <v>27</v>
      </c>
      <c r="Q22" s="165">
        <f>Data!CQ21</f>
        <v>25</v>
      </c>
      <c r="R22" s="165">
        <f>Data!CR21</f>
        <v>18</v>
      </c>
      <c r="S22" s="165">
        <f>Data!CS21</f>
        <v>21</v>
      </c>
      <c r="T22" s="165">
        <f>Data!CT21</f>
        <v>10</v>
      </c>
      <c r="U22" s="165">
        <f>Data!CU21</f>
        <v>17</v>
      </c>
      <c r="V22" s="165">
        <f t="shared" si="0"/>
        <v>188</v>
      </c>
      <c r="W22" s="66"/>
    </row>
    <row r="23" spans="1:23" ht="12" customHeight="1">
      <c r="A23" s="64"/>
      <c r="B23" s="141" t="str">
        <f>UPPER(LEFT(TRIM(Data!B22),1)) &amp; MID(TRIM(Data!B22),2,50)</f>
        <v>Kiti odos piktybiniai navikai</v>
      </c>
      <c r="C23" s="170" t="str">
        <f>Data!C22</f>
        <v>C44</v>
      </c>
      <c r="D23" s="171">
        <f>Data!CD22</f>
        <v>0</v>
      </c>
      <c r="E23" s="171">
        <f>Data!CE22</f>
        <v>0</v>
      </c>
      <c r="F23" s="171">
        <f>Data!CF22</f>
        <v>0</v>
      </c>
      <c r="G23" s="171">
        <f>Data!CG22</f>
        <v>0</v>
      </c>
      <c r="H23" s="171">
        <f>Data!CH22</f>
        <v>3</v>
      </c>
      <c r="I23" s="171">
        <f>Data!CI22</f>
        <v>4</v>
      </c>
      <c r="J23" s="171">
        <f>Data!CJ22</f>
        <v>10</v>
      </c>
      <c r="K23" s="171">
        <f>Data!CK22</f>
        <v>16</v>
      </c>
      <c r="L23" s="171">
        <f>Data!CL22</f>
        <v>28</v>
      </c>
      <c r="M23" s="171">
        <f>Data!CM22</f>
        <v>51</v>
      </c>
      <c r="N23" s="171">
        <f>Data!CN22</f>
        <v>73</v>
      </c>
      <c r="O23" s="171">
        <f>Data!CO22</f>
        <v>98</v>
      </c>
      <c r="P23" s="171">
        <f>Data!CP22</f>
        <v>123</v>
      </c>
      <c r="Q23" s="171">
        <f>Data!CQ22</f>
        <v>175</v>
      </c>
      <c r="R23" s="171">
        <f>Data!CR22</f>
        <v>193</v>
      </c>
      <c r="S23" s="171">
        <f>Data!CS22</f>
        <v>259</v>
      </c>
      <c r="T23" s="171">
        <f>Data!CT22</f>
        <v>194</v>
      </c>
      <c r="U23" s="171">
        <f>Data!CU22</f>
        <v>148</v>
      </c>
      <c r="V23" s="171">
        <f t="shared" si="0"/>
        <v>1375</v>
      </c>
      <c r="W23" s="66"/>
    </row>
    <row r="24" spans="1:23" ht="12" customHeight="1">
      <c r="A24" s="64"/>
      <c r="B24" s="146" t="str">
        <f>UPPER(LEFT(TRIM(Data!B23),1)) &amp; MID(TRIM(Data!B23),2,50)</f>
        <v>Krūties</v>
      </c>
      <c r="C24" s="146" t="str">
        <f>Data!C23</f>
        <v>C50</v>
      </c>
      <c r="D24" s="165">
        <f>Data!CD23</f>
        <v>0</v>
      </c>
      <c r="E24" s="165">
        <f>Data!CE23</f>
        <v>0</v>
      </c>
      <c r="F24" s="165">
        <f>Data!CF23</f>
        <v>0</v>
      </c>
      <c r="G24" s="165">
        <f>Data!CG23</f>
        <v>0</v>
      </c>
      <c r="H24" s="165">
        <f>Data!CH23</f>
        <v>2</v>
      </c>
      <c r="I24" s="165">
        <f>Data!CI23</f>
        <v>5</v>
      </c>
      <c r="J24" s="165">
        <f>Data!CJ23</f>
        <v>13</v>
      </c>
      <c r="K24" s="165">
        <f>Data!CK23</f>
        <v>41</v>
      </c>
      <c r="L24" s="165">
        <f>Data!CL23</f>
        <v>94</v>
      </c>
      <c r="M24" s="165">
        <f>Data!CM23</f>
        <v>151</v>
      </c>
      <c r="N24" s="165">
        <f>Data!CN23</f>
        <v>201</v>
      </c>
      <c r="O24" s="165">
        <f>Data!CO23</f>
        <v>208</v>
      </c>
      <c r="P24" s="165">
        <f>Data!CP23</f>
        <v>203</v>
      </c>
      <c r="Q24" s="165">
        <f>Data!CQ23</f>
        <v>210</v>
      </c>
      <c r="R24" s="165">
        <f>Data!CR23</f>
        <v>173</v>
      </c>
      <c r="S24" s="165">
        <f>Data!CS23</f>
        <v>166</v>
      </c>
      <c r="T24" s="165">
        <f>Data!CT23</f>
        <v>111</v>
      </c>
      <c r="U24" s="165">
        <f>Data!CU23</f>
        <v>77</v>
      </c>
      <c r="V24" s="165">
        <f t="shared" si="0"/>
        <v>1655</v>
      </c>
      <c r="W24" s="66"/>
    </row>
    <row r="25" spans="1:23" ht="12" customHeight="1">
      <c r="A25" s="64"/>
      <c r="B25" s="141" t="str">
        <f>UPPER(LEFT(TRIM(Data!B24),1)) &amp; MID(TRIM(Data!B24),2,50)</f>
        <v>Vulvos</v>
      </c>
      <c r="C25" s="170" t="str">
        <f>Data!C24</f>
        <v>C51</v>
      </c>
      <c r="D25" s="171">
        <f>Data!CD24</f>
        <v>0</v>
      </c>
      <c r="E25" s="171">
        <f>Data!CE24</f>
        <v>0</v>
      </c>
      <c r="F25" s="171">
        <f>Data!CF24</f>
        <v>0</v>
      </c>
      <c r="G25" s="171">
        <f>Data!CG24</f>
        <v>0</v>
      </c>
      <c r="H25" s="171">
        <f>Data!CH24</f>
        <v>0</v>
      </c>
      <c r="I25" s="171">
        <f>Data!CI24</f>
        <v>0</v>
      </c>
      <c r="J25" s="171">
        <f>Data!CJ24</f>
        <v>0</v>
      </c>
      <c r="K25" s="171">
        <f>Data!CK24</f>
        <v>0</v>
      </c>
      <c r="L25" s="171">
        <f>Data!CL24</f>
        <v>0</v>
      </c>
      <c r="M25" s="171">
        <f>Data!CM24</f>
        <v>0</v>
      </c>
      <c r="N25" s="171">
        <f>Data!CN24</f>
        <v>2</v>
      </c>
      <c r="O25" s="171">
        <f>Data!CO24</f>
        <v>2</v>
      </c>
      <c r="P25" s="171">
        <f>Data!CP24</f>
        <v>5</v>
      </c>
      <c r="Q25" s="171">
        <f>Data!CQ24</f>
        <v>7</v>
      </c>
      <c r="R25" s="171">
        <f>Data!CR24</f>
        <v>5</v>
      </c>
      <c r="S25" s="171">
        <f>Data!CS24</f>
        <v>4</v>
      </c>
      <c r="T25" s="171">
        <f>Data!CT24</f>
        <v>9</v>
      </c>
      <c r="U25" s="171">
        <f>Data!CU24</f>
        <v>12</v>
      </c>
      <c r="V25" s="171">
        <f t="shared" si="0"/>
        <v>46</v>
      </c>
      <c r="W25" s="66"/>
    </row>
    <row r="26" spans="1:23" ht="12" customHeight="1">
      <c r="A26" s="64"/>
      <c r="B26" s="146" t="str">
        <f>UPPER(LEFT(TRIM(Data!B25),1)) &amp; MID(TRIM(Data!B25),2,50)</f>
        <v>Gimdos kaklelio</v>
      </c>
      <c r="C26" s="146" t="str">
        <f>Data!C25</f>
        <v>C53</v>
      </c>
      <c r="D26" s="165">
        <f>Data!CD25</f>
        <v>0</v>
      </c>
      <c r="E26" s="165">
        <f>Data!CE25</f>
        <v>0</v>
      </c>
      <c r="F26" s="165">
        <f>Data!CF25</f>
        <v>0</v>
      </c>
      <c r="G26" s="165">
        <f>Data!CG25</f>
        <v>0</v>
      </c>
      <c r="H26" s="165">
        <f>Data!CH25</f>
        <v>0</v>
      </c>
      <c r="I26" s="165">
        <f>Data!CI25</f>
        <v>17</v>
      </c>
      <c r="J26" s="165">
        <f>Data!CJ25</f>
        <v>14</v>
      </c>
      <c r="K26" s="165">
        <f>Data!CK25</f>
        <v>20</v>
      </c>
      <c r="L26" s="165">
        <f>Data!CL25</f>
        <v>45</v>
      </c>
      <c r="M26" s="165">
        <f>Data!CM25</f>
        <v>43</v>
      </c>
      <c r="N26" s="165">
        <f>Data!CN25</f>
        <v>48</v>
      </c>
      <c r="O26" s="165">
        <f>Data!CO25</f>
        <v>36</v>
      </c>
      <c r="P26" s="165">
        <f>Data!CP25</f>
        <v>31</v>
      </c>
      <c r="Q26" s="165">
        <f>Data!CQ25</f>
        <v>22</v>
      </c>
      <c r="R26" s="165">
        <f>Data!CR25</f>
        <v>24</v>
      </c>
      <c r="S26" s="165">
        <f>Data!CS25</f>
        <v>29</v>
      </c>
      <c r="T26" s="165">
        <f>Data!CT25</f>
        <v>22</v>
      </c>
      <c r="U26" s="165">
        <f>Data!CU25</f>
        <v>15</v>
      </c>
      <c r="V26" s="165">
        <f t="shared" si="0"/>
        <v>366</v>
      </c>
      <c r="W26" s="66"/>
    </row>
    <row r="27" spans="1:23" ht="12" customHeight="1">
      <c r="A27" s="64"/>
      <c r="B27" s="141" t="str">
        <f>UPPER(LEFT(TRIM(Data!B26),1)) &amp; MID(TRIM(Data!B26),2,50)</f>
        <v>Gimdos kūno</v>
      </c>
      <c r="C27" s="170" t="str">
        <f>Data!C26</f>
        <v>C54, C55</v>
      </c>
      <c r="D27" s="171">
        <f>Data!CD26</f>
        <v>0</v>
      </c>
      <c r="E27" s="171">
        <f>Data!CE26</f>
        <v>0</v>
      </c>
      <c r="F27" s="171">
        <f>Data!CF26</f>
        <v>0</v>
      </c>
      <c r="G27" s="171">
        <f>Data!CG26</f>
        <v>0</v>
      </c>
      <c r="H27" s="171">
        <f>Data!CH26</f>
        <v>0</v>
      </c>
      <c r="I27" s="171">
        <f>Data!CI26</f>
        <v>0</v>
      </c>
      <c r="J27" s="171">
        <f>Data!CJ26</f>
        <v>2</v>
      </c>
      <c r="K27" s="171">
        <f>Data!CK26</f>
        <v>4</v>
      </c>
      <c r="L27" s="171">
        <f>Data!CL26</f>
        <v>16</v>
      </c>
      <c r="M27" s="171">
        <f>Data!CM26</f>
        <v>39</v>
      </c>
      <c r="N27" s="171">
        <f>Data!CN26</f>
        <v>74</v>
      </c>
      <c r="O27" s="171">
        <f>Data!CO26</f>
        <v>88</v>
      </c>
      <c r="P27" s="171">
        <f>Data!CP26</f>
        <v>82</v>
      </c>
      <c r="Q27" s="171">
        <f>Data!CQ26</f>
        <v>88</v>
      </c>
      <c r="R27" s="171">
        <f>Data!CR26</f>
        <v>84</v>
      </c>
      <c r="S27" s="171">
        <f>Data!CS26</f>
        <v>75</v>
      </c>
      <c r="T27" s="171">
        <f>Data!CT26</f>
        <v>43</v>
      </c>
      <c r="U27" s="171">
        <f>Data!CU26</f>
        <v>21</v>
      </c>
      <c r="V27" s="171">
        <f t="shared" si="0"/>
        <v>616</v>
      </c>
      <c r="W27" s="66"/>
    </row>
    <row r="28" spans="1:23" ht="12" customHeight="1">
      <c r="A28" s="64"/>
      <c r="B28" s="146" t="str">
        <f>UPPER(LEFT(TRIM(Data!B27),1)) &amp; MID(TRIM(Data!B27),2,50)</f>
        <v>Kiaušidžių</v>
      </c>
      <c r="C28" s="146" t="str">
        <f>Data!C27</f>
        <v>C56</v>
      </c>
      <c r="D28" s="165">
        <f>Data!CD27</f>
        <v>0</v>
      </c>
      <c r="E28" s="165">
        <f>Data!CE27</f>
        <v>0</v>
      </c>
      <c r="F28" s="165">
        <f>Data!CF27</f>
        <v>0</v>
      </c>
      <c r="G28" s="165">
        <f>Data!CG27</f>
        <v>2</v>
      </c>
      <c r="H28" s="165">
        <f>Data!CH27</f>
        <v>4</v>
      </c>
      <c r="I28" s="165">
        <f>Data!CI27</f>
        <v>5</v>
      </c>
      <c r="J28" s="165">
        <f>Data!CJ27</f>
        <v>5</v>
      </c>
      <c r="K28" s="165">
        <f>Data!CK27</f>
        <v>4</v>
      </c>
      <c r="L28" s="165">
        <f>Data!CL27</f>
        <v>18</v>
      </c>
      <c r="M28" s="165">
        <f>Data!CM27</f>
        <v>43</v>
      </c>
      <c r="N28" s="165">
        <f>Data!CN27</f>
        <v>49</v>
      </c>
      <c r="O28" s="165">
        <f>Data!CO27</f>
        <v>47</v>
      </c>
      <c r="P28" s="165">
        <f>Data!CP27</f>
        <v>42</v>
      </c>
      <c r="Q28" s="165">
        <f>Data!CQ27</f>
        <v>32</v>
      </c>
      <c r="R28" s="165">
        <f>Data!CR27</f>
        <v>54</v>
      </c>
      <c r="S28" s="165">
        <f>Data!CS27</f>
        <v>48</v>
      </c>
      <c r="T28" s="165">
        <f>Data!CT27</f>
        <v>36</v>
      </c>
      <c r="U28" s="165">
        <f>Data!CU27</f>
        <v>15</v>
      </c>
      <c r="V28" s="165">
        <f t="shared" si="0"/>
        <v>404</v>
      </c>
      <c r="W28" s="66"/>
    </row>
    <row r="29" spans="1:23" ht="12" customHeight="1">
      <c r="A29" s="64"/>
      <c r="B29" s="141" t="str">
        <f>UPPER(LEFT(TRIM(Data!B30),1)) &amp; MID(TRIM(Data!B30),2,50)</f>
        <v>Kitų lyties organų</v>
      </c>
      <c r="C29" s="170" t="s">
        <v>418</v>
      </c>
      <c r="D29" s="171">
        <f>Data!CD30</f>
        <v>0</v>
      </c>
      <c r="E29" s="171">
        <f>Data!CE30</f>
        <v>0</v>
      </c>
      <c r="F29" s="171">
        <f>Data!CF30</f>
        <v>0</v>
      </c>
      <c r="G29" s="171">
        <f>Data!CG30</f>
        <v>0</v>
      </c>
      <c r="H29" s="171">
        <f>Data!CH30</f>
        <v>0</v>
      </c>
      <c r="I29" s="171">
        <f>Data!CI30</f>
        <v>1</v>
      </c>
      <c r="J29" s="171">
        <f>Data!CJ30</f>
        <v>1</v>
      </c>
      <c r="K29" s="171">
        <f>Data!CK30</f>
        <v>0</v>
      </c>
      <c r="L29" s="171">
        <f>Data!CL30</f>
        <v>1</v>
      </c>
      <c r="M29" s="171">
        <f>Data!CM30</f>
        <v>1</v>
      </c>
      <c r="N29" s="171">
        <f>Data!CN30</f>
        <v>4</v>
      </c>
      <c r="O29" s="171">
        <f>Data!CO30</f>
        <v>2</v>
      </c>
      <c r="P29" s="171">
        <f>Data!CP30</f>
        <v>1</v>
      </c>
      <c r="Q29" s="171">
        <f>Data!CQ30</f>
        <v>5</v>
      </c>
      <c r="R29" s="171">
        <f>Data!CR30</f>
        <v>4</v>
      </c>
      <c r="S29" s="171">
        <f>Data!CS30</f>
        <v>3</v>
      </c>
      <c r="T29" s="171">
        <f>Data!CT30</f>
        <v>6</v>
      </c>
      <c r="U29" s="171">
        <f>Data!CU30</f>
        <v>4</v>
      </c>
      <c r="V29" s="171">
        <f t="shared" si="0"/>
        <v>33</v>
      </c>
      <c r="W29" s="66"/>
    </row>
    <row r="30" spans="1:23" ht="12" customHeight="1">
      <c r="A30" s="64"/>
      <c r="B30" s="146" t="str">
        <f>UPPER(LEFT(TRIM(Data!B31),1)) &amp; MID(TRIM(Data!B31),2,50)</f>
        <v>Inkstų</v>
      </c>
      <c r="C30" s="146" t="str">
        <f>Data!C31</f>
        <v>C64</v>
      </c>
      <c r="D30" s="165">
        <f>Data!CD31</f>
        <v>0</v>
      </c>
      <c r="E30" s="165">
        <f>Data!CE31</f>
        <v>0</v>
      </c>
      <c r="F30" s="165">
        <f>Data!CF31</f>
        <v>0</v>
      </c>
      <c r="G30" s="165">
        <f>Data!CG31</f>
        <v>0</v>
      </c>
      <c r="H30" s="165">
        <f>Data!CH31</f>
        <v>1</v>
      </c>
      <c r="I30" s="165">
        <f>Data!CI31</f>
        <v>1</v>
      </c>
      <c r="J30" s="165">
        <f>Data!CJ31</f>
        <v>1</v>
      </c>
      <c r="K30" s="165">
        <f>Data!CK31</f>
        <v>2</v>
      </c>
      <c r="L30" s="165">
        <f>Data!CL31</f>
        <v>4</v>
      </c>
      <c r="M30" s="165">
        <f>Data!CM31</f>
        <v>11</v>
      </c>
      <c r="N30" s="165">
        <f>Data!CN31</f>
        <v>16</v>
      </c>
      <c r="O30" s="165">
        <f>Data!CO31</f>
        <v>27</v>
      </c>
      <c r="P30" s="165">
        <f>Data!CP31</f>
        <v>33</v>
      </c>
      <c r="Q30" s="165">
        <f>Data!CQ31</f>
        <v>33</v>
      </c>
      <c r="R30" s="165">
        <f>Data!CR31</f>
        <v>43</v>
      </c>
      <c r="S30" s="165">
        <f>Data!CS31</f>
        <v>38</v>
      </c>
      <c r="T30" s="165">
        <f>Data!CT31</f>
        <v>37</v>
      </c>
      <c r="U30" s="165">
        <f>Data!CU31</f>
        <v>19</v>
      </c>
      <c r="V30" s="165">
        <f t="shared" si="0"/>
        <v>266</v>
      </c>
      <c r="W30" s="66"/>
    </row>
    <row r="31" spans="1:23" ht="12" customHeight="1">
      <c r="A31" s="64"/>
      <c r="B31" s="141" t="str">
        <f>UPPER(LEFT(TRIM(Data!B32),1)) &amp; MID(TRIM(Data!B32),2,50)</f>
        <v>Šlapimo pūslės</v>
      </c>
      <c r="C31" s="170" t="str">
        <f>Data!C32</f>
        <v>C67</v>
      </c>
      <c r="D31" s="171">
        <f>Data!CD32</f>
        <v>0</v>
      </c>
      <c r="E31" s="171">
        <f>Data!CE32</f>
        <v>0</v>
      </c>
      <c r="F31" s="171">
        <f>Data!CF32</f>
        <v>0</v>
      </c>
      <c r="G31" s="171">
        <f>Data!CG32</f>
        <v>0</v>
      </c>
      <c r="H31" s="171">
        <f>Data!CH32</f>
        <v>0</v>
      </c>
      <c r="I31" s="171">
        <f>Data!CI32</f>
        <v>0</v>
      </c>
      <c r="J31" s="171">
        <f>Data!CJ32</f>
        <v>0</v>
      </c>
      <c r="K31" s="171">
        <f>Data!CK32</f>
        <v>1</v>
      </c>
      <c r="L31" s="171">
        <f>Data!CL32</f>
        <v>0</v>
      </c>
      <c r="M31" s="171">
        <f>Data!CM32</f>
        <v>0</v>
      </c>
      <c r="N31" s="171">
        <f>Data!CN32</f>
        <v>3</v>
      </c>
      <c r="O31" s="171">
        <f>Data!CO32</f>
        <v>1</v>
      </c>
      <c r="P31" s="171">
        <f>Data!CP32</f>
        <v>2</v>
      </c>
      <c r="Q31" s="171">
        <f>Data!CQ32</f>
        <v>8</v>
      </c>
      <c r="R31" s="171">
        <f>Data!CR32</f>
        <v>9</v>
      </c>
      <c r="S31" s="171">
        <f>Data!CS32</f>
        <v>22</v>
      </c>
      <c r="T31" s="171">
        <f>Data!CT32</f>
        <v>12</v>
      </c>
      <c r="U31" s="171">
        <f>Data!CU32</f>
        <v>9</v>
      </c>
      <c r="V31" s="171">
        <f t="shared" si="0"/>
        <v>67</v>
      </c>
      <c r="W31" s="66"/>
    </row>
    <row r="32" spans="1:23" ht="12" customHeight="1">
      <c r="A32" s="64"/>
      <c r="B32" s="146" t="str">
        <f>UPPER(LEFT(TRIM(Data!B33),1)) &amp; MID(TRIM(Data!B33),2,50)</f>
        <v>Kitų šlapimą išskiriančių organų</v>
      </c>
      <c r="C32" s="146" t="str">
        <f>Data!C33</f>
        <v>C65, C66, C68</v>
      </c>
      <c r="D32" s="165">
        <f>Data!CD33</f>
        <v>0</v>
      </c>
      <c r="E32" s="165">
        <f>Data!CE33</f>
        <v>0</v>
      </c>
      <c r="F32" s="165">
        <f>Data!CF33</f>
        <v>0</v>
      </c>
      <c r="G32" s="165">
        <f>Data!CG33</f>
        <v>0</v>
      </c>
      <c r="H32" s="165">
        <f>Data!CH33</f>
        <v>0</v>
      </c>
      <c r="I32" s="165">
        <f>Data!CI33</f>
        <v>0</v>
      </c>
      <c r="J32" s="165">
        <f>Data!CJ33</f>
        <v>0</v>
      </c>
      <c r="K32" s="165">
        <f>Data!CK33</f>
        <v>0</v>
      </c>
      <c r="L32" s="165">
        <f>Data!CL33</f>
        <v>0</v>
      </c>
      <c r="M32" s="165">
        <f>Data!CM33</f>
        <v>0</v>
      </c>
      <c r="N32" s="165">
        <f>Data!CN33</f>
        <v>1</v>
      </c>
      <c r="O32" s="165">
        <f>Data!CO33</f>
        <v>3</v>
      </c>
      <c r="P32" s="165">
        <f>Data!CP33</f>
        <v>2</v>
      </c>
      <c r="Q32" s="165">
        <f>Data!CQ33</f>
        <v>1</v>
      </c>
      <c r="R32" s="165">
        <f>Data!CR33</f>
        <v>1</v>
      </c>
      <c r="S32" s="165">
        <f>Data!CS33</f>
        <v>11</v>
      </c>
      <c r="T32" s="165">
        <f>Data!CT33</f>
        <v>3</v>
      </c>
      <c r="U32" s="165">
        <f>Data!CU33</f>
        <v>3</v>
      </c>
      <c r="V32" s="165">
        <f t="shared" si="0"/>
        <v>25</v>
      </c>
      <c r="W32" s="66"/>
    </row>
    <row r="33" spans="1:23" ht="12" customHeight="1">
      <c r="A33" s="64"/>
      <c r="B33" s="141" t="str">
        <f>UPPER(LEFT(TRIM(Data!B34),1)) &amp; MID(TRIM(Data!B34),2,50)</f>
        <v>Akių</v>
      </c>
      <c r="C33" s="170" t="str">
        <f>Data!C34</f>
        <v>C69</v>
      </c>
      <c r="D33" s="171">
        <f>Data!CD34</f>
        <v>0</v>
      </c>
      <c r="E33" s="171">
        <f>Data!CE34</f>
        <v>0</v>
      </c>
      <c r="F33" s="171">
        <f>Data!CF34</f>
        <v>0</v>
      </c>
      <c r="G33" s="171">
        <f>Data!CG34</f>
        <v>0</v>
      </c>
      <c r="H33" s="171">
        <f>Data!CH34</f>
        <v>0</v>
      </c>
      <c r="I33" s="171">
        <f>Data!CI34</f>
        <v>0</v>
      </c>
      <c r="J33" s="171">
        <f>Data!CJ34</f>
        <v>0</v>
      </c>
      <c r="K33" s="171">
        <f>Data!CK34</f>
        <v>2</v>
      </c>
      <c r="L33" s="171">
        <f>Data!CL34</f>
        <v>0</v>
      </c>
      <c r="M33" s="171">
        <f>Data!CM34</f>
        <v>1</v>
      </c>
      <c r="N33" s="171">
        <f>Data!CN34</f>
        <v>4</v>
      </c>
      <c r="O33" s="171">
        <f>Data!CO34</f>
        <v>1</v>
      </c>
      <c r="P33" s="171">
        <f>Data!CP34</f>
        <v>2</v>
      </c>
      <c r="Q33" s="171">
        <f>Data!CQ34</f>
        <v>4</v>
      </c>
      <c r="R33" s="171">
        <f>Data!CR34</f>
        <v>5</v>
      </c>
      <c r="S33" s="171">
        <f>Data!CS34</f>
        <v>0</v>
      </c>
      <c r="T33" s="171">
        <f>Data!CT34</f>
        <v>2</v>
      </c>
      <c r="U33" s="171">
        <f>Data!CU34</f>
        <v>1</v>
      </c>
      <c r="V33" s="171">
        <f t="shared" si="0"/>
        <v>22</v>
      </c>
      <c r="W33" s="66"/>
    </row>
    <row r="34" spans="1:23" ht="12" customHeight="1">
      <c r="A34" s="64"/>
      <c r="B34" s="146" t="str">
        <f>UPPER(LEFT(TRIM(Data!B35),1)) &amp; MID(TRIM(Data!B35),2,50)</f>
        <v>Smegenų</v>
      </c>
      <c r="C34" s="146" t="str">
        <f>Data!C35</f>
        <v>C70-C72</v>
      </c>
      <c r="D34" s="165">
        <f>Data!CD35</f>
        <v>0</v>
      </c>
      <c r="E34" s="165">
        <f>Data!CE35</f>
        <v>0</v>
      </c>
      <c r="F34" s="165">
        <f>Data!CF35</f>
        <v>5</v>
      </c>
      <c r="G34" s="165">
        <f>Data!CG35</f>
        <v>4</v>
      </c>
      <c r="H34" s="165">
        <f>Data!CH35</f>
        <v>3</v>
      </c>
      <c r="I34" s="165">
        <f>Data!CI35</f>
        <v>2</v>
      </c>
      <c r="J34" s="165">
        <f>Data!CJ35</f>
        <v>2</v>
      </c>
      <c r="K34" s="165">
        <f>Data!CK35</f>
        <v>1</v>
      </c>
      <c r="L34" s="165">
        <f>Data!CL35</f>
        <v>1</v>
      </c>
      <c r="M34" s="165">
        <f>Data!CM35</f>
        <v>7</v>
      </c>
      <c r="N34" s="165">
        <f>Data!CN35</f>
        <v>10</v>
      </c>
      <c r="O34" s="165">
        <f>Data!CO35</f>
        <v>17</v>
      </c>
      <c r="P34" s="165">
        <f>Data!CP35</f>
        <v>12</v>
      </c>
      <c r="Q34" s="165">
        <f>Data!CQ35</f>
        <v>16</v>
      </c>
      <c r="R34" s="165">
        <f>Data!CR35</f>
        <v>20</v>
      </c>
      <c r="S34" s="165">
        <f>Data!CS35</f>
        <v>14</v>
      </c>
      <c r="T34" s="165">
        <f>Data!CT35</f>
        <v>11</v>
      </c>
      <c r="U34" s="165">
        <f>Data!CU35</f>
        <v>10</v>
      </c>
      <c r="V34" s="165">
        <f t="shared" si="0"/>
        <v>135</v>
      </c>
      <c r="W34" s="66"/>
    </row>
    <row r="35" spans="1:23" ht="12" customHeight="1">
      <c r="A35" s="64"/>
      <c r="B35" s="141" t="str">
        <f>UPPER(LEFT(TRIM(Data!B36),1)) &amp; MID(TRIM(Data!B36),2,50)</f>
        <v>Skydliaukės</v>
      </c>
      <c r="C35" s="170" t="str">
        <f>Data!C36</f>
        <v>C73</v>
      </c>
      <c r="D35" s="171">
        <f>Data!CD36</f>
        <v>0</v>
      </c>
      <c r="E35" s="171">
        <f>Data!CE36</f>
        <v>0</v>
      </c>
      <c r="F35" s="171">
        <f>Data!CF36</f>
        <v>0</v>
      </c>
      <c r="G35" s="171">
        <f>Data!CG36</f>
        <v>6</v>
      </c>
      <c r="H35" s="171">
        <f>Data!CH36</f>
        <v>5</v>
      </c>
      <c r="I35" s="171">
        <f>Data!CI36</f>
        <v>12</v>
      </c>
      <c r="J35" s="171">
        <f>Data!CJ36</f>
        <v>19</v>
      </c>
      <c r="K35" s="171">
        <f>Data!CK36</f>
        <v>14</v>
      </c>
      <c r="L35" s="171">
        <f>Data!CL36</f>
        <v>21</v>
      </c>
      <c r="M35" s="171">
        <f>Data!CM36</f>
        <v>34</v>
      </c>
      <c r="N35" s="171">
        <f>Data!CN36</f>
        <v>31</v>
      </c>
      <c r="O35" s="171">
        <f>Data!CO36</f>
        <v>42</v>
      </c>
      <c r="P35" s="171">
        <f>Data!CP36</f>
        <v>37</v>
      </c>
      <c r="Q35" s="171">
        <f>Data!CQ36</f>
        <v>23</v>
      </c>
      <c r="R35" s="171">
        <f>Data!CR36</f>
        <v>17</v>
      </c>
      <c r="S35" s="171">
        <f>Data!CS36</f>
        <v>20</v>
      </c>
      <c r="T35" s="171">
        <f>Data!CT36</f>
        <v>11</v>
      </c>
      <c r="U35" s="171">
        <f>Data!CU36</f>
        <v>2</v>
      </c>
      <c r="V35" s="171">
        <f t="shared" si="0"/>
        <v>294</v>
      </c>
      <c r="W35" s="66"/>
    </row>
    <row r="36" spans="1:23" ht="12" customHeight="1">
      <c r="A36" s="64"/>
      <c r="B36" s="146" t="str">
        <f>UPPER(LEFT(TRIM(Data!B37),1)) &amp; MID(TRIM(Data!B37),2,50)</f>
        <v>Kitų endokrininių liaukų</v>
      </c>
      <c r="C36" s="146" t="str">
        <f>Data!C37</f>
        <v>C74-C75</v>
      </c>
      <c r="D36" s="165">
        <f>Data!CD37</f>
        <v>0</v>
      </c>
      <c r="E36" s="165">
        <f>Data!CE37</f>
        <v>0</v>
      </c>
      <c r="F36" s="165">
        <f>Data!CF37</f>
        <v>0</v>
      </c>
      <c r="G36" s="165">
        <f>Data!CG37</f>
        <v>0</v>
      </c>
      <c r="H36" s="165">
        <f>Data!CH37</f>
        <v>0</v>
      </c>
      <c r="I36" s="165">
        <f>Data!CI37</f>
        <v>1</v>
      </c>
      <c r="J36" s="165">
        <f>Data!CJ37</f>
        <v>0</v>
      </c>
      <c r="K36" s="165">
        <f>Data!CK37</f>
        <v>0</v>
      </c>
      <c r="L36" s="165">
        <f>Data!CL37</f>
        <v>0</v>
      </c>
      <c r="M36" s="165">
        <f>Data!CM37</f>
        <v>1</v>
      </c>
      <c r="N36" s="165">
        <f>Data!CN37</f>
        <v>1</v>
      </c>
      <c r="O36" s="165">
        <f>Data!CO37</f>
        <v>0</v>
      </c>
      <c r="P36" s="165">
        <f>Data!CP37</f>
        <v>2</v>
      </c>
      <c r="Q36" s="165">
        <f>Data!CQ37</f>
        <v>0</v>
      </c>
      <c r="R36" s="165">
        <f>Data!CR37</f>
        <v>0</v>
      </c>
      <c r="S36" s="165">
        <f>Data!CS37</f>
        <v>2</v>
      </c>
      <c r="T36" s="165">
        <f>Data!CT37</f>
        <v>1</v>
      </c>
      <c r="U36" s="165">
        <f>Data!CU37</f>
        <v>1</v>
      </c>
      <c r="V36" s="165">
        <f t="shared" si="0"/>
        <v>9</v>
      </c>
      <c r="W36" s="66"/>
    </row>
    <row r="37" spans="1:23" ht="12" customHeight="1">
      <c r="A37" s="64"/>
      <c r="B37" s="141" t="str">
        <f>UPPER(LEFT(TRIM(Data!B38),1)) &amp; MID(TRIM(Data!B38),2,50)</f>
        <v>Nepatikslintos lokalizacijos</v>
      </c>
      <c r="C37" s="170" t="str">
        <f>Data!C38</f>
        <v>C76-C80</v>
      </c>
      <c r="D37" s="171">
        <f>Data!CD38</f>
        <v>0</v>
      </c>
      <c r="E37" s="171">
        <f>Data!CE38</f>
        <v>0</v>
      </c>
      <c r="F37" s="171">
        <f>Data!CF38</f>
        <v>0</v>
      </c>
      <c r="G37" s="171">
        <f>Data!CG38</f>
        <v>0</v>
      </c>
      <c r="H37" s="171">
        <f>Data!CH38</f>
        <v>0</v>
      </c>
      <c r="I37" s="171">
        <f>Data!CI38</f>
        <v>0</v>
      </c>
      <c r="J37" s="171">
        <f>Data!CJ38</f>
        <v>0</v>
      </c>
      <c r="K37" s="171">
        <f>Data!CK38</f>
        <v>0</v>
      </c>
      <c r="L37" s="171">
        <f>Data!CL38</f>
        <v>1</v>
      </c>
      <c r="M37" s="171">
        <f>Data!CM38</f>
        <v>7</v>
      </c>
      <c r="N37" s="171">
        <f>Data!CN38</f>
        <v>5</v>
      </c>
      <c r="O37" s="171">
        <f>Data!CO38</f>
        <v>8</v>
      </c>
      <c r="P37" s="171">
        <f>Data!CP38</f>
        <v>4</v>
      </c>
      <c r="Q37" s="171">
        <f>Data!CQ38</f>
        <v>11</v>
      </c>
      <c r="R37" s="171">
        <f>Data!CR38</f>
        <v>24</v>
      </c>
      <c r="S37" s="171">
        <f>Data!CS38</f>
        <v>28</v>
      </c>
      <c r="T37" s="171">
        <f>Data!CT38</f>
        <v>36</v>
      </c>
      <c r="U37" s="171">
        <f>Data!CU38</f>
        <v>42</v>
      </c>
      <c r="V37" s="171">
        <f t="shared" si="0"/>
        <v>166</v>
      </c>
      <c r="W37" s="66"/>
    </row>
    <row r="38" spans="1:23" ht="12" customHeight="1">
      <c r="A38" s="64"/>
      <c r="B38" s="146" t="str">
        <f>UPPER(LEFT(TRIM(Data!B39),1)) &amp; MID(TRIM(Data!B39),2,50)</f>
        <v>Hodžkino limfomos</v>
      </c>
      <c r="C38" s="146" t="str">
        <f>Data!C39</f>
        <v>C81</v>
      </c>
      <c r="D38" s="165">
        <f>Data!CD39</f>
        <v>0</v>
      </c>
      <c r="E38" s="165">
        <f>Data!CE39</f>
        <v>0</v>
      </c>
      <c r="F38" s="165">
        <f>Data!CF39</f>
        <v>0</v>
      </c>
      <c r="G38" s="165">
        <f>Data!CG39</f>
        <v>3</v>
      </c>
      <c r="H38" s="165">
        <f>Data!CH39</f>
        <v>5</v>
      </c>
      <c r="I38" s="165">
        <f>Data!CI39</f>
        <v>7</v>
      </c>
      <c r="J38" s="165">
        <f>Data!CJ39</f>
        <v>2</v>
      </c>
      <c r="K38" s="165">
        <f>Data!CK39</f>
        <v>2</v>
      </c>
      <c r="L38" s="165">
        <f>Data!CL39</f>
        <v>3</v>
      </c>
      <c r="M38" s="165">
        <f>Data!CM39</f>
        <v>0</v>
      </c>
      <c r="N38" s="165">
        <f>Data!CN39</f>
        <v>1</v>
      </c>
      <c r="O38" s="165">
        <f>Data!CO39</f>
        <v>0</v>
      </c>
      <c r="P38" s="165">
        <f>Data!CP39</f>
        <v>0</v>
      </c>
      <c r="Q38" s="165">
        <f>Data!CQ39</f>
        <v>0</v>
      </c>
      <c r="R38" s="165">
        <f>Data!CR39</f>
        <v>2</v>
      </c>
      <c r="S38" s="165">
        <f>Data!CS39</f>
        <v>0</v>
      </c>
      <c r="T38" s="165">
        <f>Data!CT39</f>
        <v>0</v>
      </c>
      <c r="U38" s="165">
        <f>Data!CU39</f>
        <v>0</v>
      </c>
      <c r="V38" s="165">
        <f t="shared" si="0"/>
        <v>25</v>
      </c>
      <c r="W38" s="66"/>
    </row>
    <row r="39" spans="1:23" ht="12" customHeight="1">
      <c r="A39" s="64"/>
      <c r="B39" s="141" t="str">
        <f>UPPER(LEFT(TRIM(Data!B40),1)) &amp; MID(TRIM(Data!B40),2,50)</f>
        <v>Ne Hodžkino limfomos</v>
      </c>
      <c r="C39" s="170" t="str">
        <f>Data!C40</f>
        <v>C82-C85</v>
      </c>
      <c r="D39" s="171">
        <f>Data!CD40</f>
        <v>0</v>
      </c>
      <c r="E39" s="171">
        <f>Data!CE40</f>
        <v>0</v>
      </c>
      <c r="F39" s="171">
        <f>Data!CF40</f>
        <v>0</v>
      </c>
      <c r="G39" s="171">
        <f>Data!CG40</f>
        <v>1</v>
      </c>
      <c r="H39" s="171">
        <f>Data!CH40</f>
        <v>1</v>
      </c>
      <c r="I39" s="171">
        <f>Data!CI40</f>
        <v>2</v>
      </c>
      <c r="J39" s="171">
        <f>Data!CJ40</f>
        <v>6</v>
      </c>
      <c r="K39" s="171">
        <f>Data!CK40</f>
        <v>1</v>
      </c>
      <c r="L39" s="171">
        <f>Data!CL40</f>
        <v>2</v>
      </c>
      <c r="M39" s="171">
        <f>Data!CM40</f>
        <v>3</v>
      </c>
      <c r="N39" s="171">
        <f>Data!CN40</f>
        <v>9</v>
      </c>
      <c r="O39" s="171">
        <f>Data!CO40</f>
        <v>14</v>
      </c>
      <c r="P39" s="171">
        <f>Data!CP40</f>
        <v>19</v>
      </c>
      <c r="Q39" s="171">
        <f>Data!CQ40</f>
        <v>24</v>
      </c>
      <c r="R39" s="171">
        <f>Data!CR40</f>
        <v>23</v>
      </c>
      <c r="S39" s="171">
        <f>Data!CS40</f>
        <v>28</v>
      </c>
      <c r="T39" s="171">
        <f>Data!CT40</f>
        <v>22</v>
      </c>
      <c r="U39" s="171">
        <f>Data!CU40</f>
        <v>15</v>
      </c>
      <c r="V39" s="171">
        <f t="shared" si="0"/>
        <v>170</v>
      </c>
      <c r="W39" s="66"/>
    </row>
    <row r="40" spans="1:23" ht="12" customHeight="1">
      <c r="A40" s="64"/>
      <c r="B40" s="146" t="str">
        <f>UPPER(LEFT(TRIM(Data!B41),1)) &amp; MID(TRIM(Data!B41),2,50)</f>
        <v>Mielominės ligos</v>
      </c>
      <c r="C40" s="146" t="str">
        <f>Data!C41</f>
        <v>C90</v>
      </c>
      <c r="D40" s="165">
        <f>Data!CD41</f>
        <v>0</v>
      </c>
      <c r="E40" s="165">
        <f>Data!CE41</f>
        <v>0</v>
      </c>
      <c r="F40" s="165">
        <f>Data!CF41</f>
        <v>0</v>
      </c>
      <c r="G40" s="165">
        <f>Data!CG41</f>
        <v>0</v>
      </c>
      <c r="H40" s="165">
        <f>Data!CH41</f>
        <v>0</v>
      </c>
      <c r="I40" s="165">
        <f>Data!CI41</f>
        <v>1</v>
      </c>
      <c r="J40" s="165">
        <f>Data!CJ41</f>
        <v>0</v>
      </c>
      <c r="K40" s="165">
        <f>Data!CK41</f>
        <v>1</v>
      </c>
      <c r="L40" s="165">
        <f>Data!CL41</f>
        <v>2</v>
      </c>
      <c r="M40" s="165">
        <f>Data!CM41</f>
        <v>3</v>
      </c>
      <c r="N40" s="165">
        <f>Data!CN41</f>
        <v>8</v>
      </c>
      <c r="O40" s="165">
        <f>Data!CO41</f>
        <v>9</v>
      </c>
      <c r="P40" s="165">
        <f>Data!CP41</f>
        <v>8</v>
      </c>
      <c r="Q40" s="165">
        <f>Data!CQ41</f>
        <v>11</v>
      </c>
      <c r="R40" s="165">
        <f>Data!CR41</f>
        <v>17</v>
      </c>
      <c r="S40" s="165">
        <f>Data!CS41</f>
        <v>9</v>
      </c>
      <c r="T40" s="165">
        <f>Data!CT41</f>
        <v>8</v>
      </c>
      <c r="U40" s="165">
        <f>Data!CU41</f>
        <v>3</v>
      </c>
      <c r="V40" s="165">
        <f t="shared" si="0"/>
        <v>80</v>
      </c>
      <c r="W40" s="66"/>
    </row>
    <row r="41" spans="1:23" ht="12" customHeight="1">
      <c r="A41" s="64"/>
      <c r="B41" s="141" t="str">
        <f>UPPER(LEFT(TRIM(Data!B42),1)) &amp; MID(TRIM(Data!B42),2,50)</f>
        <v>Leukemijos</v>
      </c>
      <c r="C41" s="170" t="str">
        <f>Data!C42</f>
        <v>C91-C95</v>
      </c>
      <c r="D41" s="171">
        <f>Data!CD42</f>
        <v>8</v>
      </c>
      <c r="E41" s="171">
        <f>Data!CE42</f>
        <v>1</v>
      </c>
      <c r="F41" s="171">
        <f>Data!CF42</f>
        <v>2</v>
      </c>
      <c r="G41" s="171">
        <f>Data!CG42</f>
        <v>2</v>
      </c>
      <c r="H41" s="171">
        <f>Data!CH42</f>
        <v>3</v>
      </c>
      <c r="I41" s="171">
        <f>Data!CI42</f>
        <v>3</v>
      </c>
      <c r="J41" s="171">
        <f>Data!CJ42</f>
        <v>1</v>
      </c>
      <c r="K41" s="171">
        <f>Data!CK42</f>
        <v>1</v>
      </c>
      <c r="L41" s="171">
        <f>Data!CL42</f>
        <v>8</v>
      </c>
      <c r="M41" s="171">
        <f>Data!CM42</f>
        <v>5</v>
      </c>
      <c r="N41" s="171">
        <f>Data!CN42</f>
        <v>18</v>
      </c>
      <c r="O41" s="171">
        <f>Data!CO42</f>
        <v>20</v>
      </c>
      <c r="P41" s="171">
        <f>Data!CP42</f>
        <v>20</v>
      </c>
      <c r="Q41" s="171">
        <f>Data!CQ42</f>
        <v>22</v>
      </c>
      <c r="R41" s="171">
        <f>Data!CR42</f>
        <v>29</v>
      </c>
      <c r="S41" s="171">
        <f>Data!CS42</f>
        <v>42</v>
      </c>
      <c r="T41" s="171">
        <f>Data!CT42</f>
        <v>29</v>
      </c>
      <c r="U41" s="171">
        <f>Data!CU42</f>
        <v>35</v>
      </c>
      <c r="V41" s="171">
        <f t="shared" si="0"/>
        <v>249</v>
      </c>
      <c r="W41" s="66"/>
    </row>
    <row r="42" spans="1:23" ht="12" customHeight="1">
      <c r="A42" s="64"/>
      <c r="B42" s="146" t="str">
        <f>UPPER(LEFT(TRIM(Data!B43),1)) &amp; MID(TRIM(Data!B43),2,50)</f>
        <v>Kiti limfinio, kraujodaros audinių</v>
      </c>
      <c r="C42" s="146" t="str">
        <f>Data!C43</f>
        <v>C88, C96</v>
      </c>
      <c r="D42" s="165">
        <f>Data!CD43</f>
        <v>0</v>
      </c>
      <c r="E42" s="165">
        <f>Data!CE43</f>
        <v>0</v>
      </c>
      <c r="F42" s="165">
        <f>Data!CF43</f>
        <v>1</v>
      </c>
      <c r="G42" s="165">
        <f>Data!CG43</f>
        <v>0</v>
      </c>
      <c r="H42" s="165">
        <f>Data!CH43</f>
        <v>0</v>
      </c>
      <c r="I42" s="165">
        <f>Data!CI43</f>
        <v>0</v>
      </c>
      <c r="J42" s="165">
        <f>Data!CJ43</f>
        <v>0</v>
      </c>
      <c r="K42" s="165">
        <f>Data!CK43</f>
        <v>0</v>
      </c>
      <c r="L42" s="165">
        <f>Data!CL43</f>
        <v>0</v>
      </c>
      <c r="M42" s="165">
        <f>Data!CM43</f>
        <v>0</v>
      </c>
      <c r="N42" s="165">
        <f>Data!CN43</f>
        <v>2</v>
      </c>
      <c r="O42" s="165">
        <f>Data!CO43</f>
        <v>0</v>
      </c>
      <c r="P42" s="165">
        <f>Data!CP43</f>
        <v>0</v>
      </c>
      <c r="Q42" s="165">
        <f>Data!CQ43</f>
        <v>0</v>
      </c>
      <c r="R42" s="165">
        <f>Data!CR43</f>
        <v>3</v>
      </c>
      <c r="S42" s="165">
        <f>Data!CS43</f>
        <v>0</v>
      </c>
      <c r="T42" s="165">
        <f>Data!CT43</f>
        <v>0</v>
      </c>
      <c r="U42" s="165">
        <f>Data!CU43</f>
        <v>0</v>
      </c>
      <c r="V42" s="165">
        <f t="shared" si="0"/>
        <v>6</v>
      </c>
      <c r="W42" s="66"/>
    </row>
    <row r="43" spans="1:23" ht="24" customHeight="1">
      <c r="A43" s="64"/>
      <c r="B43" s="145"/>
      <c r="C43" s="172"/>
      <c r="D43" s="168"/>
      <c r="E43" s="168"/>
      <c r="F43" s="168"/>
      <c r="G43" s="168"/>
      <c r="H43" s="168"/>
      <c r="I43" s="168"/>
      <c r="J43" s="168"/>
      <c r="K43" s="168"/>
      <c r="L43" s="168"/>
      <c r="M43" s="168"/>
      <c r="N43" s="168"/>
      <c r="O43" s="168"/>
      <c r="P43" s="168"/>
      <c r="Q43" s="168"/>
      <c r="R43" s="168"/>
      <c r="S43" s="168"/>
      <c r="T43" s="168"/>
      <c r="U43" s="168"/>
      <c r="V43" s="168"/>
      <c r="W43" s="66"/>
    </row>
    <row r="44" spans="1:23" ht="12" customHeight="1">
      <c r="A44" s="64"/>
      <c r="B44" s="146" t="str">
        <f>UPPER(LEFT(TRIM(Data!B44),1)) &amp; MID(TRIM(Data!B44),2,50)</f>
        <v>Melanoma in situ</v>
      </c>
      <c r="C44" s="146" t="str">
        <f>Data!C44</f>
        <v>D03</v>
      </c>
      <c r="D44" s="165">
        <f>Data!CD44</f>
        <v>0</v>
      </c>
      <c r="E44" s="165">
        <f>Data!CE44</f>
        <v>0</v>
      </c>
      <c r="F44" s="165">
        <f>Data!CF44</f>
        <v>0</v>
      </c>
      <c r="G44" s="165">
        <f>Data!CG44</f>
        <v>0</v>
      </c>
      <c r="H44" s="165">
        <f>Data!CH44</f>
        <v>0</v>
      </c>
      <c r="I44" s="165">
        <f>Data!CI44</f>
        <v>0</v>
      </c>
      <c r="J44" s="165">
        <f>Data!CJ44</f>
        <v>0</v>
      </c>
      <c r="K44" s="165">
        <f>Data!CK44</f>
        <v>0</v>
      </c>
      <c r="L44" s="165">
        <f>Data!CL44</f>
        <v>1</v>
      </c>
      <c r="M44" s="165">
        <f>Data!CM44</f>
        <v>0</v>
      </c>
      <c r="N44" s="165">
        <f>Data!CN44</f>
        <v>0</v>
      </c>
      <c r="O44" s="165">
        <f>Data!CO44</f>
        <v>4</v>
      </c>
      <c r="P44" s="165">
        <f>Data!CP44</f>
        <v>2</v>
      </c>
      <c r="Q44" s="165">
        <f>Data!CQ44</f>
        <v>2</v>
      </c>
      <c r="R44" s="165">
        <f>Data!CR44</f>
        <v>4</v>
      </c>
      <c r="S44" s="165">
        <f>Data!CS44</f>
        <v>4</v>
      </c>
      <c r="T44" s="165">
        <f>Data!CT44</f>
        <v>2</v>
      </c>
      <c r="U44" s="165">
        <f>Data!CU44</f>
        <v>2</v>
      </c>
      <c r="V44" s="165">
        <f t="shared" si="0"/>
        <v>21</v>
      </c>
      <c r="W44" s="66"/>
    </row>
    <row r="45" spans="1:23" ht="12" customHeight="1">
      <c r="A45" s="64"/>
      <c r="B45" s="141" t="str">
        <f>UPPER(LEFT(TRIM(Data!B45),1)) &amp; MID(TRIM(Data!B45),2,50)</f>
        <v>Krūties navikai in situ</v>
      </c>
      <c r="C45" s="170" t="str">
        <f>Data!C45</f>
        <v>D05</v>
      </c>
      <c r="D45" s="171">
        <f>Data!CD45</f>
        <v>0</v>
      </c>
      <c r="E45" s="171">
        <f>Data!CE45</f>
        <v>0</v>
      </c>
      <c r="F45" s="171">
        <f>Data!CF45</f>
        <v>0</v>
      </c>
      <c r="G45" s="171">
        <f>Data!CG45</f>
        <v>0</v>
      </c>
      <c r="H45" s="171">
        <f>Data!CH45</f>
        <v>1</v>
      </c>
      <c r="I45" s="171">
        <f>Data!CI45</f>
        <v>2</v>
      </c>
      <c r="J45" s="171">
        <f>Data!CJ45</f>
        <v>1</v>
      </c>
      <c r="K45" s="171">
        <f>Data!CK45</f>
        <v>5</v>
      </c>
      <c r="L45" s="171">
        <f>Data!CL45</f>
        <v>4</v>
      </c>
      <c r="M45" s="171">
        <f>Data!CM45</f>
        <v>9</v>
      </c>
      <c r="N45" s="171">
        <f>Data!CN45</f>
        <v>19</v>
      </c>
      <c r="O45" s="171">
        <f>Data!CO45</f>
        <v>14</v>
      </c>
      <c r="P45" s="171">
        <f>Data!CP45</f>
        <v>18</v>
      </c>
      <c r="Q45" s="171">
        <f>Data!CQ45</f>
        <v>10</v>
      </c>
      <c r="R45" s="171">
        <f>Data!CR45</f>
        <v>8</v>
      </c>
      <c r="S45" s="171">
        <f>Data!CS45</f>
        <v>4</v>
      </c>
      <c r="T45" s="171">
        <f>Data!CT45</f>
        <v>0</v>
      </c>
      <c r="U45" s="171">
        <f>Data!CU45</f>
        <v>1</v>
      </c>
      <c r="V45" s="171">
        <f t="shared" si="0"/>
        <v>96</v>
      </c>
      <c r="W45" s="66"/>
    </row>
    <row r="46" spans="1:23" ht="12" customHeight="1">
      <c r="A46" s="64"/>
      <c r="B46" s="146" t="str">
        <f>UPPER(LEFT(TRIM(Data!B46),1)) &amp; MID(TRIM(Data!B46),2,50)</f>
        <v>Gimdos kaklelio in situ</v>
      </c>
      <c r="C46" s="146" t="str">
        <f>Data!C46</f>
        <v>D06</v>
      </c>
      <c r="D46" s="165">
        <f>Data!CD46</f>
        <v>0</v>
      </c>
      <c r="E46" s="165">
        <f>Data!CE46</f>
        <v>0</v>
      </c>
      <c r="F46" s="165">
        <f>Data!CF46</f>
        <v>0</v>
      </c>
      <c r="G46" s="165">
        <f>Data!CG46</f>
        <v>0</v>
      </c>
      <c r="H46" s="165">
        <f>Data!CH46</f>
        <v>13</v>
      </c>
      <c r="I46" s="165">
        <f>Data!CI46</f>
        <v>101</v>
      </c>
      <c r="J46" s="165">
        <f>Data!CJ46</f>
        <v>155</v>
      </c>
      <c r="K46" s="165">
        <f>Data!CK46</f>
        <v>99</v>
      </c>
      <c r="L46" s="165">
        <f>Data!CL46</f>
        <v>87</v>
      </c>
      <c r="M46" s="165">
        <f>Data!CM46</f>
        <v>59</v>
      </c>
      <c r="N46" s="165">
        <f>Data!CN46</f>
        <v>28</v>
      </c>
      <c r="O46" s="165">
        <f>Data!CO46</f>
        <v>26</v>
      </c>
      <c r="P46" s="165">
        <f>Data!CP46</f>
        <v>12</v>
      </c>
      <c r="Q46" s="165">
        <f>Data!CQ46</f>
        <v>2</v>
      </c>
      <c r="R46" s="165">
        <f>Data!CR46</f>
        <v>2</v>
      </c>
      <c r="S46" s="165">
        <f>Data!CS46</f>
        <v>3</v>
      </c>
      <c r="T46" s="165">
        <f>Data!CT46</f>
        <v>1</v>
      </c>
      <c r="U46" s="165">
        <f>Data!CU46</f>
        <v>0</v>
      </c>
      <c r="V46" s="165">
        <f t="shared" si="0"/>
        <v>588</v>
      </c>
      <c r="W46" s="66"/>
    </row>
    <row r="47" spans="1:23" ht="12" customHeight="1">
      <c r="A47" s="64"/>
      <c r="B47" s="141" t="str">
        <f>UPPER(LEFT(TRIM(Data!B47),1)) &amp; MID(TRIM(Data!B47),2,50)</f>
        <v>Šlapimo pūslės in situ</v>
      </c>
      <c r="C47" s="170" t="str">
        <f>Data!C47</f>
        <v>D09.0</v>
      </c>
      <c r="D47" s="171">
        <f>Data!CD47</f>
        <v>0</v>
      </c>
      <c r="E47" s="171">
        <f>Data!CE47</f>
        <v>0</v>
      </c>
      <c r="F47" s="171">
        <f>Data!CF47</f>
        <v>0</v>
      </c>
      <c r="G47" s="171">
        <f>Data!CG47</f>
        <v>0</v>
      </c>
      <c r="H47" s="171">
        <f>Data!CH47</f>
        <v>0</v>
      </c>
      <c r="I47" s="171">
        <f>Data!CI47</f>
        <v>0</v>
      </c>
      <c r="J47" s="171">
        <f>Data!CJ47</f>
        <v>0</v>
      </c>
      <c r="K47" s="171">
        <f>Data!CK47</f>
        <v>0</v>
      </c>
      <c r="L47" s="171">
        <f>Data!CL47</f>
        <v>0</v>
      </c>
      <c r="M47" s="171">
        <f>Data!CM47</f>
        <v>1</v>
      </c>
      <c r="N47" s="171">
        <f>Data!CN47</f>
        <v>1</v>
      </c>
      <c r="O47" s="171">
        <f>Data!CO47</f>
        <v>2</v>
      </c>
      <c r="P47" s="171">
        <f>Data!CP47</f>
        <v>10</v>
      </c>
      <c r="Q47" s="171">
        <f>Data!CQ47</f>
        <v>4</v>
      </c>
      <c r="R47" s="171">
        <f>Data!CR47</f>
        <v>5</v>
      </c>
      <c r="S47" s="171">
        <f>Data!CS47</f>
        <v>9</v>
      </c>
      <c r="T47" s="171">
        <f>Data!CT47</f>
        <v>3</v>
      </c>
      <c r="U47" s="171">
        <f>Data!CU47</f>
        <v>2</v>
      </c>
      <c r="V47" s="171">
        <f t="shared" si="0"/>
        <v>37</v>
      </c>
      <c r="W47" s="66"/>
    </row>
    <row r="48" spans="1:23" ht="12" customHeight="1">
      <c r="A48" s="64"/>
      <c r="B48" s="146" t="str">
        <f>UPPER(LEFT(TRIM(Data!B48),1)) &amp; MID(TRIM(Data!B48),2,50)</f>
        <v>Nervų sistemos gerybiniai navikai</v>
      </c>
      <c r="C48" s="146" t="str">
        <f>Data!C48</f>
        <v>D32, D33</v>
      </c>
      <c r="D48" s="165">
        <f>Data!CD48</f>
        <v>0</v>
      </c>
      <c r="E48" s="165">
        <f>Data!CE48</f>
        <v>0</v>
      </c>
      <c r="F48" s="165">
        <f>Data!CF48</f>
        <v>0</v>
      </c>
      <c r="G48" s="165">
        <f>Data!CG48</f>
        <v>0</v>
      </c>
      <c r="H48" s="165">
        <f>Data!CH48</f>
        <v>2</v>
      </c>
      <c r="I48" s="165">
        <f>Data!CI48</f>
        <v>3</v>
      </c>
      <c r="J48" s="165">
        <f>Data!CJ48</f>
        <v>1</v>
      </c>
      <c r="K48" s="165">
        <f>Data!CK48</f>
        <v>0</v>
      </c>
      <c r="L48" s="165">
        <f>Data!CL48</f>
        <v>3</v>
      </c>
      <c r="M48" s="165">
        <f>Data!CM48</f>
        <v>8</v>
      </c>
      <c r="N48" s="165">
        <f>Data!CN48</f>
        <v>11</v>
      </c>
      <c r="O48" s="165">
        <f>Data!CO48</f>
        <v>8</v>
      </c>
      <c r="P48" s="165">
        <f>Data!CP48</f>
        <v>18</v>
      </c>
      <c r="Q48" s="165">
        <f>Data!CQ48</f>
        <v>12</v>
      </c>
      <c r="R48" s="165">
        <f>Data!CR48</f>
        <v>29</v>
      </c>
      <c r="S48" s="165">
        <f>Data!CS48</f>
        <v>25</v>
      </c>
      <c r="T48" s="165">
        <f>Data!CT48</f>
        <v>12</v>
      </c>
      <c r="U48" s="165">
        <f>Data!CU48</f>
        <v>9</v>
      </c>
      <c r="V48" s="165">
        <f t="shared" si="0"/>
        <v>141</v>
      </c>
      <c r="W48" s="66"/>
    </row>
    <row r="49" spans="1:23" ht="12" customHeight="1">
      <c r="A49" s="64"/>
      <c r="B49" s="141" t="str">
        <f>UPPER(LEFT(TRIM(Data!B49),1)) &amp; MID(TRIM(Data!B49),2,50)</f>
        <v>Kiaušidžių</v>
      </c>
      <c r="C49" s="170" t="str">
        <f>Data!C49</f>
        <v>D39.1</v>
      </c>
      <c r="D49" s="171">
        <f>Data!CD49</f>
        <v>0</v>
      </c>
      <c r="E49" s="171">
        <f>Data!CE49</f>
        <v>0</v>
      </c>
      <c r="F49" s="171">
        <f>Data!CF49</f>
        <v>1</v>
      </c>
      <c r="G49" s="171">
        <f>Data!CG49</f>
        <v>1</v>
      </c>
      <c r="H49" s="171">
        <f>Data!CH49</f>
        <v>3</v>
      </c>
      <c r="I49" s="171">
        <f>Data!CI49</f>
        <v>1</v>
      </c>
      <c r="J49" s="171">
        <f>Data!CJ49</f>
        <v>3</v>
      </c>
      <c r="K49" s="171">
        <f>Data!CK49</f>
        <v>4</v>
      </c>
      <c r="L49" s="171">
        <f>Data!CL49</f>
        <v>8</v>
      </c>
      <c r="M49" s="171">
        <f>Data!CM49</f>
        <v>4</v>
      </c>
      <c r="N49" s="171">
        <f>Data!CN49</f>
        <v>12</v>
      </c>
      <c r="O49" s="171">
        <f>Data!CO49</f>
        <v>6</v>
      </c>
      <c r="P49" s="171">
        <f>Data!CP49</f>
        <v>5</v>
      </c>
      <c r="Q49" s="171">
        <f>Data!CQ49</f>
        <v>5</v>
      </c>
      <c r="R49" s="171">
        <f>Data!CR49</f>
        <v>5</v>
      </c>
      <c r="S49" s="171">
        <f>Data!CS49</f>
        <v>4</v>
      </c>
      <c r="T49" s="171">
        <f>Data!CT49</f>
        <v>2</v>
      </c>
      <c r="U49" s="171">
        <f>Data!CU49</f>
        <v>0</v>
      </c>
      <c r="V49" s="171">
        <f t="shared" si="0"/>
        <v>64</v>
      </c>
      <c r="W49" s="66"/>
    </row>
    <row r="50" spans="1:23" ht="12" customHeight="1">
      <c r="A50" s="64"/>
      <c r="B50" s="146" t="str">
        <f>UPPER(LEFT(TRIM(Data!B50),1)) &amp; MID(TRIM(Data!B50),2,50)</f>
        <v>Kiti nervų sistemos</v>
      </c>
      <c r="C50" s="146" t="str">
        <f>Data!C50</f>
        <v>D42, D43</v>
      </c>
      <c r="D50" s="165">
        <f>Data!CD50</f>
        <v>0</v>
      </c>
      <c r="E50" s="165">
        <f>Data!CE50</f>
        <v>1</v>
      </c>
      <c r="F50" s="165">
        <f>Data!CF50</f>
        <v>1</v>
      </c>
      <c r="G50" s="165">
        <f>Data!CG50</f>
        <v>3</v>
      </c>
      <c r="H50" s="165">
        <f>Data!CH50</f>
        <v>1</v>
      </c>
      <c r="I50" s="165">
        <f>Data!CI50</f>
        <v>0</v>
      </c>
      <c r="J50" s="165">
        <f>Data!CJ50</f>
        <v>1</v>
      </c>
      <c r="K50" s="165">
        <f>Data!CK50</f>
        <v>1</v>
      </c>
      <c r="L50" s="165">
        <f>Data!CL50</f>
        <v>1</v>
      </c>
      <c r="M50" s="165">
        <f>Data!CM50</f>
        <v>0</v>
      </c>
      <c r="N50" s="165">
        <f>Data!CN50</f>
        <v>1</v>
      </c>
      <c r="O50" s="165">
        <f>Data!CO50</f>
        <v>3</v>
      </c>
      <c r="P50" s="165">
        <f>Data!CP50</f>
        <v>1</v>
      </c>
      <c r="Q50" s="165">
        <f>Data!CQ50</f>
        <v>3</v>
      </c>
      <c r="R50" s="165">
        <f>Data!CR50</f>
        <v>2</v>
      </c>
      <c r="S50" s="165">
        <f>Data!CS50</f>
        <v>4</v>
      </c>
      <c r="T50" s="165">
        <f>Data!CT50</f>
        <v>2</v>
      </c>
      <c r="U50" s="165">
        <f>Data!CU50</f>
        <v>1</v>
      </c>
      <c r="V50" s="165">
        <f t="shared" si="0"/>
        <v>26</v>
      </c>
      <c r="W50" s="66"/>
    </row>
    <row r="51" spans="1:23" ht="12" customHeight="1">
      <c r="A51" s="64"/>
      <c r="B51" s="141" t="str">
        <f>UPPER(LEFT(TRIM(Data!B51),1)) &amp; MID(TRIM(Data!B51),2,50)</f>
        <v>Limfinio ir kraujodaros audinių</v>
      </c>
      <c r="C51" s="170" t="str">
        <f>Data!C51</f>
        <v>D45-D47</v>
      </c>
      <c r="D51" s="171">
        <f>Data!CD51</f>
        <v>0</v>
      </c>
      <c r="E51" s="171">
        <f>Data!CE51</f>
        <v>0</v>
      </c>
      <c r="F51" s="171">
        <f>Data!CF51</f>
        <v>0</v>
      </c>
      <c r="G51" s="171">
        <f>Data!CG51</f>
        <v>0</v>
      </c>
      <c r="H51" s="171">
        <f>Data!CH51</f>
        <v>2</v>
      </c>
      <c r="I51" s="171">
        <f>Data!CI51</f>
        <v>3</v>
      </c>
      <c r="J51" s="171">
        <f>Data!CJ51</f>
        <v>4</v>
      </c>
      <c r="K51" s="171">
        <f>Data!CK51</f>
        <v>4</v>
      </c>
      <c r="L51" s="171">
        <f>Data!CL51</f>
        <v>4</v>
      </c>
      <c r="M51" s="171">
        <f>Data!CM51</f>
        <v>8</v>
      </c>
      <c r="N51" s="171">
        <f>Data!CN51</f>
        <v>18</v>
      </c>
      <c r="O51" s="171">
        <f>Data!CO51</f>
        <v>8</v>
      </c>
      <c r="P51" s="171">
        <f>Data!CP51</f>
        <v>27</v>
      </c>
      <c r="Q51" s="171">
        <f>Data!CQ51</f>
        <v>28</v>
      </c>
      <c r="R51" s="171">
        <f>Data!CR51</f>
        <v>21</v>
      </c>
      <c r="S51" s="171">
        <f>Data!CS51</f>
        <v>30</v>
      </c>
      <c r="T51" s="171">
        <f>Data!CT51</f>
        <v>30</v>
      </c>
      <c r="U51" s="171">
        <f>Data!CU51</f>
        <v>22</v>
      </c>
      <c r="V51" s="171">
        <f t="shared" si="0"/>
        <v>209</v>
      </c>
      <c r="W51" s="66"/>
    </row>
    <row r="52" spans="1:23">
      <c r="A52" s="64"/>
      <c r="B52" s="64"/>
      <c r="C52" s="64"/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  <c r="Q52" s="64"/>
      <c r="R52" s="64"/>
      <c r="S52" s="64"/>
      <c r="T52" s="64"/>
      <c r="U52" s="64"/>
      <c r="V52" s="66"/>
      <c r="W52" s="66"/>
    </row>
    <row r="53" spans="1:23">
      <c r="A53" s="64"/>
      <c r="B53" s="64"/>
      <c r="C53" s="64"/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  <c r="Q53" s="64"/>
      <c r="R53" s="64"/>
      <c r="S53" s="64"/>
      <c r="T53" s="64"/>
      <c r="U53" s="64"/>
      <c r="V53" s="66"/>
      <c r="W53" s="66"/>
    </row>
  </sheetData>
  <mergeCells count="4">
    <mergeCell ref="D4:U4"/>
    <mergeCell ref="B4:B5"/>
    <mergeCell ref="C4:C5"/>
    <mergeCell ref="V4:V5"/>
  </mergeCells>
  <phoneticPr fontId="13" type="noConversion"/>
  <pageMargins left="0.59055118110236227" right="0.62992125984251968" top="1.5748031496062993" bottom="1.9685039370078741" header="0" footer="0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9">
    <tabColor theme="4"/>
  </sheetPr>
  <dimension ref="A1:W51"/>
  <sheetViews>
    <sheetView workbookViewId="0">
      <selection activeCell="B4" sqref="B4"/>
    </sheetView>
  </sheetViews>
  <sheetFormatPr defaultRowHeight="11.25"/>
  <cols>
    <col min="1" max="1" width="1.7109375" style="179" customWidth="1"/>
    <col min="2" max="2" width="28.7109375" style="179" customWidth="1"/>
    <col min="3" max="3" width="23.7109375" style="179" customWidth="1"/>
    <col min="4" max="14" width="6" style="179" customWidth="1"/>
    <col min="15" max="21" width="6.28515625" style="179" customWidth="1"/>
    <col min="22" max="22" width="7.28515625" style="179" customWidth="1"/>
    <col min="23" max="27" width="0.85546875" style="179" customWidth="1"/>
    <col min="28" max="16384" width="9.140625" style="179"/>
  </cols>
  <sheetData>
    <row r="1" spans="1:23" ht="15">
      <c r="A1" s="178"/>
      <c r="B1" s="527" t="s">
        <v>404</v>
      </c>
      <c r="C1" s="528"/>
      <c r="D1" s="528"/>
      <c r="E1" s="528"/>
      <c r="F1" s="528"/>
      <c r="G1" s="528"/>
      <c r="H1" s="528"/>
      <c r="I1" s="178"/>
      <c r="J1" s="178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ht="12.75" customHeight="1">
      <c r="A2" s="180"/>
      <c r="B2" s="529"/>
      <c r="C2" s="529"/>
      <c r="D2" s="530">
        <f>Lent02v!S4</f>
        <v>77249</v>
      </c>
      <c r="E2" s="530">
        <f>Lent02v!T4</f>
        <v>69932</v>
      </c>
      <c r="F2" s="530">
        <f>Lent02v!U4</f>
        <v>72002</v>
      </c>
      <c r="G2" s="530">
        <f>Lent02v!V4</f>
        <v>89285</v>
      </c>
      <c r="H2" s="530">
        <f>Lent02v!W4</f>
        <v>108219</v>
      </c>
      <c r="I2" s="309">
        <f>Lent02v!X4</f>
        <v>99919</v>
      </c>
      <c r="J2" s="309">
        <f>Lent02v!Y4</f>
        <v>89381</v>
      </c>
      <c r="K2" s="309">
        <f>Lent02v!Z4</f>
        <v>89203</v>
      </c>
      <c r="L2" s="309">
        <f>Lent02v!AA4</f>
        <v>98505</v>
      </c>
      <c r="M2" s="309">
        <f>Lent02v!AB4</f>
        <v>100503</v>
      </c>
      <c r="N2" s="309">
        <f>Lent02v!AC4</f>
        <v>108547</v>
      </c>
      <c r="O2" s="309">
        <f>Lent02v!AD4</f>
        <v>92698</v>
      </c>
      <c r="P2" s="309">
        <f>Lent02v!AE4</f>
        <v>72507</v>
      </c>
      <c r="Q2" s="309">
        <f>Lent02v!AF4</f>
        <v>55181</v>
      </c>
      <c r="R2" s="309">
        <f>Lent02v!AG4</f>
        <v>49232</v>
      </c>
      <c r="S2" s="309">
        <f>Lent02v!AH4</f>
        <v>39442</v>
      </c>
      <c r="T2" s="309">
        <f>Lent02v!AI4</f>
        <v>24969</v>
      </c>
      <c r="U2" s="309">
        <f>Lent02vm!AJ4</f>
        <v>14352</v>
      </c>
      <c r="V2" s="309">
        <f>SUM(D2:U2)</f>
        <v>1351126</v>
      </c>
      <c r="W2" s="178"/>
    </row>
    <row r="3" spans="1:23" ht="12.75" customHeight="1">
      <c r="A3" s="180"/>
      <c r="B3" s="531" t="str">
        <f>"Sergamumo piktybiniais navikais rodiklis pagal amžių  " &amp; GrafikaiSerg!A1 &amp; " metais. Vyrai. (100 000 gyventojų)"</f>
        <v>Sergamumo piktybiniais navikais rodiklis pagal amžių  2014 metais. Vyrai. (100 000 gyventojų)</v>
      </c>
      <c r="C3" s="531"/>
      <c r="D3" s="528"/>
      <c r="E3" s="528"/>
      <c r="F3" s="528"/>
      <c r="G3" s="528"/>
      <c r="H3" s="528"/>
      <c r="I3" s="178"/>
      <c r="J3" s="178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12.75" customHeight="1">
      <c r="A4" s="180"/>
      <c r="B4" s="181" t="s">
        <v>623</v>
      </c>
      <c r="C4" s="180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78"/>
    </row>
    <row r="5" spans="1:23" ht="12" customHeight="1">
      <c r="A5" s="180"/>
      <c r="B5" s="437" t="s">
        <v>243</v>
      </c>
      <c r="C5" s="437" t="s">
        <v>244</v>
      </c>
      <c r="D5" s="439" t="s">
        <v>419</v>
      </c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1"/>
      <c r="V5" s="442" t="s">
        <v>429</v>
      </c>
      <c r="W5" s="178"/>
    </row>
    <row r="6" spans="1:23" ht="12" customHeight="1" thickBot="1">
      <c r="A6" s="178"/>
      <c r="B6" s="438"/>
      <c r="C6" s="438"/>
      <c r="D6" s="196" t="s">
        <v>13</v>
      </c>
      <c r="E6" s="196" t="s">
        <v>11</v>
      </c>
      <c r="F6" s="196" t="s">
        <v>12</v>
      </c>
      <c r="G6" s="196" t="s">
        <v>14</v>
      </c>
      <c r="H6" s="196" t="s">
        <v>15</v>
      </c>
      <c r="I6" s="195" t="s">
        <v>16</v>
      </c>
      <c r="J6" s="195" t="s">
        <v>158</v>
      </c>
      <c r="K6" s="195" t="s">
        <v>17</v>
      </c>
      <c r="L6" s="195" t="s">
        <v>18</v>
      </c>
      <c r="M6" s="195" t="s">
        <v>19</v>
      </c>
      <c r="N6" s="195" t="s">
        <v>20</v>
      </c>
      <c r="O6" s="195" t="s">
        <v>21</v>
      </c>
      <c r="P6" s="195" t="s">
        <v>159</v>
      </c>
      <c r="Q6" s="195" t="s">
        <v>160</v>
      </c>
      <c r="R6" s="195" t="s">
        <v>161</v>
      </c>
      <c r="S6" s="195" t="s">
        <v>162</v>
      </c>
      <c r="T6" s="195" t="s">
        <v>22</v>
      </c>
      <c r="U6" s="195" t="s">
        <v>23</v>
      </c>
      <c r="V6" s="443"/>
      <c r="W6" s="178"/>
    </row>
    <row r="7" spans="1:23" ht="12" customHeight="1" thickTop="1">
      <c r="A7" s="178"/>
      <c r="B7" s="183" t="str">
        <f>UPPER(LEFT(TRIM(Data!B5),1)) &amp; MID(TRIM(Data!B5),2,50)</f>
        <v>Piktybiniai navikai</v>
      </c>
      <c r="C7" s="184" t="str">
        <f>Data!C5</f>
        <v>C00-C96</v>
      </c>
      <c r="D7" s="201">
        <f>Data!Q5/D$2*100000</f>
        <v>32.362878483863867</v>
      </c>
      <c r="E7" s="201">
        <f>Data!R5/E$2*100000</f>
        <v>14.299605330892867</v>
      </c>
      <c r="F7" s="201">
        <f>Data!S5/F$2*100000</f>
        <v>11.110802477708953</v>
      </c>
      <c r="G7" s="201">
        <f>Data!T5/G$2*100000</f>
        <v>20.16016128129025</v>
      </c>
      <c r="H7" s="201">
        <f>Data!U5/H$2*100000</f>
        <v>20.329147377077962</v>
      </c>
      <c r="I7" s="201">
        <f>Data!V5/I$2*100000</f>
        <v>21.017023789269306</v>
      </c>
      <c r="J7" s="201">
        <f>Data!W5/J$2*100000</f>
        <v>59.296718541972005</v>
      </c>
      <c r="K7" s="201">
        <f>Data!X5/K$2*100000</f>
        <v>84.077889757070949</v>
      </c>
      <c r="L7" s="201">
        <f>Data!Y5/L$2*100000</f>
        <v>135.01852697832598</v>
      </c>
      <c r="M7" s="201">
        <f>Data!Z5/M$2*100000</f>
        <v>269.64369222809268</v>
      </c>
      <c r="N7" s="201">
        <f>Data!AA5/N$2*100000</f>
        <v>683.57485697439824</v>
      </c>
      <c r="O7" s="201">
        <f>Data!AB5/O$2*100000</f>
        <v>1252.4542061317397</v>
      </c>
      <c r="P7" s="201">
        <f>Data!AC5/P$2*100000</f>
        <v>1984.6359661825754</v>
      </c>
      <c r="Q7" s="201">
        <f>Data!AD5/Q$2*100000</f>
        <v>2716.5147423932149</v>
      </c>
      <c r="R7" s="201">
        <f>Data!AE5/R$2*100000</f>
        <v>3278.3555411114726</v>
      </c>
      <c r="S7" s="201">
        <f>Data!AF5/S$2*100000</f>
        <v>3039.9066984432839</v>
      </c>
      <c r="T7" s="201">
        <f>Data!AG5/T$2*100000</f>
        <v>3228.0027233769874</v>
      </c>
      <c r="U7" s="201">
        <f>Data!AH5/U$2*100000</f>
        <v>3295.7079152731326</v>
      </c>
      <c r="V7" s="201">
        <f>Data!D5/V$2*100000</f>
        <v>708.2241034514916</v>
      </c>
      <c r="W7" s="178"/>
    </row>
    <row r="8" spans="1:23" ht="12" customHeight="1">
      <c r="A8" s="178"/>
      <c r="B8" s="197" t="str">
        <f>UPPER(LEFT(TRIM(Data!B6),1)) &amp; MID(TRIM(Data!B6),2,50)</f>
        <v>Lūpos</v>
      </c>
      <c r="C8" s="198" t="str">
        <f>Data!C6</f>
        <v>C00</v>
      </c>
      <c r="D8" s="202">
        <f>Data!Q6/D$2*100000</f>
        <v>0</v>
      </c>
      <c r="E8" s="202">
        <f>Data!R6/E$2*100000</f>
        <v>0</v>
      </c>
      <c r="F8" s="202">
        <f>Data!S6/F$2*100000</f>
        <v>0</v>
      </c>
      <c r="G8" s="202">
        <f>Data!T6/G$2*100000</f>
        <v>0</v>
      </c>
      <c r="H8" s="202">
        <f>Data!U6/H$2*100000</f>
        <v>0</v>
      </c>
      <c r="I8" s="202">
        <f>Data!V6/I$2*100000</f>
        <v>0</v>
      </c>
      <c r="J8" s="202">
        <f>Data!W6/J$2*100000</f>
        <v>0</v>
      </c>
      <c r="K8" s="202">
        <f>Data!X6/K$2*100000</f>
        <v>0</v>
      </c>
      <c r="L8" s="202">
        <f>Data!Y6/L$2*100000</f>
        <v>0</v>
      </c>
      <c r="M8" s="202">
        <f>Data!Z6/M$2*100000</f>
        <v>0</v>
      </c>
      <c r="N8" s="202">
        <f>Data!AA6/N$2*100000</f>
        <v>1.8425198301196715</v>
      </c>
      <c r="O8" s="202">
        <f>Data!AB6/O$2*100000</f>
        <v>0</v>
      </c>
      <c r="P8" s="202">
        <f>Data!AC6/P$2*100000</f>
        <v>5.5167087315707448</v>
      </c>
      <c r="Q8" s="202">
        <f>Data!AD6/Q$2*100000</f>
        <v>3.6244359471557237</v>
      </c>
      <c r="R8" s="202">
        <f>Data!AE6/R$2*100000</f>
        <v>6.0935976600584985</v>
      </c>
      <c r="S8" s="202">
        <f>Data!AF6/S$2*100000</f>
        <v>15.212210334161554</v>
      </c>
      <c r="T8" s="202">
        <f>Data!AG6/T$2*100000</f>
        <v>8.0099323160719287</v>
      </c>
      <c r="U8" s="202">
        <f>Data!AH6/U$2*100000</f>
        <v>6.9676700111482717</v>
      </c>
      <c r="V8" s="202">
        <f>Data!D6/V$2*100000</f>
        <v>1.480246845964033</v>
      </c>
      <c r="W8" s="178"/>
    </row>
    <row r="9" spans="1:23" ht="12" customHeight="1">
      <c r="A9" s="178"/>
      <c r="B9" s="183" t="str">
        <f>UPPER(LEFT(TRIM(Data!B7),1)) &amp; MID(TRIM(Data!B7),2,50)</f>
        <v>Burnos ertmės ir ryklės</v>
      </c>
      <c r="C9" s="184" t="str">
        <f>Data!C7</f>
        <v>C01-C14</v>
      </c>
      <c r="D9" s="201">
        <f>Data!Q7/D$2*100000</f>
        <v>0</v>
      </c>
      <c r="E9" s="201">
        <f>Data!R7/E$2*100000</f>
        <v>0</v>
      </c>
      <c r="F9" s="201">
        <f>Data!S7/F$2*100000</f>
        <v>0</v>
      </c>
      <c r="G9" s="201">
        <f>Data!T7/G$2*100000</f>
        <v>2.240017920143361</v>
      </c>
      <c r="H9" s="201">
        <f>Data!U7/H$2*100000</f>
        <v>0</v>
      </c>
      <c r="I9" s="201">
        <f>Data!V7/I$2*100000</f>
        <v>0</v>
      </c>
      <c r="J9" s="201">
        <f>Data!W7/J$2*100000</f>
        <v>3.356418030677661</v>
      </c>
      <c r="K9" s="201">
        <f>Data!X7/K$2*100000</f>
        <v>4.4841541203771174</v>
      </c>
      <c r="L9" s="201">
        <f>Data!Y7/L$2*100000</f>
        <v>9.1365920511649161</v>
      </c>
      <c r="M9" s="201">
        <f>Data!Z7/M$2*100000</f>
        <v>25.869874531108522</v>
      </c>
      <c r="N9" s="201">
        <f>Data!AA7/N$2*100000</f>
        <v>29.480317281914743</v>
      </c>
      <c r="O9" s="201">
        <f>Data!AB7/O$2*100000</f>
        <v>58.253684006127429</v>
      </c>
      <c r="P9" s="201">
        <f>Data!AC7/P$2*100000</f>
        <v>78.613099424883117</v>
      </c>
      <c r="Q9" s="201">
        <f>Data!AD7/Q$2*100000</f>
        <v>63.42762907522517</v>
      </c>
      <c r="R9" s="201">
        <f>Data!AE7/R$2*100000</f>
        <v>34.530386740331487</v>
      </c>
      <c r="S9" s="201">
        <f>Data!AF7/S$2*100000</f>
        <v>50.707367780538512</v>
      </c>
      <c r="T9" s="201">
        <f>Data!AG7/T$2*100000</f>
        <v>24.029796948215786</v>
      </c>
      <c r="U9" s="201">
        <f>Data!AH7/U$2*100000</f>
        <v>48.773690078037909</v>
      </c>
      <c r="V9" s="201">
        <f>Data!D7/V$2*100000</f>
        <v>20.131357105110848</v>
      </c>
      <c r="W9" s="178"/>
    </row>
    <row r="10" spans="1:23" ht="12" customHeight="1">
      <c r="A10" s="178"/>
      <c r="B10" s="197" t="str">
        <f>UPPER(LEFT(TRIM(Data!B8),1)) &amp; MID(TRIM(Data!B8),2,50)</f>
        <v>Stemplės</v>
      </c>
      <c r="C10" s="198" t="str">
        <f>Data!C8</f>
        <v>C15</v>
      </c>
      <c r="D10" s="202">
        <f>Data!Q8/D$2*100000</f>
        <v>0</v>
      </c>
      <c r="E10" s="202">
        <f>Data!R8/E$2*100000</f>
        <v>0</v>
      </c>
      <c r="F10" s="202">
        <f>Data!S8/F$2*100000</f>
        <v>0</v>
      </c>
      <c r="G10" s="202">
        <f>Data!T8/G$2*100000</f>
        <v>0</v>
      </c>
      <c r="H10" s="202">
        <f>Data!U8/H$2*100000</f>
        <v>0</v>
      </c>
      <c r="I10" s="202">
        <f>Data!V8/I$2*100000</f>
        <v>0</v>
      </c>
      <c r="J10" s="202">
        <f>Data!W8/J$2*100000</f>
        <v>0</v>
      </c>
      <c r="K10" s="202">
        <f>Data!X8/K$2*100000</f>
        <v>2.2420770601885587</v>
      </c>
      <c r="L10" s="202">
        <f>Data!Y8/L$2*100000</f>
        <v>4.060707578295518</v>
      </c>
      <c r="M10" s="202">
        <f>Data!Z8/M$2*100000</f>
        <v>11.939942091280857</v>
      </c>
      <c r="N10" s="202">
        <f>Data!AA8/N$2*100000</f>
        <v>18.425198301196719</v>
      </c>
      <c r="O10" s="202">
        <f>Data!AB8/O$2*100000</f>
        <v>39.914561263457678</v>
      </c>
      <c r="P10" s="202">
        <f>Data!AC8/P$2*100000</f>
        <v>59.304618864385503</v>
      </c>
      <c r="Q10" s="202">
        <f>Data!AD8/Q$2*100000</f>
        <v>38.056577445135098</v>
      </c>
      <c r="R10" s="202">
        <f>Data!AE8/R$2*100000</f>
        <v>34.530386740331487</v>
      </c>
      <c r="S10" s="202">
        <f>Data!AF8/S$2*100000</f>
        <v>43.101262613457735</v>
      </c>
      <c r="T10" s="202">
        <f>Data!AG8/T$2*100000</f>
        <v>40.049661580359647</v>
      </c>
      <c r="U10" s="202">
        <f>Data!AH8/U$2*100000</f>
        <v>34.838350055741365</v>
      </c>
      <c r="V10" s="202">
        <f>Data!D8/V$2*100000</f>
        <v>13.91432035206191</v>
      </c>
      <c r="W10" s="178"/>
    </row>
    <row r="11" spans="1:23" ht="12" customHeight="1">
      <c r="A11" s="178"/>
      <c r="B11" s="183" t="str">
        <f>UPPER(LEFT(TRIM(Data!B9),1)) &amp; MID(TRIM(Data!B9),2,50)</f>
        <v>Skrandžio</v>
      </c>
      <c r="C11" s="184" t="str">
        <f>Data!C9</f>
        <v>C16</v>
      </c>
      <c r="D11" s="201">
        <f>Data!Q9/D$2*100000</f>
        <v>0</v>
      </c>
      <c r="E11" s="201">
        <f>Data!R9/E$2*100000</f>
        <v>0</v>
      </c>
      <c r="F11" s="201">
        <f>Data!S9/F$2*100000</f>
        <v>0</v>
      </c>
      <c r="G11" s="201">
        <f>Data!T9/G$2*100000</f>
        <v>0</v>
      </c>
      <c r="H11" s="201">
        <f>Data!U9/H$2*100000</f>
        <v>0.92405215350354375</v>
      </c>
      <c r="I11" s="201">
        <f>Data!V9/I$2*100000</f>
        <v>0</v>
      </c>
      <c r="J11" s="201">
        <f>Data!W9/J$2*100000</f>
        <v>1.1188060102258868</v>
      </c>
      <c r="K11" s="201">
        <f>Data!X9/K$2*100000</f>
        <v>4.4841541203771174</v>
      </c>
      <c r="L11" s="201">
        <f>Data!Y9/L$2*100000</f>
        <v>9.1365920511649161</v>
      </c>
      <c r="M11" s="201">
        <f>Data!Z9/M$2*100000</f>
        <v>20.8948986597415</v>
      </c>
      <c r="N11" s="201">
        <f>Data!AA9/N$2*100000</f>
        <v>34.086616857213926</v>
      </c>
      <c r="O11" s="201">
        <f>Data!AB9/O$2*100000</f>
        <v>42.072105115536473</v>
      </c>
      <c r="P11" s="201">
        <f>Data!AC9/P$2*100000</f>
        <v>108.95499744852221</v>
      </c>
      <c r="Q11" s="201">
        <f>Data!AD9/Q$2*100000</f>
        <v>77.925372863848068</v>
      </c>
      <c r="R11" s="201">
        <f>Data!AE9/R$2*100000</f>
        <v>164.52713682157946</v>
      </c>
      <c r="S11" s="201">
        <f>Data!AF9/S$2*100000</f>
        <v>164.79894528675015</v>
      </c>
      <c r="T11" s="201">
        <f>Data!AG9/T$2*100000</f>
        <v>200.24830790179826</v>
      </c>
      <c r="U11" s="201">
        <f>Data!AH9/U$2*100000</f>
        <v>257.80379041248608</v>
      </c>
      <c r="V11" s="201">
        <f>Data!D9/V$2*100000</f>
        <v>34.56376385326017</v>
      </c>
      <c r="W11" s="178"/>
    </row>
    <row r="12" spans="1:23" ht="12" customHeight="1">
      <c r="A12" s="178"/>
      <c r="B12" s="197" t="str">
        <f>UPPER(LEFT(TRIM(Data!B10),1)) &amp; MID(TRIM(Data!B10),2,50)</f>
        <v>Gaubtinės žarnos</v>
      </c>
      <c r="C12" s="198" t="str">
        <f>Data!C10</f>
        <v>C18</v>
      </c>
      <c r="D12" s="202">
        <f>Data!Q10/D$2*100000</f>
        <v>0</v>
      </c>
      <c r="E12" s="202">
        <f>Data!R10/E$2*100000</f>
        <v>0</v>
      </c>
      <c r="F12" s="202">
        <f>Data!S10/F$2*100000</f>
        <v>0</v>
      </c>
      <c r="G12" s="202">
        <f>Data!T10/G$2*100000</f>
        <v>0</v>
      </c>
      <c r="H12" s="202">
        <f>Data!U10/H$2*100000</f>
        <v>0.92405215350354375</v>
      </c>
      <c r="I12" s="202">
        <f>Data!V10/I$2*100000</f>
        <v>0</v>
      </c>
      <c r="J12" s="202">
        <f>Data!W10/J$2*100000</f>
        <v>1.1188060102258868</v>
      </c>
      <c r="K12" s="202">
        <f>Data!X10/K$2*100000</f>
        <v>4.4841541203771174</v>
      </c>
      <c r="L12" s="202">
        <f>Data!Y10/L$2*100000</f>
        <v>5.0758844728693973</v>
      </c>
      <c r="M12" s="202">
        <f>Data!Z10/M$2*100000</f>
        <v>4.9749758713670236</v>
      </c>
      <c r="N12" s="202">
        <f>Data!AA10/N$2*100000</f>
        <v>11.05511898071803</v>
      </c>
      <c r="O12" s="202">
        <f>Data!AB10/O$2*100000</f>
        <v>37.757017411378882</v>
      </c>
      <c r="P12" s="202">
        <f>Data!AC10/P$2*100000</f>
        <v>55.167087315707448</v>
      </c>
      <c r="Q12" s="202">
        <f>Data!AD10/Q$2*100000</f>
        <v>128.66747612402821</v>
      </c>
      <c r="R12" s="202">
        <f>Data!AE10/R$2*100000</f>
        <v>150.30874228144296</v>
      </c>
      <c r="S12" s="202">
        <f>Data!AF10/S$2*100000</f>
        <v>157.1928401196694</v>
      </c>
      <c r="T12" s="202">
        <f>Data!AG10/T$2*100000</f>
        <v>180.22347711161842</v>
      </c>
      <c r="U12" s="202">
        <f>Data!AH10/U$2*100000</f>
        <v>334.44816053511704</v>
      </c>
      <c r="V12" s="202">
        <f>Data!D10/V$2*100000</f>
        <v>29.826973946175265</v>
      </c>
      <c r="W12" s="178"/>
    </row>
    <row r="13" spans="1:23" ht="12" customHeight="1">
      <c r="A13" s="178"/>
      <c r="B13" s="183" t="str">
        <f>UPPER(LEFT(TRIM(Data!B11),1)) &amp; MID(TRIM(Data!B11),2,50)</f>
        <v>Tiesiosios žarnos, išangės</v>
      </c>
      <c r="C13" s="184" t="str">
        <f>Data!C11</f>
        <v>C19-C21</v>
      </c>
      <c r="D13" s="201">
        <f>Data!Q11/D$2*100000</f>
        <v>0</v>
      </c>
      <c r="E13" s="201">
        <f>Data!R11/E$2*100000</f>
        <v>0</v>
      </c>
      <c r="F13" s="201">
        <f>Data!S11/F$2*100000</f>
        <v>0</v>
      </c>
      <c r="G13" s="201">
        <f>Data!T11/G$2*100000</f>
        <v>0</v>
      </c>
      <c r="H13" s="201">
        <f>Data!U11/H$2*100000</f>
        <v>0</v>
      </c>
      <c r="I13" s="201">
        <f>Data!V11/I$2*100000</f>
        <v>0</v>
      </c>
      <c r="J13" s="201">
        <f>Data!W11/J$2*100000</f>
        <v>0</v>
      </c>
      <c r="K13" s="201">
        <f>Data!X11/K$2*100000</f>
        <v>2.2420770601885587</v>
      </c>
      <c r="L13" s="201">
        <f>Data!Y11/L$2*100000</f>
        <v>1.0151768945738795</v>
      </c>
      <c r="M13" s="201">
        <f>Data!Z11/M$2*100000</f>
        <v>10.944946917007453</v>
      </c>
      <c r="N13" s="201">
        <f>Data!AA11/N$2*100000</f>
        <v>20.267718131316389</v>
      </c>
      <c r="O13" s="201">
        <f>Data!AB11/O$2*100000</f>
        <v>32.363157781181904</v>
      </c>
      <c r="P13" s="201">
        <f>Data!AC11/P$2*100000</f>
        <v>56.546264498600131</v>
      </c>
      <c r="Q13" s="201">
        <f>Data!AD11/Q$2*100000</f>
        <v>85.174244758159517</v>
      </c>
      <c r="R13" s="201">
        <f>Data!AE11/R$2*100000</f>
        <v>129.99675008124797</v>
      </c>
      <c r="S13" s="201">
        <f>Data!AF11/S$2*100000</f>
        <v>152.12210334161554</v>
      </c>
      <c r="T13" s="201">
        <f>Data!AG11/T$2*100000</f>
        <v>184.22844326965438</v>
      </c>
      <c r="U13" s="201">
        <f>Data!AH11/U$2*100000</f>
        <v>188.12709030100334</v>
      </c>
      <c r="V13" s="201">
        <f>Data!D11/V$2*100000</f>
        <v>25.978332146668777</v>
      </c>
      <c r="W13" s="178"/>
    </row>
    <row r="14" spans="1:23" ht="12" customHeight="1">
      <c r="A14" s="178"/>
      <c r="B14" s="197" t="str">
        <f>UPPER(LEFT(TRIM(Data!B12),1)) &amp; MID(TRIM(Data!B12),2,50)</f>
        <v>Kepenų</v>
      </c>
      <c r="C14" s="198" t="str">
        <f>Data!C12</f>
        <v>C22</v>
      </c>
      <c r="D14" s="202">
        <f>Data!Q12/D$2*100000</f>
        <v>0</v>
      </c>
      <c r="E14" s="202">
        <f>Data!R12/E$2*100000</f>
        <v>0</v>
      </c>
      <c r="F14" s="202">
        <f>Data!S12/F$2*100000</f>
        <v>0</v>
      </c>
      <c r="G14" s="202">
        <f>Data!T12/G$2*100000</f>
        <v>0</v>
      </c>
      <c r="H14" s="202">
        <f>Data!U12/H$2*100000</f>
        <v>0</v>
      </c>
      <c r="I14" s="202">
        <f>Data!V12/I$2*100000</f>
        <v>0</v>
      </c>
      <c r="J14" s="202">
        <f>Data!W12/J$2*100000</f>
        <v>1.1188060102258868</v>
      </c>
      <c r="K14" s="202">
        <f>Data!X12/K$2*100000</f>
        <v>0</v>
      </c>
      <c r="L14" s="202">
        <f>Data!Y12/L$2*100000</f>
        <v>3.0455306837216383</v>
      </c>
      <c r="M14" s="202">
        <f>Data!Z12/M$2*100000</f>
        <v>8.9549565684606431</v>
      </c>
      <c r="N14" s="202">
        <f>Data!AA12/N$2*100000</f>
        <v>12.897638810837703</v>
      </c>
      <c r="O14" s="202">
        <f>Data!AB12/O$2*100000</f>
        <v>21.575438520787934</v>
      </c>
      <c r="P14" s="202">
        <f>Data!AC12/P$2*100000</f>
        <v>15.17094901181955</v>
      </c>
      <c r="Q14" s="202">
        <f>Data!AD12/Q$2*100000</f>
        <v>39.868795418712963</v>
      </c>
      <c r="R14" s="202">
        <f>Data!AE12/R$2*100000</f>
        <v>42.655183620409488</v>
      </c>
      <c r="S14" s="202">
        <f>Data!AF12/S$2*100000</f>
        <v>45.636631002484663</v>
      </c>
      <c r="T14" s="202">
        <f>Data!AG12/T$2*100000</f>
        <v>32.039729264287715</v>
      </c>
      <c r="U14" s="202">
        <f>Data!AH12/U$2*100000</f>
        <v>69.676700111482731</v>
      </c>
      <c r="V14" s="202">
        <f>Data!D12/V$2*100000</f>
        <v>10.139690894853626</v>
      </c>
      <c r="W14" s="178"/>
    </row>
    <row r="15" spans="1:23" ht="12" customHeight="1">
      <c r="A15" s="178"/>
      <c r="B15" s="183" t="str">
        <f>UPPER(LEFT(TRIM(Data!B13),1)) &amp; MID(TRIM(Data!B13),2,50)</f>
        <v>Tulžies pūslės, ekstrahepatinių takų</v>
      </c>
      <c r="C15" s="184" t="str">
        <f>Data!C13</f>
        <v>C23, C24</v>
      </c>
      <c r="D15" s="201">
        <f>Data!Q13/D$2*100000</f>
        <v>0</v>
      </c>
      <c r="E15" s="201">
        <f>Data!R13/E$2*100000</f>
        <v>0</v>
      </c>
      <c r="F15" s="201">
        <f>Data!S13/F$2*100000</f>
        <v>0</v>
      </c>
      <c r="G15" s="201">
        <f>Data!T13/G$2*100000</f>
        <v>0</v>
      </c>
      <c r="H15" s="201">
        <f>Data!U13/H$2*100000</f>
        <v>0</v>
      </c>
      <c r="I15" s="201">
        <f>Data!V13/I$2*100000</f>
        <v>0</v>
      </c>
      <c r="J15" s="201">
        <f>Data!W13/J$2*100000</f>
        <v>1.1188060102258868</v>
      </c>
      <c r="K15" s="201">
        <f>Data!X13/K$2*100000</f>
        <v>0</v>
      </c>
      <c r="L15" s="201">
        <f>Data!Y13/L$2*100000</f>
        <v>0</v>
      </c>
      <c r="M15" s="201">
        <f>Data!Z13/M$2*100000</f>
        <v>1.9899903485468096</v>
      </c>
      <c r="N15" s="201">
        <f>Data!AA13/N$2*100000</f>
        <v>0</v>
      </c>
      <c r="O15" s="201">
        <f>Data!AB13/O$2*100000</f>
        <v>8.6301754083151749</v>
      </c>
      <c r="P15" s="201">
        <f>Data!AC13/P$2*100000</f>
        <v>6.895885914463431</v>
      </c>
      <c r="Q15" s="201">
        <f>Data!AD13/Q$2*100000</f>
        <v>9.0610898678893097</v>
      </c>
      <c r="R15" s="201">
        <f>Data!AE13/R$2*100000</f>
        <v>16.249593760155996</v>
      </c>
      <c r="S15" s="201">
        <f>Data!AF13/S$2*100000</f>
        <v>20.282947112215407</v>
      </c>
      <c r="T15" s="201">
        <f>Data!AG13/T$2*100000</f>
        <v>32.039729264287715</v>
      </c>
      <c r="U15" s="201">
        <f>Data!AH13/U$2*100000</f>
        <v>27.870680044593087</v>
      </c>
      <c r="V15" s="201">
        <f>Data!D13/V$2*100000</f>
        <v>3.6266047726118806</v>
      </c>
      <c r="W15" s="178"/>
    </row>
    <row r="16" spans="1:23" ht="12" customHeight="1">
      <c r="A16" s="178"/>
      <c r="B16" s="197" t="str">
        <f>UPPER(LEFT(TRIM(Data!B14),1)) &amp; MID(TRIM(Data!B14),2,50)</f>
        <v>Kasos</v>
      </c>
      <c r="C16" s="198" t="str">
        <f>Data!C14</f>
        <v>C25</v>
      </c>
      <c r="D16" s="202">
        <f>Data!Q14/D$2*100000</f>
        <v>0</v>
      </c>
      <c r="E16" s="202">
        <f>Data!R14/E$2*100000</f>
        <v>0</v>
      </c>
      <c r="F16" s="202">
        <f>Data!S14/F$2*100000</f>
        <v>0</v>
      </c>
      <c r="G16" s="202">
        <f>Data!T14/G$2*100000</f>
        <v>0</v>
      </c>
      <c r="H16" s="202">
        <f>Data!U14/H$2*100000</f>
        <v>0</v>
      </c>
      <c r="I16" s="202">
        <f>Data!V14/I$2*100000</f>
        <v>0</v>
      </c>
      <c r="J16" s="202">
        <f>Data!W14/J$2*100000</f>
        <v>1.1188060102258868</v>
      </c>
      <c r="K16" s="202">
        <f>Data!X14/K$2*100000</f>
        <v>2.2420770601885587</v>
      </c>
      <c r="L16" s="202">
        <f>Data!Y14/L$2*100000</f>
        <v>5.0758844728693973</v>
      </c>
      <c r="M16" s="202">
        <f>Data!Z14/M$2*100000</f>
        <v>8.9549565684606431</v>
      </c>
      <c r="N16" s="202">
        <f>Data!AA14/N$2*100000</f>
        <v>23.031497876495898</v>
      </c>
      <c r="O16" s="202">
        <f>Data!AB14/O$2*100000</f>
        <v>37.757017411378882</v>
      </c>
      <c r="P16" s="202">
        <f>Data!AC14/P$2*100000</f>
        <v>41.375315486780586</v>
      </c>
      <c r="Q16" s="202">
        <f>Data!AD14/Q$2*100000</f>
        <v>81.549808811003786</v>
      </c>
      <c r="R16" s="202">
        <f>Data!AE14/R$2*100000</f>
        <v>101.55996100097498</v>
      </c>
      <c r="S16" s="202">
        <f>Data!AF14/S$2*100000</f>
        <v>73.525683281780843</v>
      </c>
      <c r="T16" s="202">
        <f>Data!AG14/T$2*100000</f>
        <v>88.109255476791219</v>
      </c>
      <c r="U16" s="202">
        <f>Data!AH14/U$2*100000</f>
        <v>139.35340022296546</v>
      </c>
      <c r="V16" s="202">
        <f>Data!D14/V$2*100000</f>
        <v>20.205369447409051</v>
      </c>
      <c r="W16" s="178"/>
    </row>
    <row r="17" spans="1:23" ht="12" customHeight="1">
      <c r="A17" s="178"/>
      <c r="B17" s="183" t="str">
        <f>UPPER(LEFT(TRIM(Data!B15),1)) &amp; MID(TRIM(Data!B15),2,50)</f>
        <v>Kitų virškinimo sistemos organų</v>
      </c>
      <c r="C17" s="184" t="str">
        <f>Data!C15</f>
        <v>C17, C26, C48</v>
      </c>
      <c r="D17" s="201">
        <f>Data!Q15/D$2*100000</f>
        <v>0</v>
      </c>
      <c r="E17" s="201">
        <f>Data!R15/E$2*100000</f>
        <v>0</v>
      </c>
      <c r="F17" s="201">
        <f>Data!S15/F$2*100000</f>
        <v>0</v>
      </c>
      <c r="G17" s="201">
        <f>Data!T15/G$2*100000</f>
        <v>1.1200089600716805</v>
      </c>
      <c r="H17" s="201">
        <f>Data!U15/H$2*100000</f>
        <v>0</v>
      </c>
      <c r="I17" s="201">
        <f>Data!V15/I$2*100000</f>
        <v>0</v>
      </c>
      <c r="J17" s="201">
        <f>Data!W15/J$2*100000</f>
        <v>0</v>
      </c>
      <c r="K17" s="201">
        <f>Data!X15/K$2*100000</f>
        <v>0</v>
      </c>
      <c r="L17" s="201">
        <f>Data!Y15/L$2*100000</f>
        <v>2.030353789147759</v>
      </c>
      <c r="M17" s="201">
        <f>Data!Z15/M$2*100000</f>
        <v>0.99499517427340478</v>
      </c>
      <c r="N17" s="201">
        <f>Data!AA15/N$2*100000</f>
        <v>4.6062995752991798</v>
      </c>
      <c r="O17" s="201">
        <f>Data!AB15/O$2*100000</f>
        <v>4.3150877041575875</v>
      </c>
      <c r="P17" s="201">
        <f>Data!AC15/P$2*100000</f>
        <v>2.7583543657853724</v>
      </c>
      <c r="Q17" s="201">
        <f>Data!AD15/Q$2*100000</f>
        <v>7.2488718943114474</v>
      </c>
      <c r="R17" s="201">
        <f>Data!AE15/R$2*100000</f>
        <v>6.0935976600584985</v>
      </c>
      <c r="S17" s="201">
        <f>Data!AF15/S$2*100000</f>
        <v>12.676841945134628</v>
      </c>
      <c r="T17" s="201">
        <f>Data!AG15/T$2*100000</f>
        <v>8.0099323160719287</v>
      </c>
      <c r="U17" s="201">
        <f>Data!AH15/U$2*100000</f>
        <v>27.870680044593087</v>
      </c>
      <c r="V17" s="201">
        <f>Data!D15/V$2*100000</f>
        <v>2.4424072958406544</v>
      </c>
      <c r="W17" s="178"/>
    </row>
    <row r="18" spans="1:23" ht="12" customHeight="1">
      <c r="A18" s="178"/>
      <c r="B18" s="197" t="str">
        <f>UPPER(LEFT(TRIM(Data!B16),1)) &amp; MID(TRIM(Data!B16),2,50)</f>
        <v>Nosies ertmės, vid.ausies ir ančių</v>
      </c>
      <c r="C18" s="198" t="str">
        <f>Data!C16</f>
        <v>C30, C31</v>
      </c>
      <c r="D18" s="202">
        <f>Data!Q16/D$2*100000</f>
        <v>0</v>
      </c>
      <c r="E18" s="202">
        <f>Data!R16/E$2*100000</f>
        <v>0</v>
      </c>
      <c r="F18" s="202">
        <f>Data!S16/F$2*100000</f>
        <v>0</v>
      </c>
      <c r="G18" s="202">
        <f>Data!T16/G$2*100000</f>
        <v>0</v>
      </c>
      <c r="H18" s="202">
        <f>Data!U16/H$2*100000</f>
        <v>0</v>
      </c>
      <c r="I18" s="202">
        <f>Data!V16/I$2*100000</f>
        <v>0</v>
      </c>
      <c r="J18" s="202">
        <f>Data!W16/J$2*100000</f>
        <v>0</v>
      </c>
      <c r="K18" s="202">
        <f>Data!X16/K$2*100000</f>
        <v>0</v>
      </c>
      <c r="L18" s="202">
        <f>Data!Y16/L$2*100000</f>
        <v>2.030353789147759</v>
      </c>
      <c r="M18" s="202">
        <f>Data!Z16/M$2*100000</f>
        <v>2.9849855228202142</v>
      </c>
      <c r="N18" s="202">
        <f>Data!AA16/N$2*100000</f>
        <v>2.7637797451795074</v>
      </c>
      <c r="O18" s="202">
        <f>Data!AB16/O$2*100000</f>
        <v>3.2363157781181902</v>
      </c>
      <c r="P18" s="202">
        <f>Data!AC16/P$2*100000</f>
        <v>4.1375315486780586</v>
      </c>
      <c r="Q18" s="202">
        <f>Data!AD16/Q$2*100000</f>
        <v>7.2488718943114474</v>
      </c>
      <c r="R18" s="202">
        <f>Data!AE16/R$2*100000</f>
        <v>0</v>
      </c>
      <c r="S18" s="202">
        <f>Data!AF16/S$2*100000</f>
        <v>2.5353683890269259</v>
      </c>
      <c r="T18" s="202">
        <f>Data!AG16/T$2*100000</f>
        <v>4.0049661580359643</v>
      </c>
      <c r="U18" s="202">
        <f>Data!AH16/U$2*100000</f>
        <v>6.9676700111482717</v>
      </c>
      <c r="V18" s="202">
        <f>Data!D16/V$2*100000</f>
        <v>1.5542591882622345</v>
      </c>
      <c r="W18" s="178"/>
    </row>
    <row r="19" spans="1:23" ht="12" customHeight="1">
      <c r="A19" s="178"/>
      <c r="B19" s="183" t="str">
        <f>UPPER(LEFT(TRIM(Data!B17),1)) &amp; MID(TRIM(Data!B17),2,50)</f>
        <v>Gerklų</v>
      </c>
      <c r="C19" s="184" t="str">
        <f>Data!C17</f>
        <v>C32</v>
      </c>
      <c r="D19" s="201">
        <f>Data!Q17/D$2*100000</f>
        <v>0</v>
      </c>
      <c r="E19" s="201">
        <f>Data!R17/E$2*100000</f>
        <v>0</v>
      </c>
      <c r="F19" s="201">
        <f>Data!S17/F$2*100000</f>
        <v>0</v>
      </c>
      <c r="G19" s="201">
        <f>Data!T17/G$2*100000</f>
        <v>0</v>
      </c>
      <c r="H19" s="201">
        <f>Data!U17/H$2*100000</f>
        <v>0</v>
      </c>
      <c r="I19" s="201">
        <f>Data!V17/I$2*100000</f>
        <v>0</v>
      </c>
      <c r="J19" s="201">
        <f>Data!W17/J$2*100000</f>
        <v>0</v>
      </c>
      <c r="K19" s="201">
        <f>Data!X17/K$2*100000</f>
        <v>0</v>
      </c>
      <c r="L19" s="201">
        <f>Data!Y17/L$2*100000</f>
        <v>1.0151768945738795</v>
      </c>
      <c r="M19" s="201">
        <f>Data!Z17/M$2*100000</f>
        <v>12.934937265554261</v>
      </c>
      <c r="N19" s="201">
        <f>Data!AA17/N$2*100000</f>
        <v>21.188978046376224</v>
      </c>
      <c r="O19" s="201">
        <f>Data!AB17/O$2*100000</f>
        <v>33.441929707221298</v>
      </c>
      <c r="P19" s="201">
        <f>Data!AC17/P$2*100000</f>
        <v>38.616961120995214</v>
      </c>
      <c r="Q19" s="201">
        <f>Data!AD17/Q$2*100000</f>
        <v>54.366539207335862</v>
      </c>
      <c r="R19" s="201">
        <f>Data!AE17/R$2*100000</f>
        <v>42.655183620409488</v>
      </c>
      <c r="S19" s="201">
        <f>Data!AF17/S$2*100000</f>
        <v>27.88905227929618</v>
      </c>
      <c r="T19" s="201">
        <f>Data!AG17/T$2*100000</f>
        <v>40.049661580359647</v>
      </c>
      <c r="U19" s="201">
        <f>Data!AH17/U$2*100000</f>
        <v>41.80602006688963</v>
      </c>
      <c r="V19" s="201">
        <f>Data!D17/V$2*100000</f>
        <v>12.878147559887088</v>
      </c>
      <c r="W19" s="178"/>
    </row>
    <row r="20" spans="1:23" ht="12" customHeight="1">
      <c r="A20" s="178"/>
      <c r="B20" s="197" t="str">
        <f>UPPER(LEFT(TRIM(Data!B18),1)) &amp; MID(TRIM(Data!B18),2,50)</f>
        <v>Plaučių, trachėjos, bronchų</v>
      </c>
      <c r="C20" s="198" t="str">
        <f>Data!C18</f>
        <v>C33, C34</v>
      </c>
      <c r="D20" s="202">
        <f>Data!Q18/D$2*100000</f>
        <v>0</v>
      </c>
      <c r="E20" s="202">
        <f>Data!R18/E$2*100000</f>
        <v>0</v>
      </c>
      <c r="F20" s="202">
        <f>Data!S18/F$2*100000</f>
        <v>0</v>
      </c>
      <c r="G20" s="202">
        <f>Data!T18/G$2*100000</f>
        <v>0</v>
      </c>
      <c r="H20" s="202">
        <f>Data!U18/H$2*100000</f>
        <v>0</v>
      </c>
      <c r="I20" s="202">
        <f>Data!V18/I$2*100000</f>
        <v>1.0008106566318717</v>
      </c>
      <c r="J20" s="202">
        <f>Data!W18/J$2*100000</f>
        <v>2.2376120204517735</v>
      </c>
      <c r="K20" s="202">
        <f>Data!X18/K$2*100000</f>
        <v>2.2420770601885587</v>
      </c>
      <c r="L20" s="202">
        <f>Data!Y18/L$2*100000</f>
        <v>13.197299629460433</v>
      </c>
      <c r="M20" s="202">
        <f>Data!Z18/M$2*100000</f>
        <v>25.869874531108522</v>
      </c>
      <c r="N20" s="202">
        <f>Data!AA18/N$2*100000</f>
        <v>70.015753544547522</v>
      </c>
      <c r="O20" s="202">
        <f>Data!AB18/O$2*100000</f>
        <v>143.47666616323977</v>
      </c>
      <c r="P20" s="202">
        <f>Data!AC18/P$2*100000</f>
        <v>296.52309432192754</v>
      </c>
      <c r="Q20" s="202">
        <f>Data!AD18/Q$2*100000</f>
        <v>344.32141497979376</v>
      </c>
      <c r="R20" s="202">
        <f>Data!AE18/R$2*100000</f>
        <v>434.67663308417292</v>
      </c>
      <c r="S20" s="202">
        <f>Data!AF18/S$2*100000</f>
        <v>443.68946807971196</v>
      </c>
      <c r="T20" s="202">
        <f>Data!AG18/T$2*100000</f>
        <v>368.45688653930875</v>
      </c>
      <c r="U20" s="202">
        <f>Data!AH18/U$2*100000</f>
        <v>257.80379041248608</v>
      </c>
      <c r="V20" s="202">
        <f>Data!D18/V$2*100000</f>
        <v>87.038514542685135</v>
      </c>
      <c r="W20" s="178"/>
    </row>
    <row r="21" spans="1:23" ht="12" customHeight="1">
      <c r="A21" s="178"/>
      <c r="B21" s="183" t="str">
        <f>UPPER(LEFT(TRIM(Data!B19),1)) &amp; MID(TRIM(Data!B19),2,50)</f>
        <v>Kitų kvėpavimo sistemos organų</v>
      </c>
      <c r="C21" s="184" t="str">
        <f>Data!C19</f>
        <v>C37-C39</v>
      </c>
      <c r="D21" s="201">
        <f>Data!Q19/D$2*100000</f>
        <v>1.2945151393545549</v>
      </c>
      <c r="E21" s="201">
        <f>Data!R19/E$2*100000</f>
        <v>0</v>
      </c>
      <c r="F21" s="201">
        <f>Data!S19/F$2*100000</f>
        <v>0</v>
      </c>
      <c r="G21" s="201">
        <f>Data!T19/G$2*100000</f>
        <v>0</v>
      </c>
      <c r="H21" s="201">
        <f>Data!U19/H$2*100000</f>
        <v>0</v>
      </c>
      <c r="I21" s="201">
        <f>Data!V19/I$2*100000</f>
        <v>0</v>
      </c>
      <c r="J21" s="201">
        <f>Data!W19/J$2*100000</f>
        <v>1.1188060102258868</v>
      </c>
      <c r="K21" s="201">
        <f>Data!X19/K$2*100000</f>
        <v>0</v>
      </c>
      <c r="L21" s="201">
        <f>Data!Y19/L$2*100000</f>
        <v>1.0151768945738795</v>
      </c>
      <c r="M21" s="201">
        <f>Data!Z19/M$2*100000</f>
        <v>0.99499517427340478</v>
      </c>
      <c r="N21" s="201">
        <f>Data!AA19/N$2*100000</f>
        <v>0.92125991505983573</v>
      </c>
      <c r="O21" s="201">
        <f>Data!AB19/O$2*100000</f>
        <v>2.1575438520787937</v>
      </c>
      <c r="P21" s="201">
        <f>Data!AC19/P$2*100000</f>
        <v>2.7583543657853724</v>
      </c>
      <c r="Q21" s="201">
        <f>Data!AD19/Q$2*100000</f>
        <v>0</v>
      </c>
      <c r="R21" s="201">
        <f>Data!AE19/R$2*100000</f>
        <v>2.0311992200194995</v>
      </c>
      <c r="S21" s="201">
        <f>Data!AF19/S$2*100000</f>
        <v>2.5353683890269259</v>
      </c>
      <c r="T21" s="201">
        <f>Data!AG19/T$2*100000</f>
        <v>0</v>
      </c>
      <c r="U21" s="201">
        <f>Data!AH19/U$2*100000</f>
        <v>0</v>
      </c>
      <c r="V21" s="201">
        <f>Data!D19/V$2*100000</f>
        <v>0.81413576528021803</v>
      </c>
      <c r="W21" s="178"/>
    </row>
    <row r="22" spans="1:23" ht="12" customHeight="1">
      <c r="A22" s="178"/>
      <c r="B22" s="197" t="str">
        <f>UPPER(LEFT(TRIM(Data!B20),1)) &amp; MID(TRIM(Data!B20),2,50)</f>
        <v>Kaulų ir jungiamojo audinio</v>
      </c>
      <c r="C22" s="198" t="str">
        <f>Data!C20</f>
        <v>C40-C41, C45-C47, C49</v>
      </c>
      <c r="D22" s="202">
        <f>Data!Q20/D$2*100000</f>
        <v>5.1780605574182195</v>
      </c>
      <c r="E22" s="202">
        <f>Data!R20/E$2*100000</f>
        <v>2.8599210661785732</v>
      </c>
      <c r="F22" s="202">
        <f>Data!S20/F$2*100000</f>
        <v>1.3888503097136191</v>
      </c>
      <c r="G22" s="202">
        <f>Data!T20/G$2*100000</f>
        <v>1.1200089600716805</v>
      </c>
      <c r="H22" s="202">
        <f>Data!U20/H$2*100000</f>
        <v>0</v>
      </c>
      <c r="I22" s="202">
        <f>Data!V20/I$2*100000</f>
        <v>3.0024319698956154</v>
      </c>
      <c r="J22" s="202">
        <f>Data!W20/J$2*100000</f>
        <v>4.4752240409035471</v>
      </c>
      <c r="K22" s="202">
        <f>Data!X20/K$2*100000</f>
        <v>4.4841541203771174</v>
      </c>
      <c r="L22" s="202">
        <f>Data!Y20/L$2*100000</f>
        <v>3.0455306837216383</v>
      </c>
      <c r="M22" s="202">
        <f>Data!Z20/M$2*100000</f>
        <v>3.9799806970936191</v>
      </c>
      <c r="N22" s="202">
        <f>Data!AA20/N$2*100000</f>
        <v>5.5275594903590148</v>
      </c>
      <c r="O22" s="202">
        <f>Data!AB20/O$2*100000</f>
        <v>5.3938596301969834</v>
      </c>
      <c r="P22" s="202">
        <f>Data!AC20/P$2*100000</f>
        <v>6.895885914463431</v>
      </c>
      <c r="Q22" s="202">
        <f>Data!AD20/Q$2*100000</f>
        <v>5.436653920733586</v>
      </c>
      <c r="R22" s="202">
        <f>Data!AE20/R$2*100000</f>
        <v>8.1247968800779979</v>
      </c>
      <c r="S22" s="202">
        <f>Data!AF20/S$2*100000</f>
        <v>12.676841945134628</v>
      </c>
      <c r="T22" s="202">
        <f>Data!AG20/T$2*100000</f>
        <v>24.029796948215786</v>
      </c>
      <c r="U22" s="202">
        <f>Data!AH20/U$2*100000</f>
        <v>13.935340022296543</v>
      </c>
      <c r="V22" s="202">
        <f>Data!D20/V$2*100000</f>
        <v>4.5887652224885027</v>
      </c>
      <c r="W22" s="178"/>
    </row>
    <row r="23" spans="1:23" ht="12" customHeight="1">
      <c r="A23" s="178"/>
      <c r="B23" s="183" t="str">
        <f>UPPER(LEFT(TRIM(Data!B21),1)) &amp; MID(TRIM(Data!B21),2,50)</f>
        <v>Odos melanoma</v>
      </c>
      <c r="C23" s="184" t="str">
        <f>Data!C21</f>
        <v>C43</v>
      </c>
      <c r="D23" s="201">
        <f>Data!Q21/D$2*100000</f>
        <v>0</v>
      </c>
      <c r="E23" s="201">
        <f>Data!R21/E$2*100000</f>
        <v>0</v>
      </c>
      <c r="F23" s="201">
        <f>Data!S21/F$2*100000</f>
        <v>0</v>
      </c>
      <c r="G23" s="201">
        <f>Data!T21/G$2*100000</f>
        <v>1.1200089600716805</v>
      </c>
      <c r="H23" s="201">
        <f>Data!U21/H$2*100000</f>
        <v>0</v>
      </c>
      <c r="I23" s="201">
        <f>Data!V21/I$2*100000</f>
        <v>1.0008106566318717</v>
      </c>
      <c r="J23" s="201">
        <f>Data!W21/J$2*100000</f>
        <v>1.1188060102258868</v>
      </c>
      <c r="K23" s="201">
        <f>Data!X21/K$2*100000</f>
        <v>7.8472697106599556</v>
      </c>
      <c r="L23" s="201">
        <f>Data!Y21/L$2*100000</f>
        <v>5.0758844728693973</v>
      </c>
      <c r="M23" s="201">
        <f>Data!Z21/M$2*100000</f>
        <v>6.9649662199138334</v>
      </c>
      <c r="N23" s="201">
        <f>Data!AA21/N$2*100000</f>
        <v>11.05511898071803</v>
      </c>
      <c r="O23" s="201">
        <f>Data!AB21/O$2*100000</f>
        <v>11.866491186433365</v>
      </c>
      <c r="P23" s="201">
        <f>Data!AC21/P$2*100000</f>
        <v>16.550126194712234</v>
      </c>
      <c r="Q23" s="201">
        <f>Data!AD21/Q$2*100000</f>
        <v>18.122179735778619</v>
      </c>
      <c r="R23" s="201">
        <f>Data!AE21/R$2*100000</f>
        <v>22.343191420214495</v>
      </c>
      <c r="S23" s="201">
        <f>Data!AF21/S$2*100000</f>
        <v>32.959789057350029</v>
      </c>
      <c r="T23" s="201">
        <f>Data!AG21/T$2*100000</f>
        <v>44.05462773839561</v>
      </c>
      <c r="U23" s="201">
        <f>Data!AH21/U$2*100000</f>
        <v>41.80602006688963</v>
      </c>
      <c r="V23" s="201">
        <f>Data!D21/V$2*100000</f>
        <v>7.9933329682057783</v>
      </c>
      <c r="W23" s="178"/>
    </row>
    <row r="24" spans="1:23" ht="12" customHeight="1">
      <c r="A24" s="178"/>
      <c r="B24" s="197" t="str">
        <f>UPPER(LEFT(TRIM(Data!B22),1)) &amp; MID(TRIM(Data!B22),2,50)</f>
        <v>Kiti odos piktybiniai navikai</v>
      </c>
      <c r="C24" s="198" t="str">
        <f>Data!C22</f>
        <v>C44</v>
      </c>
      <c r="D24" s="202">
        <f>Data!Q22/D$2*100000</f>
        <v>0</v>
      </c>
      <c r="E24" s="202">
        <f>Data!R22/E$2*100000</f>
        <v>0</v>
      </c>
      <c r="F24" s="202">
        <f>Data!S22/F$2*100000</f>
        <v>0</v>
      </c>
      <c r="G24" s="202">
        <f>Data!T22/G$2*100000</f>
        <v>1.1200089600716805</v>
      </c>
      <c r="H24" s="202">
        <f>Data!U22/H$2*100000</f>
        <v>2.7721564605106312</v>
      </c>
      <c r="I24" s="202">
        <f>Data!V22/I$2*100000</f>
        <v>3.0024319698956154</v>
      </c>
      <c r="J24" s="202">
        <f>Data!W22/J$2*100000</f>
        <v>8.9504480818070942</v>
      </c>
      <c r="K24" s="202">
        <f>Data!X22/K$2*100000</f>
        <v>11.210385300942793</v>
      </c>
      <c r="L24" s="202">
        <f>Data!Y22/L$2*100000</f>
        <v>18.273184102329832</v>
      </c>
      <c r="M24" s="202">
        <f>Data!Z22/M$2*100000</f>
        <v>22.884889008288312</v>
      </c>
      <c r="N24" s="202">
        <f>Data!AA22/N$2*100000</f>
        <v>35.007876772273761</v>
      </c>
      <c r="O24" s="202">
        <f>Data!AB22/O$2*100000</f>
        <v>94.931929491466917</v>
      </c>
      <c r="P24" s="202">
        <f>Data!AC22/P$2*100000</f>
        <v>128.26347800901982</v>
      </c>
      <c r="Q24" s="202">
        <f>Data!AD22/Q$2*100000</f>
        <v>193.90732317283121</v>
      </c>
      <c r="R24" s="202">
        <f>Data!AE22/R$2*100000</f>
        <v>274.21189470263243</v>
      </c>
      <c r="S24" s="202">
        <f>Data!AF22/S$2*100000</f>
        <v>415.80041580041581</v>
      </c>
      <c r="T24" s="202">
        <f>Data!AG22/T$2*100000</f>
        <v>432.53634506788421</v>
      </c>
      <c r="U24" s="202">
        <f>Data!AH22/U$2*100000</f>
        <v>473.80156075808247</v>
      </c>
      <c r="V24" s="202">
        <f>Data!D22/V$2*100000</f>
        <v>64.168700772540831</v>
      </c>
      <c r="W24" s="178"/>
    </row>
    <row r="25" spans="1:23" ht="12" customHeight="1">
      <c r="A25" s="178"/>
      <c r="B25" s="183" t="str">
        <f>UPPER(LEFT(TRIM(Data!B23),1)) &amp; MID(TRIM(Data!B23),2,50)</f>
        <v>Krūties</v>
      </c>
      <c r="C25" s="184" t="str">
        <f>Data!C23</f>
        <v>C50</v>
      </c>
      <c r="D25" s="201">
        <f>Data!Q23/D$2*100000</f>
        <v>0</v>
      </c>
      <c r="E25" s="201">
        <f>Data!R23/E$2*100000</f>
        <v>0</v>
      </c>
      <c r="F25" s="201">
        <f>Data!S23/F$2*100000</f>
        <v>0</v>
      </c>
      <c r="G25" s="201">
        <f>Data!T23/G$2*100000</f>
        <v>0</v>
      </c>
      <c r="H25" s="201">
        <f>Data!U23/H$2*100000</f>
        <v>0</v>
      </c>
      <c r="I25" s="201">
        <f>Data!V23/I$2*100000</f>
        <v>0</v>
      </c>
      <c r="J25" s="201">
        <f>Data!W23/J$2*100000</f>
        <v>0</v>
      </c>
      <c r="K25" s="201">
        <f>Data!X23/K$2*100000</f>
        <v>1.1210385300942793</v>
      </c>
      <c r="L25" s="201">
        <f>Data!Y23/L$2*100000</f>
        <v>0</v>
      </c>
      <c r="M25" s="201">
        <f>Data!Z23/M$2*100000</f>
        <v>0</v>
      </c>
      <c r="N25" s="201">
        <f>Data!AA23/N$2*100000</f>
        <v>0.92125991505983573</v>
      </c>
      <c r="O25" s="201">
        <f>Data!AB23/O$2*100000</f>
        <v>2.1575438520787937</v>
      </c>
      <c r="P25" s="201">
        <f>Data!AC23/P$2*100000</f>
        <v>0</v>
      </c>
      <c r="Q25" s="201">
        <f>Data!AD23/Q$2*100000</f>
        <v>3.6244359471557237</v>
      </c>
      <c r="R25" s="201">
        <f>Data!AE23/R$2*100000</f>
        <v>8.1247968800779979</v>
      </c>
      <c r="S25" s="201">
        <f>Data!AF23/S$2*100000</f>
        <v>10.141473556107703</v>
      </c>
      <c r="T25" s="201">
        <f>Data!AG23/T$2*100000</f>
        <v>0</v>
      </c>
      <c r="U25" s="201">
        <f>Data!AH23/U$2*100000</f>
        <v>0</v>
      </c>
      <c r="V25" s="201">
        <f>Data!D23/V$2*100000</f>
        <v>1.0361727921748232</v>
      </c>
      <c r="W25" s="178"/>
    </row>
    <row r="26" spans="1:23" ht="12" customHeight="1">
      <c r="A26" s="178"/>
      <c r="B26" s="197" t="str">
        <f>UPPER(LEFT(TRIM(Data!B28),1)) &amp; MID(TRIM(Data!B28),2,50)</f>
        <v>Priešinės liaukos</v>
      </c>
      <c r="C26" s="198" t="str">
        <f>Data!C28</f>
        <v>C61</v>
      </c>
      <c r="D26" s="202">
        <f>Data!Q28/D$2*100000</f>
        <v>0</v>
      </c>
      <c r="E26" s="202">
        <f>Data!R28/E$2*100000</f>
        <v>0</v>
      </c>
      <c r="F26" s="202">
        <f>Data!S28/F$2*100000</f>
        <v>0</v>
      </c>
      <c r="G26" s="202">
        <f>Data!T28/G$2*100000</f>
        <v>0</v>
      </c>
      <c r="H26" s="202">
        <f>Data!U28/H$2*100000</f>
        <v>0</v>
      </c>
      <c r="I26" s="202">
        <f>Data!V28/I$2*100000</f>
        <v>0</v>
      </c>
      <c r="J26" s="202">
        <f>Data!W28/J$2*100000</f>
        <v>0</v>
      </c>
      <c r="K26" s="202">
        <f>Data!X28/K$2*100000</f>
        <v>0</v>
      </c>
      <c r="L26" s="202">
        <f>Data!Y28/L$2*100000</f>
        <v>8.121415156591036</v>
      </c>
      <c r="M26" s="202">
        <f>Data!Z28/M$2*100000</f>
        <v>28.854860053928736</v>
      </c>
      <c r="N26" s="202">
        <f>Data!AA28/N$2*100000</f>
        <v>266.24411545229253</v>
      </c>
      <c r="O26" s="202">
        <f>Data!AB28/O$2*100000</f>
        <v>495.15631405208313</v>
      </c>
      <c r="P26" s="202">
        <f>Data!AC28/P$2*100000</f>
        <v>795.78523452907996</v>
      </c>
      <c r="Q26" s="202">
        <f>Data!AD28/Q$2*100000</f>
        <v>1143.5095413276308</v>
      </c>
      <c r="R26" s="202">
        <f>Data!AE28/R$2*100000</f>
        <v>1293.8739031524212</v>
      </c>
      <c r="S26" s="202">
        <f>Data!AF28/S$2*100000</f>
        <v>758.07514831905075</v>
      </c>
      <c r="T26" s="202">
        <f>Data!AG28/T$2*100000</f>
        <v>817.01309623933673</v>
      </c>
      <c r="U26" s="202">
        <f>Data!AH28/U$2*100000</f>
        <v>675.86399108138244</v>
      </c>
      <c r="V26" s="202">
        <f>Data!D28/V$2*100000</f>
        <v>239.05986562319134</v>
      </c>
      <c r="W26" s="178"/>
    </row>
    <row r="27" spans="1:23" ht="12" customHeight="1">
      <c r="A27" s="178"/>
      <c r="B27" s="183" t="str">
        <f>UPPER(LEFT(TRIM(Data!B29),1)) &amp; MID(TRIM(Data!B29),2,50)</f>
        <v>Sėklidžių</v>
      </c>
      <c r="C27" s="184" t="str">
        <f>Data!C29</f>
        <v>C62</v>
      </c>
      <c r="D27" s="201">
        <f>Data!Q29/D$2*100000</f>
        <v>0</v>
      </c>
      <c r="E27" s="201">
        <f>Data!R29/E$2*100000</f>
        <v>0</v>
      </c>
      <c r="F27" s="201">
        <f>Data!S29/F$2*100000</f>
        <v>0</v>
      </c>
      <c r="G27" s="201">
        <f>Data!T29/G$2*100000</f>
        <v>4.480035840286722</v>
      </c>
      <c r="H27" s="201">
        <f>Data!U29/H$2*100000</f>
        <v>2.7721564605106312</v>
      </c>
      <c r="I27" s="201">
        <f>Data!V29/I$2*100000</f>
        <v>7.0056745964231029</v>
      </c>
      <c r="J27" s="201">
        <f>Data!W29/J$2*100000</f>
        <v>5.594030051129435</v>
      </c>
      <c r="K27" s="201">
        <f>Data!X29/K$2*100000</f>
        <v>2.2420770601885587</v>
      </c>
      <c r="L27" s="201">
        <f>Data!Y29/L$2*100000</f>
        <v>5.0758844728693973</v>
      </c>
      <c r="M27" s="201">
        <f>Data!Z29/M$2*100000</f>
        <v>1.9899903485468096</v>
      </c>
      <c r="N27" s="201">
        <f>Data!AA29/N$2*100000</f>
        <v>1.8425198301196715</v>
      </c>
      <c r="O27" s="201">
        <f>Data!AB29/O$2*100000</f>
        <v>1.0787719260393969</v>
      </c>
      <c r="P27" s="201">
        <f>Data!AC29/P$2*100000</f>
        <v>0</v>
      </c>
      <c r="Q27" s="201">
        <f>Data!AD29/Q$2*100000</f>
        <v>0</v>
      </c>
      <c r="R27" s="201">
        <f>Data!AE29/R$2*100000</f>
        <v>0</v>
      </c>
      <c r="S27" s="201">
        <f>Data!AF29/S$2*100000</f>
        <v>0</v>
      </c>
      <c r="T27" s="201">
        <f>Data!AG29/T$2*100000</f>
        <v>0</v>
      </c>
      <c r="U27" s="201">
        <f>Data!AH29/U$2*100000</f>
        <v>0</v>
      </c>
      <c r="V27" s="201">
        <f>Data!D29/V$2*100000</f>
        <v>2.2943826112442514</v>
      </c>
      <c r="W27" s="178"/>
    </row>
    <row r="28" spans="1:23" ht="12" customHeight="1">
      <c r="A28" s="178"/>
      <c r="B28" s="197" t="str">
        <f>UPPER(LEFT(TRIM(Data!B30),1)) &amp; MID(TRIM(Data!B30),2,50)</f>
        <v>Kitų lyties organų</v>
      </c>
      <c r="C28" s="198" t="s">
        <v>417</v>
      </c>
      <c r="D28" s="202">
        <f>Data!Q30/D$2*100000</f>
        <v>0</v>
      </c>
      <c r="E28" s="202">
        <f>Data!R30/E$2*100000</f>
        <v>0</v>
      </c>
      <c r="F28" s="202">
        <f>Data!S30/F$2*100000</f>
        <v>0</v>
      </c>
      <c r="G28" s="202">
        <f>Data!T30/G$2*100000</f>
        <v>0</v>
      </c>
      <c r="H28" s="202">
        <f>Data!U30/H$2*100000</f>
        <v>0</v>
      </c>
      <c r="I28" s="202">
        <f>Data!V30/I$2*100000</f>
        <v>0</v>
      </c>
      <c r="J28" s="202">
        <f>Data!W30/J$2*100000</f>
        <v>1.1188060102258868</v>
      </c>
      <c r="K28" s="202">
        <f>Data!X30/K$2*100000</f>
        <v>0</v>
      </c>
      <c r="L28" s="202">
        <f>Data!Y30/L$2*100000</f>
        <v>0</v>
      </c>
      <c r="M28" s="202">
        <f>Data!Z30/M$2*100000</f>
        <v>0.99499517427340478</v>
      </c>
      <c r="N28" s="202">
        <f>Data!AA30/N$2*100000</f>
        <v>0.92125991505983573</v>
      </c>
      <c r="O28" s="202">
        <f>Data!AB30/O$2*100000</f>
        <v>1.0787719260393969</v>
      </c>
      <c r="P28" s="202">
        <f>Data!AC30/P$2*100000</f>
        <v>5.5167087315707448</v>
      </c>
      <c r="Q28" s="202">
        <f>Data!AD30/Q$2*100000</f>
        <v>5.436653920733586</v>
      </c>
      <c r="R28" s="202">
        <f>Data!AE30/R$2*100000</f>
        <v>12.187195320116997</v>
      </c>
      <c r="S28" s="202">
        <f>Data!AF30/S$2*100000</f>
        <v>2.5353683890269259</v>
      </c>
      <c r="T28" s="202">
        <f>Data!AG30/T$2*100000</f>
        <v>4.0049661580359643</v>
      </c>
      <c r="U28" s="202">
        <f>Data!AH30/U$2*100000</f>
        <v>13.935340022296543</v>
      </c>
      <c r="V28" s="202">
        <f>Data!D30/V$2*100000</f>
        <v>1.5542591882622345</v>
      </c>
      <c r="W28" s="178"/>
    </row>
    <row r="29" spans="1:23" ht="12" customHeight="1">
      <c r="A29" s="178"/>
      <c r="B29" s="183" t="str">
        <f>UPPER(LEFT(TRIM(Data!B31),1)) &amp; MID(TRIM(Data!B31),2,50)</f>
        <v>Inkstų</v>
      </c>
      <c r="C29" s="184" t="str">
        <f>Data!C31</f>
        <v>C64</v>
      </c>
      <c r="D29" s="201">
        <f>Data!Q31/D$2*100000</f>
        <v>0</v>
      </c>
      <c r="E29" s="201">
        <f>Data!R31/E$2*100000</f>
        <v>1.4299605330892866</v>
      </c>
      <c r="F29" s="201">
        <f>Data!S31/F$2*100000</f>
        <v>0</v>
      </c>
      <c r="G29" s="201">
        <f>Data!T31/G$2*100000</f>
        <v>0</v>
      </c>
      <c r="H29" s="201">
        <f>Data!U31/H$2*100000</f>
        <v>0</v>
      </c>
      <c r="I29" s="201">
        <f>Data!V31/I$2*100000</f>
        <v>1.0008106566318717</v>
      </c>
      <c r="J29" s="201">
        <f>Data!W31/J$2*100000</f>
        <v>5.594030051129435</v>
      </c>
      <c r="K29" s="201">
        <f>Data!X31/K$2*100000</f>
        <v>7.8472697106599556</v>
      </c>
      <c r="L29" s="201">
        <f>Data!Y31/L$2*100000</f>
        <v>13.197299629460433</v>
      </c>
      <c r="M29" s="201">
        <f>Data!Z31/M$2*100000</f>
        <v>22.884889008288312</v>
      </c>
      <c r="N29" s="201">
        <f>Data!AA31/N$2*100000</f>
        <v>23.952757791555733</v>
      </c>
      <c r="O29" s="201">
        <f>Data!AB31/O$2*100000</f>
        <v>70.120175192560779</v>
      </c>
      <c r="P29" s="201">
        <f>Data!AC31/P$2*100000</f>
        <v>79.992276607775793</v>
      </c>
      <c r="Q29" s="201">
        <f>Data!AD31/Q$2*100000</f>
        <v>132.29191207118393</v>
      </c>
      <c r="R29" s="201">
        <f>Data!AE31/R$2*100000</f>
        <v>129.99675008124797</v>
      </c>
      <c r="S29" s="201">
        <f>Data!AF31/S$2*100000</f>
        <v>109.02084072815781</v>
      </c>
      <c r="T29" s="201">
        <f>Data!AG31/T$2*100000</f>
        <v>128.15891705715086</v>
      </c>
      <c r="U29" s="201">
        <f>Data!AH31/U$2*100000</f>
        <v>69.676700111482731</v>
      </c>
      <c r="V29" s="201">
        <f>Data!D31/V$2*100000</f>
        <v>31.159196107542893</v>
      </c>
      <c r="W29" s="178"/>
    </row>
    <row r="30" spans="1:23" ht="12" customHeight="1">
      <c r="A30" s="178"/>
      <c r="B30" s="197" t="str">
        <f>UPPER(LEFT(TRIM(Data!B32),1)) &amp; MID(TRIM(Data!B32),2,50)</f>
        <v>Šlapimo pūslės</v>
      </c>
      <c r="C30" s="198" t="str">
        <f>Data!C32</f>
        <v>C67</v>
      </c>
      <c r="D30" s="202">
        <f>Data!Q32/D$2*100000</f>
        <v>0</v>
      </c>
      <c r="E30" s="202">
        <f>Data!R32/E$2*100000</f>
        <v>0</v>
      </c>
      <c r="F30" s="202">
        <f>Data!S32/F$2*100000</f>
        <v>0</v>
      </c>
      <c r="G30" s="202">
        <f>Data!T32/G$2*100000</f>
        <v>0</v>
      </c>
      <c r="H30" s="202">
        <f>Data!U32/H$2*100000</f>
        <v>0</v>
      </c>
      <c r="I30" s="202">
        <f>Data!V32/I$2*100000</f>
        <v>0</v>
      </c>
      <c r="J30" s="202">
        <f>Data!W32/J$2*100000</f>
        <v>2.2376120204517735</v>
      </c>
      <c r="K30" s="202">
        <f>Data!X32/K$2*100000</f>
        <v>2.2420770601885587</v>
      </c>
      <c r="L30" s="202">
        <f>Data!Y32/L$2*100000</f>
        <v>2.030353789147759</v>
      </c>
      <c r="M30" s="202">
        <f>Data!Z32/M$2*100000</f>
        <v>7.9599613941872382</v>
      </c>
      <c r="N30" s="202">
        <f>Data!AA32/N$2*100000</f>
        <v>10.133859065658195</v>
      </c>
      <c r="O30" s="202">
        <f>Data!AB32/O$2*100000</f>
        <v>20.49666659474854</v>
      </c>
      <c r="P30" s="202">
        <f>Data!AC32/P$2*100000</f>
        <v>35.858606755209841</v>
      </c>
      <c r="Q30" s="202">
        <f>Data!AD32/Q$2*100000</f>
        <v>83.362026784581644</v>
      </c>
      <c r="R30" s="202">
        <f>Data!AE32/R$2*100000</f>
        <v>93.435164120896971</v>
      </c>
      <c r="S30" s="202">
        <f>Data!AF32/S$2*100000</f>
        <v>114.09157750621165</v>
      </c>
      <c r="T30" s="202">
        <f>Data!AG32/T$2*100000</f>
        <v>152.18871400536665</v>
      </c>
      <c r="U30" s="202">
        <f>Data!AH32/U$2*100000</f>
        <v>188.12709030100334</v>
      </c>
      <c r="V30" s="202">
        <f>Data!D32/V$2*100000</f>
        <v>20.131357105110848</v>
      </c>
      <c r="W30" s="178"/>
    </row>
    <row r="31" spans="1:23" ht="12" customHeight="1">
      <c r="A31" s="178"/>
      <c r="B31" s="183" t="str">
        <f>UPPER(LEFT(TRIM(Data!B33),1)) &amp; MID(TRIM(Data!B33),2,50)</f>
        <v>Kitų šlapimą išskiriančių organų</v>
      </c>
      <c r="C31" s="184" t="str">
        <f>Data!C33</f>
        <v>C65, C66, C68</v>
      </c>
      <c r="D31" s="201">
        <f>Data!Q33/D$2*100000</f>
        <v>0</v>
      </c>
      <c r="E31" s="201">
        <f>Data!R33/E$2*100000</f>
        <v>0</v>
      </c>
      <c r="F31" s="201">
        <f>Data!S33/F$2*100000</f>
        <v>0</v>
      </c>
      <c r="G31" s="201">
        <f>Data!T33/G$2*100000</f>
        <v>0</v>
      </c>
      <c r="H31" s="201">
        <f>Data!U33/H$2*100000</f>
        <v>0</v>
      </c>
      <c r="I31" s="201">
        <f>Data!V33/I$2*100000</f>
        <v>0</v>
      </c>
      <c r="J31" s="201">
        <f>Data!W33/J$2*100000</f>
        <v>0</v>
      </c>
      <c r="K31" s="201">
        <f>Data!X33/K$2*100000</f>
        <v>1.1210385300942793</v>
      </c>
      <c r="L31" s="201">
        <f>Data!Y33/L$2*100000</f>
        <v>0</v>
      </c>
      <c r="M31" s="201">
        <f>Data!Z33/M$2*100000</f>
        <v>0</v>
      </c>
      <c r="N31" s="201">
        <f>Data!AA33/N$2*100000</f>
        <v>0.92125991505983573</v>
      </c>
      <c r="O31" s="201">
        <f>Data!AB33/O$2*100000</f>
        <v>1.0787719260393969</v>
      </c>
      <c r="P31" s="201">
        <f>Data!AC33/P$2*100000</f>
        <v>4.1375315486780586</v>
      </c>
      <c r="Q31" s="201">
        <f>Data!AD33/Q$2*100000</f>
        <v>3.6244359471557237</v>
      </c>
      <c r="R31" s="201">
        <f>Data!AE33/R$2*100000</f>
        <v>6.0935976600584985</v>
      </c>
      <c r="S31" s="201">
        <f>Data!AF33/S$2*100000</f>
        <v>12.676841945134628</v>
      </c>
      <c r="T31" s="201">
        <f>Data!AG33/T$2*100000</f>
        <v>4.0049661580359643</v>
      </c>
      <c r="U31" s="201">
        <f>Data!AH33/U$2*100000</f>
        <v>6.9676700111482717</v>
      </c>
      <c r="V31" s="201">
        <f>Data!D33/V$2*100000</f>
        <v>1.3322221613676297</v>
      </c>
      <c r="W31" s="178"/>
    </row>
    <row r="32" spans="1:23" ht="12" customHeight="1">
      <c r="A32" s="178"/>
      <c r="B32" s="197" t="str">
        <f>UPPER(LEFT(TRIM(Data!B34),1)) &amp; MID(TRIM(Data!B34),2,50)</f>
        <v>Akių</v>
      </c>
      <c r="C32" s="198" t="str">
        <f>Data!C34</f>
        <v>C69</v>
      </c>
      <c r="D32" s="202">
        <f>Data!Q34/D$2*100000</f>
        <v>1.2945151393545549</v>
      </c>
      <c r="E32" s="202">
        <f>Data!R34/E$2*100000</f>
        <v>0</v>
      </c>
      <c r="F32" s="202">
        <f>Data!S34/F$2*100000</f>
        <v>0</v>
      </c>
      <c r="G32" s="202">
        <f>Data!T34/G$2*100000</f>
        <v>0</v>
      </c>
      <c r="H32" s="202">
        <f>Data!U34/H$2*100000</f>
        <v>0</v>
      </c>
      <c r="I32" s="202">
        <f>Data!V34/I$2*100000</f>
        <v>0</v>
      </c>
      <c r="J32" s="202">
        <f>Data!W34/J$2*100000</f>
        <v>0</v>
      </c>
      <c r="K32" s="202">
        <f>Data!X34/K$2*100000</f>
        <v>1.1210385300942793</v>
      </c>
      <c r="L32" s="202">
        <f>Data!Y34/L$2*100000</f>
        <v>0</v>
      </c>
      <c r="M32" s="202">
        <f>Data!Z34/M$2*100000</f>
        <v>0.99499517427340478</v>
      </c>
      <c r="N32" s="202">
        <f>Data!AA34/N$2*100000</f>
        <v>0</v>
      </c>
      <c r="O32" s="202">
        <f>Data!AB34/O$2*100000</f>
        <v>0</v>
      </c>
      <c r="P32" s="202">
        <f>Data!AC34/P$2*100000</f>
        <v>0</v>
      </c>
      <c r="Q32" s="202">
        <f>Data!AD34/Q$2*100000</f>
        <v>0</v>
      </c>
      <c r="R32" s="202">
        <f>Data!AE34/R$2*100000</f>
        <v>8.1247968800779979</v>
      </c>
      <c r="S32" s="202">
        <f>Data!AF34/S$2*100000</f>
        <v>5.0707367780538517</v>
      </c>
      <c r="T32" s="202">
        <f>Data!AG34/T$2*100000</f>
        <v>4.0049661580359643</v>
      </c>
      <c r="U32" s="202">
        <f>Data!AH34/U$2*100000</f>
        <v>0</v>
      </c>
      <c r="V32" s="202">
        <f>Data!D34/V$2*100000</f>
        <v>0.7401234229820165</v>
      </c>
      <c r="W32" s="178"/>
    </row>
    <row r="33" spans="1:23" ht="12" customHeight="1">
      <c r="A33" s="178"/>
      <c r="B33" s="183" t="str">
        <f>UPPER(LEFT(TRIM(Data!B35),1)) &amp; MID(TRIM(Data!B35),2,50)</f>
        <v>Smegenų</v>
      </c>
      <c r="C33" s="184" t="str">
        <f>Data!C35</f>
        <v>C70-C72</v>
      </c>
      <c r="D33" s="201">
        <f>Data!Q35/D$2*100000</f>
        <v>3.8835454180636644</v>
      </c>
      <c r="E33" s="201">
        <f>Data!R35/E$2*100000</f>
        <v>4.2898815992678596</v>
      </c>
      <c r="F33" s="201">
        <f>Data!S35/F$2*100000</f>
        <v>4.1665509291408576</v>
      </c>
      <c r="G33" s="201">
        <f>Data!T35/G$2*100000</f>
        <v>1.1200089600716805</v>
      </c>
      <c r="H33" s="201">
        <f>Data!U35/H$2*100000</f>
        <v>1.8481043070070875</v>
      </c>
      <c r="I33" s="201">
        <f>Data!V35/I$2*100000</f>
        <v>1.0008106566318717</v>
      </c>
      <c r="J33" s="201">
        <f>Data!W35/J$2*100000</f>
        <v>4.4752240409035471</v>
      </c>
      <c r="K33" s="201">
        <f>Data!X35/K$2*100000</f>
        <v>4.4841541203771174</v>
      </c>
      <c r="L33" s="201">
        <f>Data!Y35/L$2*100000</f>
        <v>10.151768945738795</v>
      </c>
      <c r="M33" s="201">
        <f>Data!Z35/M$2*100000</f>
        <v>6.9649662199138334</v>
      </c>
      <c r="N33" s="201">
        <f>Data!AA35/N$2*100000</f>
        <v>17.50393838613688</v>
      </c>
      <c r="O33" s="201">
        <f>Data!AB35/O$2*100000</f>
        <v>14.024035038512158</v>
      </c>
      <c r="P33" s="201">
        <f>Data!AC35/P$2*100000</f>
        <v>15.17094901181955</v>
      </c>
      <c r="Q33" s="201">
        <f>Data!AD35/Q$2*100000</f>
        <v>30.807705550823655</v>
      </c>
      <c r="R33" s="201">
        <f>Data!AE35/R$2*100000</f>
        <v>34.530386740331487</v>
      </c>
      <c r="S33" s="201">
        <f>Data!AF35/S$2*100000</f>
        <v>40.565894224430814</v>
      </c>
      <c r="T33" s="201">
        <f>Data!AG35/T$2*100000</f>
        <v>52.064560054467542</v>
      </c>
      <c r="U33" s="201">
        <f>Data!AH35/U$2*100000</f>
        <v>13.935340022296543</v>
      </c>
      <c r="V33" s="201">
        <f>Data!D35/V$2*100000</f>
        <v>10.80580197553744</v>
      </c>
      <c r="W33" s="178"/>
    </row>
    <row r="34" spans="1:23" ht="12" customHeight="1">
      <c r="A34" s="178"/>
      <c r="B34" s="197" t="str">
        <f>UPPER(LEFT(TRIM(Data!B36),1)) &amp; MID(TRIM(Data!B36),2,50)</f>
        <v>Skydliaukės</v>
      </c>
      <c r="C34" s="198" t="str">
        <f>Data!C36</f>
        <v>C73</v>
      </c>
      <c r="D34" s="202">
        <f>Data!Q36/D$2*100000</f>
        <v>0</v>
      </c>
      <c r="E34" s="202">
        <f>Data!R36/E$2*100000</f>
        <v>0</v>
      </c>
      <c r="F34" s="202">
        <f>Data!S36/F$2*100000</f>
        <v>1.3888503097136191</v>
      </c>
      <c r="G34" s="202">
        <f>Data!T36/G$2*100000</f>
        <v>0</v>
      </c>
      <c r="H34" s="202">
        <f>Data!U36/H$2*100000</f>
        <v>2.7721564605106312</v>
      </c>
      <c r="I34" s="202">
        <f>Data!V36/I$2*100000</f>
        <v>1.0008106566318717</v>
      </c>
      <c r="J34" s="202">
        <f>Data!W36/J$2*100000</f>
        <v>3.356418030677661</v>
      </c>
      <c r="K34" s="202">
        <f>Data!X36/K$2*100000</f>
        <v>4.4841541203771174</v>
      </c>
      <c r="L34" s="202">
        <f>Data!Y36/L$2*100000</f>
        <v>3.0455306837216383</v>
      </c>
      <c r="M34" s="202">
        <f>Data!Z36/M$2*100000</f>
        <v>3.9799806970936191</v>
      </c>
      <c r="N34" s="202">
        <f>Data!AA36/N$2*100000</f>
        <v>9.2125991505983595</v>
      </c>
      <c r="O34" s="202">
        <f>Data!AB36/O$2*100000</f>
        <v>5.3938596301969834</v>
      </c>
      <c r="P34" s="202">
        <f>Data!AC36/P$2*100000</f>
        <v>6.895885914463431</v>
      </c>
      <c r="Q34" s="202">
        <f>Data!AD36/Q$2*100000</f>
        <v>10.873307841467172</v>
      </c>
      <c r="R34" s="202">
        <f>Data!AE36/R$2*100000</f>
        <v>8.1247968800779979</v>
      </c>
      <c r="S34" s="202">
        <f>Data!AF36/S$2*100000</f>
        <v>10.141473556107703</v>
      </c>
      <c r="T34" s="202">
        <f>Data!AG36/T$2*100000</f>
        <v>0</v>
      </c>
      <c r="U34" s="202">
        <f>Data!AH36/U$2*100000</f>
        <v>0</v>
      </c>
      <c r="V34" s="202">
        <f>Data!D36/V$2*100000</f>
        <v>3.9226541418046872</v>
      </c>
      <c r="W34" s="178"/>
    </row>
    <row r="35" spans="1:23" ht="12" customHeight="1">
      <c r="A35" s="178"/>
      <c r="B35" s="183" t="str">
        <f>UPPER(LEFT(TRIM(Data!B37),1)) &amp; MID(TRIM(Data!B37),2,50)</f>
        <v>Kitų endokrininių liaukų</v>
      </c>
      <c r="C35" s="184" t="str">
        <f>Data!C37</f>
        <v>C74-C75</v>
      </c>
      <c r="D35" s="201">
        <f>Data!Q37/D$2*100000</f>
        <v>3.8835454180636644</v>
      </c>
      <c r="E35" s="201">
        <f>Data!R37/E$2*100000</f>
        <v>1.4299605330892866</v>
      </c>
      <c r="F35" s="201">
        <f>Data!S37/F$2*100000</f>
        <v>0</v>
      </c>
      <c r="G35" s="201">
        <f>Data!T37/G$2*100000</f>
        <v>0</v>
      </c>
      <c r="H35" s="201">
        <f>Data!U37/H$2*100000</f>
        <v>0</v>
      </c>
      <c r="I35" s="201">
        <f>Data!V37/I$2*100000</f>
        <v>0</v>
      </c>
      <c r="J35" s="201">
        <f>Data!W37/J$2*100000</f>
        <v>0</v>
      </c>
      <c r="K35" s="201">
        <f>Data!X37/K$2*100000</f>
        <v>1.1210385300942793</v>
      </c>
      <c r="L35" s="201">
        <f>Data!Y37/L$2*100000</f>
        <v>0</v>
      </c>
      <c r="M35" s="201">
        <f>Data!Z37/M$2*100000</f>
        <v>0</v>
      </c>
      <c r="N35" s="201">
        <f>Data!AA37/N$2*100000</f>
        <v>0.92125991505983573</v>
      </c>
      <c r="O35" s="201">
        <f>Data!AB37/O$2*100000</f>
        <v>0</v>
      </c>
      <c r="P35" s="201">
        <f>Data!AC37/P$2*100000</f>
        <v>1.3791771828926862</v>
      </c>
      <c r="Q35" s="201">
        <f>Data!AD37/Q$2*100000</f>
        <v>0</v>
      </c>
      <c r="R35" s="201">
        <f>Data!AE37/R$2*100000</f>
        <v>0</v>
      </c>
      <c r="S35" s="201">
        <f>Data!AF37/S$2*100000</f>
        <v>5.0707367780538517</v>
      </c>
      <c r="T35" s="201">
        <f>Data!AG37/T$2*100000</f>
        <v>0</v>
      </c>
      <c r="U35" s="201">
        <f>Data!AH37/U$2*100000</f>
        <v>0</v>
      </c>
      <c r="V35" s="201">
        <f>Data!D37/V$2*100000</f>
        <v>0.66611108068381486</v>
      </c>
      <c r="W35" s="178"/>
    </row>
    <row r="36" spans="1:23" ht="12" customHeight="1">
      <c r="A36" s="178"/>
      <c r="B36" s="197" t="str">
        <f>UPPER(LEFT(TRIM(Data!B38),1)) &amp; MID(TRIM(Data!B38),2,50)</f>
        <v>Nepatikslintos lokalizacijos</v>
      </c>
      <c r="C36" s="198" t="str">
        <f>Data!C38</f>
        <v>C76-C80</v>
      </c>
      <c r="D36" s="202">
        <f>Data!Q38/D$2*100000</f>
        <v>0</v>
      </c>
      <c r="E36" s="202">
        <f>Data!R38/E$2*100000</f>
        <v>0</v>
      </c>
      <c r="F36" s="202">
        <f>Data!S38/F$2*100000</f>
        <v>0</v>
      </c>
      <c r="G36" s="202">
        <f>Data!T38/G$2*100000</f>
        <v>0</v>
      </c>
      <c r="H36" s="202">
        <f>Data!U38/H$2*100000</f>
        <v>0.92405215350354375</v>
      </c>
      <c r="I36" s="202">
        <f>Data!V38/I$2*100000</f>
        <v>0</v>
      </c>
      <c r="J36" s="202">
        <f>Data!W38/J$2*100000</f>
        <v>0</v>
      </c>
      <c r="K36" s="202">
        <f>Data!X38/K$2*100000</f>
        <v>1.1210385300942793</v>
      </c>
      <c r="L36" s="202">
        <f>Data!Y38/L$2*100000</f>
        <v>2.030353789147759</v>
      </c>
      <c r="M36" s="202">
        <f>Data!Z38/M$2*100000</f>
        <v>6.9649662199138334</v>
      </c>
      <c r="N36" s="202">
        <f>Data!AA38/N$2*100000</f>
        <v>9.2125991505983595</v>
      </c>
      <c r="O36" s="202">
        <f>Data!AB38/O$2*100000</f>
        <v>17.26035081663035</v>
      </c>
      <c r="P36" s="202">
        <f>Data!AC38/P$2*100000</f>
        <v>44.133669852565959</v>
      </c>
      <c r="Q36" s="202">
        <f>Data!AD38/Q$2*100000</f>
        <v>57.990975154491579</v>
      </c>
      <c r="R36" s="202">
        <f>Data!AE38/R$2*100000</f>
        <v>83.279168020799474</v>
      </c>
      <c r="S36" s="202">
        <f>Data!AF38/S$2*100000</f>
        <v>109.02084072815781</v>
      </c>
      <c r="T36" s="202">
        <f>Data!AG38/T$2*100000</f>
        <v>120.14898474107893</v>
      </c>
      <c r="U36" s="202">
        <f>Data!AH38/U$2*100000</f>
        <v>132.38573021181716</v>
      </c>
      <c r="V36" s="202">
        <f>Data!D38/V$2*100000</f>
        <v>17.318888097779187</v>
      </c>
      <c r="W36" s="178"/>
    </row>
    <row r="37" spans="1:23" ht="12" customHeight="1">
      <c r="A37" s="178"/>
      <c r="B37" s="183" t="str">
        <f>UPPER(LEFT(TRIM(Data!B39),1)) &amp; MID(TRIM(Data!B39),2,50)</f>
        <v>Hodžkino limfomos</v>
      </c>
      <c r="C37" s="184" t="str">
        <f>Data!C39</f>
        <v>C81</v>
      </c>
      <c r="D37" s="201">
        <f>Data!Q39/D$2*100000</f>
        <v>0</v>
      </c>
      <c r="E37" s="201">
        <f>Data!R39/E$2*100000</f>
        <v>0</v>
      </c>
      <c r="F37" s="201">
        <f>Data!S39/F$2*100000</f>
        <v>1.3888503097136191</v>
      </c>
      <c r="G37" s="201">
        <f>Data!T39/G$2*100000</f>
        <v>4.480035840286722</v>
      </c>
      <c r="H37" s="201">
        <f>Data!U39/H$2*100000</f>
        <v>3.696208614014175</v>
      </c>
      <c r="I37" s="201">
        <f>Data!V39/I$2*100000</f>
        <v>0</v>
      </c>
      <c r="J37" s="201">
        <f>Data!W39/J$2*100000</f>
        <v>3.356418030677661</v>
      </c>
      <c r="K37" s="201">
        <f>Data!X39/K$2*100000</f>
        <v>2.2420770601885587</v>
      </c>
      <c r="L37" s="201">
        <f>Data!Y39/L$2*100000</f>
        <v>0</v>
      </c>
      <c r="M37" s="201">
        <f>Data!Z39/M$2*100000</f>
        <v>2.9849855228202142</v>
      </c>
      <c r="N37" s="201">
        <f>Data!AA39/N$2*100000</f>
        <v>1.8425198301196715</v>
      </c>
      <c r="O37" s="201">
        <f>Data!AB39/O$2*100000</f>
        <v>2.1575438520787937</v>
      </c>
      <c r="P37" s="201">
        <f>Data!AC39/P$2*100000</f>
        <v>1.3791771828926862</v>
      </c>
      <c r="Q37" s="201">
        <f>Data!AD39/Q$2*100000</f>
        <v>1.8122179735778619</v>
      </c>
      <c r="R37" s="201">
        <f>Data!AE39/R$2*100000</f>
        <v>0</v>
      </c>
      <c r="S37" s="201">
        <f>Data!AF39/S$2*100000</f>
        <v>0</v>
      </c>
      <c r="T37" s="201">
        <f>Data!AG39/T$2*100000</f>
        <v>0</v>
      </c>
      <c r="U37" s="201">
        <f>Data!AH39/U$2*100000</f>
        <v>0</v>
      </c>
      <c r="V37" s="201">
        <f>Data!D39/V$2*100000</f>
        <v>1.702283872858638</v>
      </c>
      <c r="W37" s="178"/>
    </row>
    <row r="38" spans="1:23" ht="12" customHeight="1">
      <c r="A38" s="178"/>
      <c r="B38" s="197" t="str">
        <f>UPPER(LEFT(TRIM(Data!B40),1)) &amp; MID(TRIM(Data!B40),2,50)</f>
        <v>Ne Hodžkino limfomos</v>
      </c>
      <c r="C38" s="198" t="str">
        <f>Data!C40</f>
        <v>C82-C85</v>
      </c>
      <c r="D38" s="202">
        <f>Data!Q40/D$2*100000</f>
        <v>1.2945151393545549</v>
      </c>
      <c r="E38" s="202">
        <f>Data!R40/E$2*100000</f>
        <v>1.4299605330892866</v>
      </c>
      <c r="F38" s="202">
        <f>Data!S40/F$2*100000</f>
        <v>1.3888503097136191</v>
      </c>
      <c r="G38" s="202">
        <f>Data!T40/G$2*100000</f>
        <v>2.240017920143361</v>
      </c>
      <c r="H38" s="202">
        <f>Data!U40/H$2*100000</f>
        <v>0.92405215350354375</v>
      </c>
      <c r="I38" s="202">
        <f>Data!V40/I$2*100000</f>
        <v>1.0008106566318717</v>
      </c>
      <c r="J38" s="202">
        <f>Data!W40/J$2*100000</f>
        <v>1.1188060102258868</v>
      </c>
      <c r="K38" s="202">
        <f>Data!X40/K$2*100000</f>
        <v>5.6051926504713965</v>
      </c>
      <c r="L38" s="202">
        <f>Data!Y40/L$2*100000</f>
        <v>5.0758844728693973</v>
      </c>
      <c r="M38" s="202">
        <f>Data!Z40/M$2*100000</f>
        <v>5.9699710456404285</v>
      </c>
      <c r="N38" s="202">
        <f>Data!AA40/N$2*100000</f>
        <v>15.661418556017209</v>
      </c>
      <c r="O38" s="202">
        <f>Data!AB40/O$2*100000</f>
        <v>15.102806964551556</v>
      </c>
      <c r="P38" s="202">
        <f>Data!AC40/P$2*100000</f>
        <v>33.100252389424469</v>
      </c>
      <c r="Q38" s="202">
        <f>Data!AD40/Q$2*100000</f>
        <v>28.99548757724579</v>
      </c>
      <c r="R38" s="202">
        <f>Data!AE40/R$2*100000</f>
        <v>36.561585960350989</v>
      </c>
      <c r="S38" s="202">
        <f>Data!AF40/S$2*100000</f>
        <v>68.454946503726987</v>
      </c>
      <c r="T38" s="202">
        <f>Data!AG40/T$2*100000</f>
        <v>48.059593896431572</v>
      </c>
      <c r="U38" s="202">
        <f>Data!AH40/U$2*100000</f>
        <v>62.709030100334452</v>
      </c>
      <c r="V38" s="202">
        <f>Data!D40/V$2*100000</f>
        <v>11.915987110010464</v>
      </c>
      <c r="W38" s="178"/>
    </row>
    <row r="39" spans="1:23" ht="12" customHeight="1">
      <c r="A39" s="178"/>
      <c r="B39" s="183" t="str">
        <f>UPPER(LEFT(TRIM(Data!B41),1)) &amp; MID(TRIM(Data!B41),2,50)</f>
        <v>Mielominės ligos</v>
      </c>
      <c r="C39" s="184" t="str">
        <f>Data!C41</f>
        <v>C90</v>
      </c>
      <c r="D39" s="201">
        <f>Data!Q41/D$2*100000</f>
        <v>0</v>
      </c>
      <c r="E39" s="201">
        <f>Data!R41/E$2*100000</f>
        <v>0</v>
      </c>
      <c r="F39" s="201">
        <f>Data!S41/F$2*100000</f>
        <v>0</v>
      </c>
      <c r="G39" s="201">
        <f>Data!T41/G$2*100000</f>
        <v>0</v>
      </c>
      <c r="H39" s="201">
        <f>Data!U41/H$2*100000</f>
        <v>0</v>
      </c>
      <c r="I39" s="201">
        <f>Data!V41/I$2*100000</f>
        <v>0</v>
      </c>
      <c r="J39" s="201">
        <f>Data!W41/J$2*100000</f>
        <v>0</v>
      </c>
      <c r="K39" s="201">
        <f>Data!X41/K$2*100000</f>
        <v>0</v>
      </c>
      <c r="L39" s="201">
        <f>Data!Y41/L$2*100000</f>
        <v>1.0151768945738795</v>
      </c>
      <c r="M39" s="201">
        <f>Data!Z41/M$2*100000</f>
        <v>2.9849855228202142</v>
      </c>
      <c r="N39" s="201">
        <f>Data!AA41/N$2*100000</f>
        <v>7.3700793204786859</v>
      </c>
      <c r="O39" s="201">
        <f>Data!AB41/O$2*100000</f>
        <v>15.102806964551556</v>
      </c>
      <c r="P39" s="201">
        <f>Data!AC41/P$2*100000</f>
        <v>6.895885914463431</v>
      </c>
      <c r="Q39" s="201">
        <f>Data!AD41/Q$2*100000</f>
        <v>16.309961762200757</v>
      </c>
      <c r="R39" s="201">
        <f>Data!AE41/R$2*100000</f>
        <v>24.374390640233994</v>
      </c>
      <c r="S39" s="201">
        <f>Data!AF41/S$2*100000</f>
        <v>30.424420668323108</v>
      </c>
      <c r="T39" s="201">
        <f>Data!AG41/T$2*100000</f>
        <v>56.069526212503504</v>
      </c>
      <c r="U39" s="201">
        <f>Data!AH41/U$2*100000</f>
        <v>34.838350055741365</v>
      </c>
      <c r="V39" s="201">
        <f>Data!D41/V$2*100000</f>
        <v>6.143024410750737</v>
      </c>
      <c r="W39" s="178"/>
    </row>
    <row r="40" spans="1:23" ht="12" customHeight="1">
      <c r="A40" s="178"/>
      <c r="B40" s="197" t="str">
        <f>UPPER(LEFT(TRIM(Data!B42),1)) &amp; MID(TRIM(Data!B42),2,50)</f>
        <v>Leukemijos</v>
      </c>
      <c r="C40" s="198" t="str">
        <f>Data!C42</f>
        <v>C91-C95</v>
      </c>
      <c r="D40" s="202">
        <f>Data!Q42/D$2*100000</f>
        <v>15.534181672254658</v>
      </c>
      <c r="E40" s="202">
        <f>Data!R42/E$2*100000</f>
        <v>2.8599210661785732</v>
      </c>
      <c r="F40" s="202">
        <f>Data!S42/F$2*100000</f>
        <v>1.3888503097136191</v>
      </c>
      <c r="G40" s="202">
        <f>Data!T42/G$2*100000</f>
        <v>1.1200089600716805</v>
      </c>
      <c r="H40" s="202">
        <f>Data!U42/H$2*100000</f>
        <v>1.8481043070070875</v>
      </c>
      <c r="I40" s="202">
        <f>Data!V42/I$2*100000</f>
        <v>2.0016213132637435</v>
      </c>
      <c r="J40" s="202">
        <f>Data!W42/J$2*100000</f>
        <v>5.594030051129435</v>
      </c>
      <c r="K40" s="202">
        <f>Data!X42/K$2*100000</f>
        <v>2.2420770601885587</v>
      </c>
      <c r="L40" s="202">
        <f>Data!Y42/L$2*100000</f>
        <v>3.0455306837216383</v>
      </c>
      <c r="M40" s="202">
        <f>Data!Z42/M$2*100000</f>
        <v>3.9799806970936191</v>
      </c>
      <c r="N40" s="202">
        <f>Data!AA42/N$2*100000</f>
        <v>14.740158640957372</v>
      </c>
      <c r="O40" s="202">
        <f>Data!AB42/O$2*100000</f>
        <v>14.024035038512158</v>
      </c>
      <c r="P40" s="202">
        <f>Data!AC42/P$2*100000</f>
        <v>28.962720840746414</v>
      </c>
      <c r="Q40" s="202">
        <f>Data!AD42/Q$2*100000</f>
        <v>38.056577445135098</v>
      </c>
      <c r="R40" s="202">
        <f>Data!AE42/R$2*100000</f>
        <v>69.060773480662974</v>
      </c>
      <c r="S40" s="202">
        <f>Data!AF42/S$2*100000</f>
        <v>88.737893615942397</v>
      </c>
      <c r="T40" s="202">
        <f>Data!AG42/T$2*100000</f>
        <v>128.15891705715086</v>
      </c>
      <c r="U40" s="202">
        <f>Data!AH42/U$2*100000</f>
        <v>125.4180602006689</v>
      </c>
      <c r="V40" s="202">
        <f>Data!D42/V$2*100000</f>
        <v>16.578764674797171</v>
      </c>
      <c r="W40" s="178"/>
    </row>
    <row r="41" spans="1:23" ht="12" customHeight="1">
      <c r="A41" s="178"/>
      <c r="B41" s="183" t="str">
        <f>UPPER(LEFT(TRIM(Data!B43),1)) &amp; MID(TRIM(Data!B43),2,50)</f>
        <v>Kiti limfinio, kraujodaros audinių</v>
      </c>
      <c r="C41" s="184" t="str">
        <f>Data!C43</f>
        <v>C88, C96</v>
      </c>
      <c r="D41" s="201">
        <f>Data!Q43/D$2*100000</f>
        <v>0</v>
      </c>
      <c r="E41" s="201">
        <f>Data!R43/E$2*100000</f>
        <v>0</v>
      </c>
      <c r="F41" s="201">
        <f>Data!S43/F$2*100000</f>
        <v>0</v>
      </c>
      <c r="G41" s="201">
        <f>Data!T43/G$2*100000</f>
        <v>0</v>
      </c>
      <c r="H41" s="201">
        <f>Data!U43/H$2*100000</f>
        <v>0.92405215350354375</v>
      </c>
      <c r="I41" s="201">
        <f>Data!V43/I$2*100000</f>
        <v>0</v>
      </c>
      <c r="J41" s="201">
        <f>Data!W43/J$2*100000</f>
        <v>0</v>
      </c>
      <c r="K41" s="201">
        <f>Data!X43/K$2*100000</f>
        <v>1.1210385300942793</v>
      </c>
      <c r="L41" s="201">
        <f>Data!Y43/L$2*100000</f>
        <v>0</v>
      </c>
      <c r="M41" s="201">
        <f>Data!Z43/M$2*100000</f>
        <v>0</v>
      </c>
      <c r="N41" s="201">
        <f>Data!AA43/N$2*100000</f>
        <v>0</v>
      </c>
      <c r="O41" s="201">
        <f>Data!AB43/O$2*100000</f>
        <v>1.0787719260393969</v>
      </c>
      <c r="P41" s="201">
        <f>Data!AC43/P$2*100000</f>
        <v>1.3791771828926862</v>
      </c>
      <c r="Q41" s="201">
        <f>Data!AD43/Q$2*100000</f>
        <v>1.8122179735778619</v>
      </c>
      <c r="R41" s="201">
        <f>Data!AE43/R$2*100000</f>
        <v>0</v>
      </c>
      <c r="S41" s="201">
        <f>Data!AF43/S$2*100000</f>
        <v>2.5353683890269259</v>
      </c>
      <c r="T41" s="201">
        <f>Data!AG43/T$2*100000</f>
        <v>4.0049661580359643</v>
      </c>
      <c r="U41" s="201">
        <f>Data!AH43/U$2*100000</f>
        <v>0</v>
      </c>
      <c r="V41" s="201">
        <f>Data!D43/V$2*100000</f>
        <v>0.51808639608741158</v>
      </c>
      <c r="W41" s="178"/>
    </row>
    <row r="42" spans="1:23" ht="24" customHeight="1">
      <c r="A42" s="178"/>
      <c r="B42" s="199"/>
      <c r="C42" s="200"/>
      <c r="D42" s="204"/>
      <c r="E42" s="204"/>
      <c r="F42" s="204"/>
      <c r="G42" s="204"/>
      <c r="H42" s="204"/>
      <c r="I42" s="204"/>
      <c r="J42" s="204"/>
      <c r="K42" s="204"/>
      <c r="L42" s="204"/>
      <c r="M42" s="204"/>
      <c r="N42" s="204"/>
      <c r="O42" s="204"/>
      <c r="P42" s="204"/>
      <c r="Q42" s="204"/>
      <c r="R42" s="204"/>
      <c r="S42" s="204"/>
      <c r="T42" s="204"/>
      <c r="U42" s="204"/>
      <c r="V42" s="204"/>
      <c r="W42" s="178"/>
    </row>
    <row r="43" spans="1:23" ht="12" customHeight="1">
      <c r="A43" s="178"/>
      <c r="B43" s="183" t="str">
        <f>UPPER(LEFT(TRIM(Data!B44),1)) &amp; MID(TRIM(Data!B44),2,50)</f>
        <v>Melanoma in situ</v>
      </c>
      <c r="C43" s="184" t="str">
        <f>Data!C44</f>
        <v>D03</v>
      </c>
      <c r="D43" s="201">
        <f>Data!Q44/D$2*100000</f>
        <v>0</v>
      </c>
      <c r="E43" s="201">
        <f>Data!R44/E$2*100000</f>
        <v>0</v>
      </c>
      <c r="F43" s="201">
        <f>Data!S44/F$2*100000</f>
        <v>0</v>
      </c>
      <c r="G43" s="201">
        <f>Data!T44/G$2*100000</f>
        <v>0</v>
      </c>
      <c r="H43" s="201">
        <f>Data!U44/H$2*100000</f>
        <v>0</v>
      </c>
      <c r="I43" s="201">
        <f>Data!V44/I$2*100000</f>
        <v>0</v>
      </c>
      <c r="J43" s="201">
        <f>Data!W44/J$2*100000</f>
        <v>0</v>
      </c>
      <c r="K43" s="201">
        <f>Data!X44/K$2*100000</f>
        <v>1.1210385300942793</v>
      </c>
      <c r="L43" s="201">
        <f>Data!Y44/L$2*100000</f>
        <v>1.0151768945738795</v>
      </c>
      <c r="M43" s="201">
        <f>Data!Z44/M$2*100000</f>
        <v>0</v>
      </c>
      <c r="N43" s="201">
        <f>Data!AA44/N$2*100000</f>
        <v>0.92125991505983573</v>
      </c>
      <c r="O43" s="201">
        <f>Data!AB44/O$2*100000</f>
        <v>2.1575438520787937</v>
      </c>
      <c r="P43" s="201">
        <f>Data!AC44/P$2*100000</f>
        <v>2.7583543657853724</v>
      </c>
      <c r="Q43" s="201">
        <f>Data!AD44/Q$2*100000</f>
        <v>3.6244359471557237</v>
      </c>
      <c r="R43" s="201">
        <f>Data!AE44/R$2*100000</f>
        <v>6.0935976600584985</v>
      </c>
      <c r="S43" s="201">
        <f>Data!AF44/S$2*100000</f>
        <v>0</v>
      </c>
      <c r="T43" s="201">
        <f>Data!AG44/T$2*100000</f>
        <v>4.0049661580359643</v>
      </c>
      <c r="U43" s="201">
        <f>Data!AH44/U$2*100000</f>
        <v>0</v>
      </c>
      <c r="V43" s="201">
        <f>Data!D44/V$2*100000</f>
        <v>0.96216044987662142</v>
      </c>
      <c r="W43" s="178"/>
    </row>
    <row r="44" spans="1:23" ht="12" customHeight="1">
      <c r="A44" s="178"/>
      <c r="B44" s="197" t="str">
        <f>UPPER(LEFT(TRIM(Data!B45),1)) &amp; MID(TRIM(Data!B45),2,50)</f>
        <v>Krūties navikai in situ</v>
      </c>
      <c r="C44" s="198" t="str">
        <f>Data!C45</f>
        <v>D05</v>
      </c>
      <c r="D44" s="202">
        <f>Data!Q45/D$2*100000</f>
        <v>0</v>
      </c>
      <c r="E44" s="202">
        <f>Data!R45/E$2*100000</f>
        <v>0</v>
      </c>
      <c r="F44" s="202">
        <f>Data!S45/F$2*100000</f>
        <v>0</v>
      </c>
      <c r="G44" s="202">
        <f>Data!T45/G$2*100000</f>
        <v>0</v>
      </c>
      <c r="H44" s="202">
        <f>Data!U45/H$2*100000</f>
        <v>0</v>
      </c>
      <c r="I44" s="202">
        <f>Data!V45/I$2*100000</f>
        <v>0</v>
      </c>
      <c r="J44" s="202">
        <f>Data!W45/J$2*100000</f>
        <v>0</v>
      </c>
      <c r="K44" s="202">
        <f>Data!X45/K$2*100000</f>
        <v>0</v>
      </c>
      <c r="L44" s="202">
        <f>Data!Y45/L$2*100000</f>
        <v>0</v>
      </c>
      <c r="M44" s="202">
        <f>Data!Z45/M$2*100000</f>
        <v>0</v>
      </c>
      <c r="N44" s="202">
        <f>Data!AA45/N$2*100000</f>
        <v>0</v>
      </c>
      <c r="O44" s="202">
        <f>Data!AB45/O$2*100000</f>
        <v>0</v>
      </c>
      <c r="P44" s="202">
        <f>Data!AC45/P$2*100000</f>
        <v>0</v>
      </c>
      <c r="Q44" s="202">
        <f>Data!AD45/Q$2*100000</f>
        <v>0</v>
      </c>
      <c r="R44" s="202">
        <f>Data!AE45/R$2*100000</f>
        <v>0</v>
      </c>
      <c r="S44" s="202">
        <f>Data!AF45/S$2*100000</f>
        <v>0</v>
      </c>
      <c r="T44" s="202">
        <f>Data!AG45/T$2*100000</f>
        <v>0</v>
      </c>
      <c r="U44" s="202">
        <f>Data!AH45/U$2*100000</f>
        <v>0</v>
      </c>
      <c r="V44" s="202">
        <f>Data!D45/V$2*100000</f>
        <v>0</v>
      </c>
      <c r="W44" s="178"/>
    </row>
    <row r="45" spans="1:23" ht="12" customHeight="1">
      <c r="A45" s="178"/>
      <c r="B45" s="183" t="str">
        <f>UPPER(LEFT(TRIM(Data!B47),1)) &amp; MID(TRIM(Data!B47),2,50)</f>
        <v>Šlapimo pūslės in situ</v>
      </c>
      <c r="C45" s="184" t="str">
        <f>Data!C47</f>
        <v>D09.0</v>
      </c>
      <c r="D45" s="201">
        <f>Data!Q47/D$2*100000</f>
        <v>0</v>
      </c>
      <c r="E45" s="201">
        <f>Data!R47/E$2*100000</f>
        <v>0</v>
      </c>
      <c r="F45" s="201">
        <f>Data!S47/F$2*100000</f>
        <v>0</v>
      </c>
      <c r="G45" s="201">
        <f>Data!T47/G$2*100000</f>
        <v>0</v>
      </c>
      <c r="H45" s="201">
        <f>Data!U47/H$2*100000</f>
        <v>0</v>
      </c>
      <c r="I45" s="201">
        <f>Data!V47/I$2*100000</f>
        <v>0</v>
      </c>
      <c r="J45" s="201">
        <f>Data!W47/J$2*100000</f>
        <v>0</v>
      </c>
      <c r="K45" s="201">
        <f>Data!X47/K$2*100000</f>
        <v>1.1210385300942793</v>
      </c>
      <c r="L45" s="201">
        <f>Data!Y47/L$2*100000</f>
        <v>2.030353789147759</v>
      </c>
      <c r="M45" s="201">
        <f>Data!Z47/M$2*100000</f>
        <v>1.9899903485468096</v>
      </c>
      <c r="N45" s="201">
        <f>Data!AA47/N$2*100000</f>
        <v>4.6062995752991798</v>
      </c>
      <c r="O45" s="201">
        <f>Data!AB47/O$2*100000</f>
        <v>12.945263112472761</v>
      </c>
      <c r="P45" s="201">
        <f>Data!AC47/P$2*100000</f>
        <v>22.066834926282979</v>
      </c>
      <c r="Q45" s="201">
        <f>Data!AD47/Q$2*100000</f>
        <v>38.056577445135098</v>
      </c>
      <c r="R45" s="201">
        <f>Data!AE47/R$2*100000</f>
        <v>42.655183620409488</v>
      </c>
      <c r="S45" s="201">
        <f>Data!AF47/S$2*100000</f>
        <v>35.495157446376957</v>
      </c>
      <c r="T45" s="201">
        <f>Data!AG47/T$2*100000</f>
        <v>48.059593896431572</v>
      </c>
      <c r="U45" s="201">
        <f>Data!AH47/U$2*100000</f>
        <v>13.935340022296543</v>
      </c>
      <c r="V45" s="201">
        <f>Data!D47/V$2*100000</f>
        <v>7.9933329682057783</v>
      </c>
      <c r="W45" s="178"/>
    </row>
    <row r="46" spans="1:23" ht="12" customHeight="1">
      <c r="A46" s="178"/>
      <c r="B46" s="197" t="str">
        <f>UPPER(LEFT(TRIM(Data!B48),1)) &amp; MID(TRIM(Data!B48),2,50)</f>
        <v>Nervų sistemos gerybiniai navikai</v>
      </c>
      <c r="C46" s="198" t="str">
        <f>Data!C48</f>
        <v>D32, D33</v>
      </c>
      <c r="D46" s="202">
        <f>Data!Q48/D$2*100000</f>
        <v>1.2945151393545549</v>
      </c>
      <c r="E46" s="202">
        <f>Data!R48/E$2*100000</f>
        <v>0</v>
      </c>
      <c r="F46" s="202">
        <f>Data!S48/F$2*100000</f>
        <v>1.3888503097136191</v>
      </c>
      <c r="G46" s="202">
        <f>Data!T48/G$2*100000</f>
        <v>1.1200089600716805</v>
      </c>
      <c r="H46" s="202">
        <f>Data!U48/H$2*100000</f>
        <v>0</v>
      </c>
      <c r="I46" s="202">
        <f>Data!V48/I$2*100000</f>
        <v>1.0008106566318717</v>
      </c>
      <c r="J46" s="202">
        <f>Data!W48/J$2*100000</f>
        <v>1.1188060102258868</v>
      </c>
      <c r="K46" s="202">
        <f>Data!X48/K$2*100000</f>
        <v>3.3631155902828378</v>
      </c>
      <c r="L46" s="202">
        <f>Data!Y48/L$2*100000</f>
        <v>4.060707578295518</v>
      </c>
      <c r="M46" s="202">
        <f>Data!Z48/M$2*100000</f>
        <v>0.99499517427340478</v>
      </c>
      <c r="N46" s="202">
        <f>Data!AA48/N$2*100000</f>
        <v>4.6062995752991798</v>
      </c>
      <c r="O46" s="202">
        <f>Data!AB48/O$2*100000</f>
        <v>2.1575438520787937</v>
      </c>
      <c r="P46" s="202">
        <f>Data!AC48/P$2*100000</f>
        <v>5.5167087315707448</v>
      </c>
      <c r="Q46" s="202">
        <f>Data!AD48/Q$2*100000</f>
        <v>5.436653920733586</v>
      </c>
      <c r="R46" s="202">
        <f>Data!AE48/R$2*100000</f>
        <v>16.249593760155996</v>
      </c>
      <c r="S46" s="202">
        <f>Data!AF48/S$2*100000</f>
        <v>12.676841945134628</v>
      </c>
      <c r="T46" s="202">
        <f>Data!AG48/T$2*100000</f>
        <v>8.0099323160719287</v>
      </c>
      <c r="U46" s="202">
        <f>Data!AH48/U$2*100000</f>
        <v>27.870680044593087</v>
      </c>
      <c r="V46" s="202">
        <f>Data!D48/V$2*100000</f>
        <v>3.4045677457172761</v>
      </c>
      <c r="W46" s="178"/>
    </row>
    <row r="47" spans="1:23" ht="12" customHeight="1">
      <c r="A47" s="178"/>
      <c r="B47" s="183" t="str">
        <f>UPPER(LEFT(TRIM(Data!B50),1)) &amp; MID(TRIM(Data!B50),2,50)</f>
        <v>Kiti nervų sistemos</v>
      </c>
      <c r="C47" s="184" t="str">
        <f>Data!C50</f>
        <v>D42, D43</v>
      </c>
      <c r="D47" s="201">
        <f>Data!Q50/D$2*100000</f>
        <v>2.5890302787091097</v>
      </c>
      <c r="E47" s="201">
        <f>Data!R50/E$2*100000</f>
        <v>2.8599210661785732</v>
      </c>
      <c r="F47" s="201">
        <f>Data!S50/F$2*100000</f>
        <v>2.7777006194272382</v>
      </c>
      <c r="G47" s="201">
        <f>Data!T50/G$2*100000</f>
        <v>1.1200089600716805</v>
      </c>
      <c r="H47" s="201">
        <f>Data!U50/H$2*100000</f>
        <v>0</v>
      </c>
      <c r="I47" s="201">
        <f>Data!V50/I$2*100000</f>
        <v>0</v>
      </c>
      <c r="J47" s="201">
        <f>Data!W50/J$2*100000</f>
        <v>0</v>
      </c>
      <c r="K47" s="201">
        <f>Data!X50/K$2*100000</f>
        <v>0</v>
      </c>
      <c r="L47" s="201">
        <f>Data!Y50/L$2*100000</f>
        <v>0</v>
      </c>
      <c r="M47" s="201">
        <f>Data!Z50/M$2*100000</f>
        <v>0.99499517427340478</v>
      </c>
      <c r="N47" s="201">
        <f>Data!AA50/N$2*100000</f>
        <v>0</v>
      </c>
      <c r="O47" s="201">
        <f>Data!AB50/O$2*100000</f>
        <v>2.1575438520787937</v>
      </c>
      <c r="P47" s="201">
        <f>Data!AC50/P$2*100000</f>
        <v>0</v>
      </c>
      <c r="Q47" s="201">
        <f>Data!AD50/Q$2*100000</f>
        <v>1.8122179735778619</v>
      </c>
      <c r="R47" s="201">
        <f>Data!AE50/R$2*100000</f>
        <v>2.0311992200194995</v>
      </c>
      <c r="S47" s="201">
        <f>Data!AF50/S$2*100000</f>
        <v>10.141473556107703</v>
      </c>
      <c r="T47" s="201">
        <f>Data!AG50/T$2*100000</f>
        <v>8.0099323160719287</v>
      </c>
      <c r="U47" s="201">
        <f>Data!AH50/U$2*100000</f>
        <v>0</v>
      </c>
      <c r="V47" s="201">
        <f>Data!D50/V$2*100000</f>
        <v>1.3322221613676297</v>
      </c>
      <c r="W47" s="178"/>
    </row>
    <row r="48" spans="1:23" ht="12" customHeight="1">
      <c r="A48" s="178"/>
      <c r="B48" s="197" t="str">
        <f>UPPER(LEFT(TRIM(Data!B51),1)) &amp; MID(TRIM(Data!B51),2,50)</f>
        <v>Limfinio ir kraujodaros audinių</v>
      </c>
      <c r="C48" s="198" t="str">
        <f>Data!C51</f>
        <v>D45-D47</v>
      </c>
      <c r="D48" s="202">
        <f>Data!Q51/D$2*100000</f>
        <v>0</v>
      </c>
      <c r="E48" s="202">
        <f>Data!R51/E$2*100000</f>
        <v>0</v>
      </c>
      <c r="F48" s="202">
        <f>Data!S51/F$2*100000</f>
        <v>0</v>
      </c>
      <c r="G48" s="202">
        <f>Data!T51/G$2*100000</f>
        <v>0</v>
      </c>
      <c r="H48" s="202">
        <f>Data!U51/H$2*100000</f>
        <v>0.92405215350354375</v>
      </c>
      <c r="I48" s="202">
        <f>Data!V51/I$2*100000</f>
        <v>1.0008106566318717</v>
      </c>
      <c r="J48" s="202">
        <f>Data!W51/J$2*100000</f>
        <v>1.1188060102258868</v>
      </c>
      <c r="K48" s="202">
        <f>Data!X51/K$2*100000</f>
        <v>5.6051926504713965</v>
      </c>
      <c r="L48" s="202">
        <f>Data!Y51/L$2*100000</f>
        <v>2.030353789147759</v>
      </c>
      <c r="M48" s="202">
        <f>Data!Z51/M$2*100000</f>
        <v>9.9499517427340471</v>
      </c>
      <c r="N48" s="202">
        <f>Data!AA51/N$2*100000</f>
        <v>7.3700793204786859</v>
      </c>
      <c r="O48" s="202">
        <f>Data!AB51/O$2*100000</f>
        <v>19.417894668709142</v>
      </c>
      <c r="P48" s="202">
        <f>Data!AC51/P$2*100000</f>
        <v>17.929303377604921</v>
      </c>
      <c r="Q48" s="202">
        <f>Data!AD51/Q$2*100000</f>
        <v>34.43214149797938</v>
      </c>
      <c r="R48" s="202">
        <f>Data!AE51/R$2*100000</f>
        <v>48.748781280467988</v>
      </c>
      <c r="S48" s="202">
        <f>Data!AF51/S$2*100000</f>
        <v>83.667156837888555</v>
      </c>
      <c r="T48" s="202">
        <f>Data!AG51/T$2*100000</f>
        <v>76.094357002683324</v>
      </c>
      <c r="U48" s="202">
        <f>Data!AH51/U$2*100000</f>
        <v>83.61204013377926</v>
      </c>
      <c r="V48" s="202">
        <f>Data!D51/V$2*100000</f>
        <v>12.286048821501474</v>
      </c>
      <c r="W48" s="178"/>
    </row>
    <row r="49" spans="1:23">
      <c r="A49" s="178"/>
      <c r="B49" s="178"/>
      <c r="C49" s="178"/>
      <c r="D49" s="178"/>
      <c r="E49" s="178"/>
      <c r="F49" s="178"/>
      <c r="G49" s="178"/>
      <c r="H49" s="178"/>
      <c r="I49" s="178"/>
      <c r="J49" s="178"/>
      <c r="K49" s="178"/>
      <c r="L49" s="178"/>
      <c r="M49" s="178"/>
      <c r="N49" s="178"/>
      <c r="O49" s="178"/>
      <c r="P49" s="178"/>
      <c r="Q49" s="178"/>
      <c r="R49" s="178"/>
      <c r="S49" s="178"/>
      <c r="T49" s="178"/>
      <c r="U49" s="178"/>
      <c r="V49" s="178"/>
      <c r="W49" s="178"/>
    </row>
    <row r="50" spans="1:23">
      <c r="A50" s="178"/>
      <c r="B50" s="178"/>
      <c r="C50" s="178"/>
      <c r="D50" s="178"/>
      <c r="E50" s="178"/>
      <c r="F50" s="178"/>
      <c r="G50" s="178"/>
      <c r="H50" s="178"/>
      <c r="I50" s="178"/>
      <c r="J50" s="178"/>
      <c r="K50" s="178"/>
      <c r="L50" s="178"/>
      <c r="M50" s="178"/>
      <c r="N50" s="178"/>
      <c r="O50" s="178"/>
      <c r="P50" s="178"/>
      <c r="Q50" s="178"/>
      <c r="R50" s="178"/>
      <c r="S50" s="178"/>
      <c r="T50" s="178"/>
      <c r="U50" s="178"/>
      <c r="V50" s="178"/>
      <c r="W50" s="178"/>
    </row>
    <row r="51" spans="1:23">
      <c r="A51" s="178"/>
      <c r="B51" s="178"/>
      <c r="C51" s="178"/>
      <c r="D51" s="178"/>
      <c r="E51" s="178"/>
      <c r="F51" s="178"/>
      <c r="G51" s="178"/>
      <c r="H51" s="178"/>
      <c r="I51" s="178"/>
      <c r="J51" s="178"/>
      <c r="K51" s="178"/>
      <c r="L51" s="178"/>
      <c r="M51" s="178"/>
      <c r="N51" s="178"/>
      <c r="O51" s="178"/>
      <c r="P51" s="178"/>
      <c r="Q51" s="178"/>
      <c r="R51" s="178"/>
      <c r="S51" s="178"/>
      <c r="T51" s="178"/>
      <c r="U51" s="178"/>
      <c r="V51" s="178"/>
      <c r="W51" s="178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0">
    <tabColor theme="5"/>
  </sheetPr>
  <dimension ref="A1:W55"/>
  <sheetViews>
    <sheetView workbookViewId="0">
      <selection activeCell="A4" sqref="A4"/>
    </sheetView>
  </sheetViews>
  <sheetFormatPr defaultRowHeight="11.25"/>
  <cols>
    <col min="1" max="1" width="1.7109375" style="179" customWidth="1"/>
    <col min="2" max="2" width="28.7109375" style="179" customWidth="1"/>
    <col min="3" max="3" width="23.7109375" style="179" customWidth="1"/>
    <col min="4" max="16" width="6" style="179" customWidth="1"/>
    <col min="17" max="21" width="6.28515625" style="179" customWidth="1"/>
    <col min="22" max="22" width="7.28515625" style="179" customWidth="1"/>
    <col min="23" max="30" width="0.85546875" style="179" customWidth="1"/>
    <col min="31" max="16384" width="9.140625" style="179"/>
  </cols>
  <sheetData>
    <row r="1" spans="1:23" ht="15">
      <c r="A1" s="188"/>
      <c r="B1" s="532" t="s">
        <v>405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188"/>
    </row>
    <row r="2" spans="1:23" ht="12.75">
      <c r="A2" s="188"/>
      <c r="B2" s="534"/>
      <c r="C2" s="535"/>
      <c r="D2" s="536">
        <f>Lent02m!S4</f>
        <v>73541</v>
      </c>
      <c r="E2" s="536">
        <f>Lent02m!T4</f>
        <v>66902</v>
      </c>
      <c r="F2" s="536">
        <f>Lent02m!U4</f>
        <v>68149</v>
      </c>
      <c r="G2" s="536">
        <f>Lent02m!V4</f>
        <v>84512</v>
      </c>
      <c r="H2" s="536">
        <f>Lent02m!W4</f>
        <v>101894</v>
      </c>
      <c r="I2" s="536">
        <f>Lent02m!X4</f>
        <v>94972</v>
      </c>
      <c r="J2" s="536">
        <f>Lent02m!Y4</f>
        <v>87211</v>
      </c>
      <c r="K2" s="536">
        <f>Lent02m!Z4</f>
        <v>92351</v>
      </c>
      <c r="L2" s="536">
        <f>Lent02m!AA4</f>
        <v>105582</v>
      </c>
      <c r="M2" s="536">
        <f>Lent02m!AB4</f>
        <v>110249</v>
      </c>
      <c r="N2" s="536">
        <f>Lent02m!AC4</f>
        <v>123313</v>
      </c>
      <c r="O2" s="536">
        <f>Lent02m!AD4</f>
        <v>112753</v>
      </c>
      <c r="P2" s="536">
        <f>Lent02m!AE4</f>
        <v>98061</v>
      </c>
      <c r="Q2" s="536">
        <f>Lent02m!AF4</f>
        <v>85261</v>
      </c>
      <c r="R2" s="536">
        <f>Lent02m!AG4</f>
        <v>87053</v>
      </c>
      <c r="S2" s="536">
        <f>Lent02m!AH4</f>
        <v>81043</v>
      </c>
      <c r="T2" s="536">
        <f>Lent02m!AI4</f>
        <v>60746</v>
      </c>
      <c r="U2" s="536">
        <f>Lent02m!AJ4</f>
        <v>47648</v>
      </c>
      <c r="V2" s="536">
        <f>SUM(D2:U2)</f>
        <v>1581241</v>
      </c>
      <c r="W2" s="188"/>
    </row>
    <row r="3" spans="1:23" ht="12.75">
      <c r="A3" s="188"/>
      <c r="B3" s="534" t="str">
        <f>"Sergamumo piktybiniais navikais rodiklis pagal amžių  " &amp; GrafikaiSerg!A1 &amp; " metais. Moterys. (100 000 gyventojų)"</f>
        <v>Sergamumo piktybiniais navikais rodiklis pagal amžių  2014 metais. Moterys. (100 000 gyventojų)</v>
      </c>
      <c r="C3" s="534"/>
      <c r="D3" s="533"/>
      <c r="E3" s="533"/>
      <c r="F3" s="533"/>
      <c r="G3" s="533"/>
      <c r="H3" s="533"/>
      <c r="I3" s="533"/>
      <c r="J3" s="533"/>
      <c r="K3" s="533"/>
      <c r="L3" s="533"/>
      <c r="M3" s="533"/>
      <c r="N3" s="533"/>
      <c r="O3" s="533"/>
      <c r="P3" s="533"/>
      <c r="Q3" s="533"/>
      <c r="R3" s="533"/>
      <c r="S3" s="533"/>
      <c r="T3" s="533"/>
      <c r="U3" s="533"/>
      <c r="V3" s="533"/>
      <c r="W3" s="188"/>
    </row>
    <row r="4" spans="1:23" ht="12.75">
      <c r="A4" s="188"/>
      <c r="B4" s="190" t="s">
        <v>624</v>
      </c>
      <c r="C4" s="189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88"/>
    </row>
    <row r="5" spans="1:23" ht="12" customHeight="1">
      <c r="A5" s="188"/>
      <c r="B5" s="437" t="s">
        <v>243</v>
      </c>
      <c r="C5" s="437" t="s">
        <v>244</v>
      </c>
      <c r="D5" s="439" t="s">
        <v>419</v>
      </c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1"/>
      <c r="V5" s="442" t="s">
        <v>429</v>
      </c>
      <c r="W5" s="188"/>
    </row>
    <row r="6" spans="1:23" ht="12" customHeight="1" thickBot="1">
      <c r="A6" s="188"/>
      <c r="B6" s="438"/>
      <c r="C6" s="438"/>
      <c r="D6" s="195" t="s">
        <v>13</v>
      </c>
      <c r="E6" s="195" t="s">
        <v>11</v>
      </c>
      <c r="F6" s="195" t="s">
        <v>12</v>
      </c>
      <c r="G6" s="195" t="s">
        <v>14</v>
      </c>
      <c r="H6" s="195" t="s">
        <v>15</v>
      </c>
      <c r="I6" s="195" t="s">
        <v>16</v>
      </c>
      <c r="J6" s="195" t="s">
        <v>158</v>
      </c>
      <c r="K6" s="195" t="s">
        <v>17</v>
      </c>
      <c r="L6" s="195" t="s">
        <v>18</v>
      </c>
      <c r="M6" s="195" t="s">
        <v>19</v>
      </c>
      <c r="N6" s="195" t="s">
        <v>20</v>
      </c>
      <c r="O6" s="195" t="s">
        <v>21</v>
      </c>
      <c r="P6" s="195" t="s">
        <v>159</v>
      </c>
      <c r="Q6" s="195" t="s">
        <v>160</v>
      </c>
      <c r="R6" s="195" t="s">
        <v>161</v>
      </c>
      <c r="S6" s="195" t="s">
        <v>162</v>
      </c>
      <c r="T6" s="195" t="s">
        <v>22</v>
      </c>
      <c r="U6" s="195" t="s">
        <v>23</v>
      </c>
      <c r="V6" s="443"/>
      <c r="W6" s="188"/>
    </row>
    <row r="7" spans="1:23" ht="12" customHeight="1" thickTop="1">
      <c r="A7" s="188"/>
      <c r="B7" s="183" t="str">
        <f>UPPER(LEFT(TRIM(Data!B5),1)) &amp; MID(TRIM(Data!B5),2,50)</f>
        <v>Piktybiniai navikai</v>
      </c>
      <c r="C7" s="184" t="str">
        <f>Data!C5</f>
        <v>C00-C96</v>
      </c>
      <c r="D7" s="205">
        <f>Data!CD5/D$2*100000</f>
        <v>14.957642675514338</v>
      </c>
      <c r="E7" s="205">
        <f>Data!CE5/E$2*100000</f>
        <v>4.4841708768048791</v>
      </c>
      <c r="F7" s="205">
        <f>Data!CF5/F$2*100000</f>
        <v>13.206356659672188</v>
      </c>
      <c r="G7" s="205">
        <f>Data!CG5/G$2*100000</f>
        <v>27.21507004922378</v>
      </c>
      <c r="H7" s="205">
        <f>Data!CH5/H$2*100000</f>
        <v>34.349421948299209</v>
      </c>
      <c r="I7" s="205">
        <f>Data!CI5/I$2*100000</f>
        <v>76.864760139830679</v>
      </c>
      <c r="J7" s="205">
        <f>Data!CJ5/J$2*100000</f>
        <v>102.05134673378357</v>
      </c>
      <c r="K7" s="205">
        <f>Data!CK5/K$2*100000</f>
        <v>144.01576593648147</v>
      </c>
      <c r="L7" s="205">
        <f>Data!CL5/L$2*100000</f>
        <v>265.1967191377318</v>
      </c>
      <c r="M7" s="205">
        <f>Data!CM5/M$2*100000</f>
        <v>439.00624948979129</v>
      </c>
      <c r="N7" s="205">
        <f>Data!CN5/N$2*100000</f>
        <v>577.39248903197551</v>
      </c>
      <c r="O7" s="205">
        <f>Data!CO5/O$2*100000</f>
        <v>709.51548961003255</v>
      </c>
      <c r="P7" s="205">
        <f>Data!CP5/P$2*100000</f>
        <v>906.57855824435808</v>
      </c>
      <c r="Q7" s="205">
        <f>Data!CQ5/Q$2*100000</f>
        <v>1094.2869541760008</v>
      </c>
      <c r="R7" s="205">
        <f>Data!CR5/R$2*100000</f>
        <v>1218.7977439031395</v>
      </c>
      <c r="S7" s="205">
        <f>Data!CS5/S$2*100000</f>
        <v>1420.2337030958872</v>
      </c>
      <c r="T7" s="205">
        <f>Data!CT5/T$2*100000</f>
        <v>1455.239851183617</v>
      </c>
      <c r="U7" s="205">
        <f>Data!CU5/U$2*100000</f>
        <v>1483.7978509066486</v>
      </c>
      <c r="V7" s="205">
        <f>Data!BQ5/V$2*100000</f>
        <v>523.44961963419871</v>
      </c>
      <c r="W7" s="188"/>
    </row>
    <row r="8" spans="1:23" ht="12" customHeight="1">
      <c r="A8" s="188"/>
      <c r="B8" s="197" t="str">
        <f>UPPER(LEFT(TRIM(Data!B6),1)) &amp; MID(TRIM(Data!B6),2,50)</f>
        <v>Lūpos</v>
      </c>
      <c r="C8" s="198" t="str">
        <f>Data!C6</f>
        <v>C00</v>
      </c>
      <c r="D8" s="203">
        <f>Data!CD6/D$2*100000</f>
        <v>0</v>
      </c>
      <c r="E8" s="203">
        <f>Data!CE6/E$2*100000</f>
        <v>0</v>
      </c>
      <c r="F8" s="203">
        <f>Data!CF6/F$2*100000</f>
        <v>0</v>
      </c>
      <c r="G8" s="203">
        <f>Data!CG6/G$2*100000</f>
        <v>0</v>
      </c>
      <c r="H8" s="203">
        <f>Data!CH6/H$2*100000</f>
        <v>0</v>
      </c>
      <c r="I8" s="203">
        <f>Data!CI6/I$2*100000</f>
        <v>0</v>
      </c>
      <c r="J8" s="203">
        <f>Data!CJ6/J$2*100000</f>
        <v>0</v>
      </c>
      <c r="K8" s="203">
        <f>Data!CK6/K$2*100000</f>
        <v>0</v>
      </c>
      <c r="L8" s="203">
        <f>Data!CL6/L$2*100000</f>
        <v>0</v>
      </c>
      <c r="M8" s="203">
        <f>Data!CM6/M$2*100000</f>
        <v>0</v>
      </c>
      <c r="N8" s="203">
        <f>Data!CN6/N$2*100000</f>
        <v>0</v>
      </c>
      <c r="O8" s="203">
        <f>Data!CO6/O$2*100000</f>
        <v>0</v>
      </c>
      <c r="P8" s="203">
        <f>Data!CP6/P$2*100000</f>
        <v>0</v>
      </c>
      <c r="Q8" s="203">
        <f>Data!CQ6/Q$2*100000</f>
        <v>0</v>
      </c>
      <c r="R8" s="203">
        <f>Data!CR6/R$2*100000</f>
        <v>3.4461764672096309</v>
      </c>
      <c r="S8" s="203">
        <f>Data!CS6/S$2*100000</f>
        <v>1.2339128610737509</v>
      </c>
      <c r="T8" s="203">
        <f>Data!CT6/T$2*100000</f>
        <v>0</v>
      </c>
      <c r="U8" s="203">
        <f>Data!CU6/U$2*100000</f>
        <v>2.0987239758227001</v>
      </c>
      <c r="V8" s="203">
        <f>Data!BQ6/V$2*100000</f>
        <v>0.3162073333539922</v>
      </c>
      <c r="W8" s="188"/>
    </row>
    <row r="9" spans="1:23" ht="12" customHeight="1">
      <c r="A9" s="188"/>
      <c r="B9" s="183" t="str">
        <f>UPPER(LEFT(TRIM(Data!B7),1)) &amp; MID(TRIM(Data!B7),2,50)</f>
        <v>Burnos ertmės ir ryklės</v>
      </c>
      <c r="C9" s="184" t="str">
        <f>Data!C7</f>
        <v>C01-C14</v>
      </c>
      <c r="D9" s="205">
        <f>Data!CD7/D$2*100000</f>
        <v>0</v>
      </c>
      <c r="E9" s="205">
        <f>Data!CE7/E$2*100000</f>
        <v>0</v>
      </c>
      <c r="F9" s="205">
        <f>Data!CF7/F$2*100000</f>
        <v>0</v>
      </c>
      <c r="G9" s="205">
        <f>Data!CG7/G$2*100000</f>
        <v>0</v>
      </c>
      <c r="H9" s="205">
        <f>Data!CH7/H$2*100000</f>
        <v>0</v>
      </c>
      <c r="I9" s="205">
        <f>Data!CI7/I$2*100000</f>
        <v>0</v>
      </c>
      <c r="J9" s="205">
        <f>Data!CJ7/J$2*100000</f>
        <v>0</v>
      </c>
      <c r="K9" s="205">
        <f>Data!CK7/K$2*100000</f>
        <v>1.0828253077930936</v>
      </c>
      <c r="L9" s="205">
        <f>Data!CL7/L$2*100000</f>
        <v>1.8942622795552271</v>
      </c>
      <c r="M9" s="205">
        <f>Data!CM7/M$2*100000</f>
        <v>7.2563016444593602</v>
      </c>
      <c r="N9" s="205">
        <f>Data!CN7/N$2*100000</f>
        <v>5.6766115494716693</v>
      </c>
      <c r="O9" s="205">
        <f>Data!CO7/O$2*100000</f>
        <v>9.7558379821379475</v>
      </c>
      <c r="P9" s="205">
        <f>Data!CP7/P$2*100000</f>
        <v>12.237280876189311</v>
      </c>
      <c r="Q9" s="205">
        <f>Data!CQ7/Q$2*100000</f>
        <v>9.3829535191940039</v>
      </c>
      <c r="R9" s="205">
        <f>Data!CR7/R$2*100000</f>
        <v>11.48725489069877</v>
      </c>
      <c r="S9" s="205">
        <f>Data!CS7/S$2*100000</f>
        <v>8.6373900275162576</v>
      </c>
      <c r="T9" s="205">
        <f>Data!CT7/T$2*100000</f>
        <v>4.9385967800348993</v>
      </c>
      <c r="U9" s="205">
        <f>Data!CU7/U$2*100000</f>
        <v>6.2961719274680989</v>
      </c>
      <c r="V9" s="205">
        <f>Data!BQ7/V$2*100000</f>
        <v>4.5533856002974877</v>
      </c>
      <c r="W9" s="188"/>
    </row>
    <row r="10" spans="1:23" ht="12" customHeight="1">
      <c r="A10" s="188"/>
      <c r="B10" s="197" t="str">
        <f>UPPER(LEFT(TRIM(Data!B8),1)) &amp; MID(TRIM(Data!B8),2,50)</f>
        <v>Stemplės</v>
      </c>
      <c r="C10" s="198" t="str">
        <f>Data!C8</f>
        <v>C15</v>
      </c>
      <c r="D10" s="203">
        <f>Data!CD8/D$2*100000</f>
        <v>0</v>
      </c>
      <c r="E10" s="203">
        <f>Data!CE8/E$2*100000</f>
        <v>0</v>
      </c>
      <c r="F10" s="203">
        <f>Data!CF8/F$2*100000</f>
        <v>0</v>
      </c>
      <c r="G10" s="203">
        <f>Data!CG8/G$2*100000</f>
        <v>0</v>
      </c>
      <c r="H10" s="203">
        <f>Data!CH8/H$2*100000</f>
        <v>0</v>
      </c>
      <c r="I10" s="203">
        <f>Data!CI8/I$2*100000</f>
        <v>0</v>
      </c>
      <c r="J10" s="203">
        <f>Data!CJ8/J$2*100000</f>
        <v>0</v>
      </c>
      <c r="K10" s="203">
        <f>Data!CK8/K$2*100000</f>
        <v>0</v>
      </c>
      <c r="L10" s="203">
        <f>Data!CL8/L$2*100000</f>
        <v>0</v>
      </c>
      <c r="M10" s="203">
        <f>Data!CM8/M$2*100000</f>
        <v>0.90703770555742003</v>
      </c>
      <c r="N10" s="203">
        <f>Data!CN8/N$2*100000</f>
        <v>0.81094450706738141</v>
      </c>
      <c r="O10" s="203">
        <f>Data!CO8/O$2*100000</f>
        <v>3.5475774480501632</v>
      </c>
      <c r="P10" s="203">
        <f>Data!CP8/P$2*100000</f>
        <v>6.1186404380946557</v>
      </c>
      <c r="Q10" s="203">
        <f>Data!CQ8/Q$2*100000</f>
        <v>3.5186075696977515</v>
      </c>
      <c r="R10" s="203">
        <f>Data!CR8/R$2*100000</f>
        <v>2.2974509781397541</v>
      </c>
      <c r="S10" s="203">
        <f>Data!CS8/S$2*100000</f>
        <v>3.7017385832212528</v>
      </c>
      <c r="T10" s="203">
        <f>Data!CT8/T$2*100000</f>
        <v>9.8771935600697987</v>
      </c>
      <c r="U10" s="203">
        <f>Data!CU8/U$2*100000</f>
        <v>8.3948959032908004</v>
      </c>
      <c r="V10" s="203">
        <f>Data!BQ8/V$2*100000</f>
        <v>1.8972440001239532</v>
      </c>
      <c r="W10" s="188"/>
    </row>
    <row r="11" spans="1:23" ht="12" customHeight="1">
      <c r="A11" s="188"/>
      <c r="B11" s="183" t="str">
        <f>UPPER(LEFT(TRIM(Data!B9),1)) &amp; MID(TRIM(Data!B9),2,50)</f>
        <v>Skrandžio</v>
      </c>
      <c r="C11" s="184" t="str">
        <f>Data!C9</f>
        <v>C16</v>
      </c>
      <c r="D11" s="205">
        <f>Data!CD9/D$2*100000</f>
        <v>0</v>
      </c>
      <c r="E11" s="205">
        <f>Data!CE9/E$2*100000</f>
        <v>0</v>
      </c>
      <c r="F11" s="205">
        <f>Data!CF9/F$2*100000</f>
        <v>0</v>
      </c>
      <c r="G11" s="205">
        <f>Data!CG9/G$2*100000</f>
        <v>0</v>
      </c>
      <c r="H11" s="205">
        <f>Data!CH9/H$2*100000</f>
        <v>1.9628241113313836</v>
      </c>
      <c r="I11" s="205">
        <f>Data!CI9/I$2*100000</f>
        <v>3.1588257591711244</v>
      </c>
      <c r="J11" s="205">
        <f>Data!CJ9/J$2*100000</f>
        <v>3.4399330359702329</v>
      </c>
      <c r="K11" s="205">
        <f>Data!CK9/K$2*100000</f>
        <v>11.91107838572403</v>
      </c>
      <c r="L11" s="205">
        <f>Data!CL9/L$2*100000</f>
        <v>7.5770491182209083</v>
      </c>
      <c r="M11" s="205">
        <f>Data!CM9/M$2*100000</f>
        <v>8.1633393500167806</v>
      </c>
      <c r="N11" s="205">
        <f>Data!CN9/N$2*100000</f>
        <v>19.462668169617153</v>
      </c>
      <c r="O11" s="205">
        <f>Data!CO9/O$2*100000</f>
        <v>19.511675964275895</v>
      </c>
      <c r="P11" s="205">
        <f>Data!CP9/P$2*100000</f>
        <v>28.553655377775058</v>
      </c>
      <c r="Q11" s="205">
        <f>Data!CQ9/Q$2*100000</f>
        <v>42.223290836373017</v>
      </c>
      <c r="R11" s="205">
        <f>Data!CR9/R$2*100000</f>
        <v>55.138823475354094</v>
      </c>
      <c r="S11" s="205">
        <f>Data!CS9/S$2*100000</f>
        <v>70.333033081203808</v>
      </c>
      <c r="T11" s="205">
        <f>Data!CT9/T$2*100000</f>
        <v>82.309946333914993</v>
      </c>
      <c r="U11" s="205">
        <f>Data!CU9/U$2*100000</f>
        <v>109.1336467427804</v>
      </c>
      <c r="V11" s="205">
        <f>Data!BQ9/V$2*100000</f>
        <v>22.324237734791851</v>
      </c>
      <c r="W11" s="188"/>
    </row>
    <row r="12" spans="1:23" ht="12" customHeight="1">
      <c r="A12" s="188"/>
      <c r="B12" s="197" t="str">
        <f>UPPER(LEFT(TRIM(Data!B10),1)) &amp; MID(TRIM(Data!B10),2,50)</f>
        <v>Gaubtinės žarnos</v>
      </c>
      <c r="C12" s="198" t="str">
        <f>Data!C10</f>
        <v>C18</v>
      </c>
      <c r="D12" s="203">
        <f>Data!CD10/D$2*100000</f>
        <v>0</v>
      </c>
      <c r="E12" s="203">
        <f>Data!CE10/E$2*100000</f>
        <v>0</v>
      </c>
      <c r="F12" s="203">
        <f>Data!CF10/F$2*100000</f>
        <v>0</v>
      </c>
      <c r="G12" s="203">
        <f>Data!CG10/G$2*100000</f>
        <v>1.1832639151836426</v>
      </c>
      <c r="H12" s="203">
        <f>Data!CH10/H$2*100000</f>
        <v>0.98141205566569178</v>
      </c>
      <c r="I12" s="203">
        <f>Data!CI10/I$2*100000</f>
        <v>0</v>
      </c>
      <c r="J12" s="203">
        <f>Data!CJ10/J$2*100000</f>
        <v>0</v>
      </c>
      <c r="K12" s="203">
        <f>Data!CK10/K$2*100000</f>
        <v>2.1656506155861872</v>
      </c>
      <c r="L12" s="203">
        <f>Data!CL10/L$2*100000</f>
        <v>4.7356556988880678</v>
      </c>
      <c r="M12" s="203">
        <f>Data!CM10/M$2*100000</f>
        <v>11.79149017224646</v>
      </c>
      <c r="N12" s="203">
        <f>Data!CN10/N$2*100000</f>
        <v>16.218890141347625</v>
      </c>
      <c r="O12" s="203">
        <f>Data!CO10/O$2*100000</f>
        <v>28.380619584401305</v>
      </c>
      <c r="P12" s="203">
        <f>Data!CP10/P$2*100000</f>
        <v>64.245724599993878</v>
      </c>
      <c r="Q12" s="203">
        <f>Data!CQ10/Q$2*100000</f>
        <v>57.470590305063276</v>
      </c>
      <c r="R12" s="203">
        <f>Data!CR10/R$2*100000</f>
        <v>89.600588147450409</v>
      </c>
      <c r="S12" s="203">
        <f>Data!CS10/S$2*100000</f>
        <v>98.713028885900087</v>
      </c>
      <c r="T12" s="203">
        <f>Data!CT10/T$2*100000</f>
        <v>113.5877259408027</v>
      </c>
      <c r="U12" s="203">
        <f>Data!CU10/U$2*100000</f>
        <v>115.42981867024848</v>
      </c>
      <c r="V12" s="203">
        <f>Data!BQ10/V$2*100000</f>
        <v>29.597006401933672</v>
      </c>
      <c r="W12" s="188"/>
    </row>
    <row r="13" spans="1:23" ht="12" customHeight="1">
      <c r="A13" s="188"/>
      <c r="B13" s="183" t="str">
        <f>UPPER(LEFT(TRIM(Data!B11),1)) &amp; MID(TRIM(Data!B11),2,50)</f>
        <v>Tiesiosios žarnos, išangės</v>
      </c>
      <c r="C13" s="184" t="str">
        <f>Data!C11</f>
        <v>C19-C21</v>
      </c>
      <c r="D13" s="205">
        <f>Data!CD11/D$2*100000</f>
        <v>0</v>
      </c>
      <c r="E13" s="205">
        <f>Data!CE11/E$2*100000</f>
        <v>0</v>
      </c>
      <c r="F13" s="205">
        <f>Data!CF11/F$2*100000</f>
        <v>0</v>
      </c>
      <c r="G13" s="205">
        <f>Data!CG11/G$2*100000</f>
        <v>0</v>
      </c>
      <c r="H13" s="205">
        <f>Data!CH11/H$2*100000</f>
        <v>0</v>
      </c>
      <c r="I13" s="205">
        <f>Data!CI11/I$2*100000</f>
        <v>0</v>
      </c>
      <c r="J13" s="205">
        <f>Data!CJ11/J$2*100000</f>
        <v>4.5865773812936439</v>
      </c>
      <c r="K13" s="205">
        <f>Data!CK11/K$2*100000</f>
        <v>2.1656506155861872</v>
      </c>
      <c r="L13" s="205">
        <f>Data!CL11/L$2*100000</f>
        <v>2.841393419332841</v>
      </c>
      <c r="M13" s="205">
        <f>Data!CM11/M$2*100000</f>
        <v>13.605565583361299</v>
      </c>
      <c r="N13" s="205">
        <f>Data!CN11/N$2*100000</f>
        <v>27.572113240290971</v>
      </c>
      <c r="O13" s="205">
        <f>Data!CO11/O$2*100000</f>
        <v>23.946147774338598</v>
      </c>
      <c r="P13" s="205">
        <f>Data!CP11/P$2*100000</f>
        <v>38.751389441266156</v>
      </c>
      <c r="Q13" s="205">
        <f>Data!CQ11/Q$2*100000</f>
        <v>29.321729747481264</v>
      </c>
      <c r="R13" s="205">
        <f>Data!CR11/R$2*100000</f>
        <v>47.097745051864955</v>
      </c>
      <c r="S13" s="205">
        <f>Data!CS11/S$2*100000</f>
        <v>64.163468775835042</v>
      </c>
      <c r="T13" s="205">
        <f>Data!CT11/T$2*100000</f>
        <v>74.07895170052349</v>
      </c>
      <c r="U13" s="205">
        <f>Data!CU11/U$2*100000</f>
        <v>86.047683008730687</v>
      </c>
      <c r="V13" s="205">
        <f>Data!BQ11/V$2*100000</f>
        <v>20.67995960135109</v>
      </c>
      <c r="W13" s="188"/>
    </row>
    <row r="14" spans="1:23" ht="12" customHeight="1">
      <c r="A14" s="188"/>
      <c r="B14" s="197" t="str">
        <f>UPPER(LEFT(TRIM(Data!B12),1)) &amp; MID(TRIM(Data!B12),2,50)</f>
        <v>Kepenų</v>
      </c>
      <c r="C14" s="198" t="str">
        <f>Data!C12</f>
        <v>C22</v>
      </c>
      <c r="D14" s="203">
        <f>Data!CD12/D$2*100000</f>
        <v>0</v>
      </c>
      <c r="E14" s="203">
        <f>Data!CE12/E$2*100000</f>
        <v>0</v>
      </c>
      <c r="F14" s="203">
        <f>Data!CF12/F$2*100000</f>
        <v>0</v>
      </c>
      <c r="G14" s="203">
        <f>Data!CG12/G$2*100000</f>
        <v>0</v>
      </c>
      <c r="H14" s="203">
        <f>Data!CH12/H$2*100000</f>
        <v>0.98141205566569178</v>
      </c>
      <c r="I14" s="203">
        <f>Data!CI12/I$2*100000</f>
        <v>0</v>
      </c>
      <c r="J14" s="203">
        <f>Data!CJ12/J$2*100000</f>
        <v>0</v>
      </c>
      <c r="K14" s="203">
        <f>Data!CK12/K$2*100000</f>
        <v>1.0828253077930936</v>
      </c>
      <c r="L14" s="203">
        <f>Data!CL12/L$2*100000</f>
        <v>0.94713113977761354</v>
      </c>
      <c r="M14" s="203">
        <f>Data!CM12/M$2*100000</f>
        <v>0.90703770555742003</v>
      </c>
      <c r="N14" s="203">
        <f>Data!CN12/N$2*100000</f>
        <v>5.6766115494716693</v>
      </c>
      <c r="O14" s="203">
        <f>Data!CO12/O$2*100000</f>
        <v>4.4344718100627034</v>
      </c>
      <c r="P14" s="203">
        <f>Data!CP12/P$2*100000</f>
        <v>6.1186404380946557</v>
      </c>
      <c r="Q14" s="203">
        <f>Data!CQ12/Q$2*100000</f>
        <v>4.6914767595970019</v>
      </c>
      <c r="R14" s="203">
        <f>Data!CR12/R$2*100000</f>
        <v>17.230882336048154</v>
      </c>
      <c r="S14" s="203">
        <f>Data!CS12/S$2*100000</f>
        <v>11.10521574966376</v>
      </c>
      <c r="T14" s="203">
        <f>Data!CT12/T$2*100000</f>
        <v>16.461989266782997</v>
      </c>
      <c r="U14" s="203">
        <f>Data!CU12/U$2*100000</f>
        <v>16.789791806581601</v>
      </c>
      <c r="V14" s="203">
        <f>Data!BQ12/V$2*100000</f>
        <v>4.3004197336142944</v>
      </c>
      <c r="W14" s="188"/>
    </row>
    <row r="15" spans="1:23" ht="12" customHeight="1">
      <c r="A15" s="188"/>
      <c r="B15" s="183" t="str">
        <f>UPPER(LEFT(TRIM(Data!B13),1)) &amp; MID(TRIM(Data!B13),2,50)</f>
        <v>Tulžies pūslės, ekstrahepatinių takų</v>
      </c>
      <c r="C15" s="184" t="str">
        <f>Data!C13</f>
        <v>C23, C24</v>
      </c>
      <c r="D15" s="205">
        <f>Data!CD13/D$2*100000</f>
        <v>0</v>
      </c>
      <c r="E15" s="205">
        <f>Data!CE13/E$2*100000</f>
        <v>0</v>
      </c>
      <c r="F15" s="205">
        <f>Data!CF13/F$2*100000</f>
        <v>0</v>
      </c>
      <c r="G15" s="205">
        <f>Data!CG13/G$2*100000</f>
        <v>0</v>
      </c>
      <c r="H15" s="205">
        <f>Data!CH13/H$2*100000</f>
        <v>0</v>
      </c>
      <c r="I15" s="205">
        <f>Data!CI13/I$2*100000</f>
        <v>0</v>
      </c>
      <c r="J15" s="205">
        <f>Data!CJ13/J$2*100000</f>
        <v>1.146644345323411</v>
      </c>
      <c r="K15" s="205">
        <f>Data!CK13/K$2*100000</f>
        <v>0</v>
      </c>
      <c r="L15" s="205">
        <f>Data!CL13/L$2*100000</f>
        <v>0</v>
      </c>
      <c r="M15" s="205">
        <f>Data!CM13/M$2*100000</f>
        <v>1.8140754111148401</v>
      </c>
      <c r="N15" s="205">
        <f>Data!CN13/N$2*100000</f>
        <v>3.2437780282695257</v>
      </c>
      <c r="O15" s="205">
        <f>Data!CO13/O$2*100000</f>
        <v>6.2082605340877857</v>
      </c>
      <c r="P15" s="205">
        <f>Data!CP13/P$2*100000</f>
        <v>14.276827688887529</v>
      </c>
      <c r="Q15" s="205">
        <f>Data!CQ13/Q$2*100000</f>
        <v>7.0372151393955029</v>
      </c>
      <c r="R15" s="205">
        <f>Data!CR13/R$2*100000</f>
        <v>17.230882336048154</v>
      </c>
      <c r="S15" s="205">
        <f>Data!CS13/S$2*100000</f>
        <v>12.339128610737511</v>
      </c>
      <c r="T15" s="205">
        <f>Data!CT13/T$2*100000</f>
        <v>19.754387120139597</v>
      </c>
      <c r="U15" s="205">
        <f>Data!CU13/U$2*100000</f>
        <v>39.875755540631296</v>
      </c>
      <c r="V15" s="205">
        <f>Data!BQ13/V$2*100000</f>
        <v>5.6917320003718599</v>
      </c>
      <c r="W15" s="188"/>
    </row>
    <row r="16" spans="1:23" ht="12" customHeight="1">
      <c r="A16" s="188"/>
      <c r="B16" s="197" t="str">
        <f>UPPER(LEFT(TRIM(Data!B14),1)) &amp; MID(TRIM(Data!B14),2,50)</f>
        <v>Kasos</v>
      </c>
      <c r="C16" s="198" t="str">
        <f>Data!C14</f>
        <v>C25</v>
      </c>
      <c r="D16" s="203">
        <f>Data!CD14/D$2*100000</f>
        <v>0</v>
      </c>
      <c r="E16" s="203">
        <f>Data!CE14/E$2*100000</f>
        <v>0</v>
      </c>
      <c r="F16" s="203">
        <f>Data!CF14/F$2*100000</f>
        <v>0</v>
      </c>
      <c r="G16" s="203">
        <f>Data!CG14/G$2*100000</f>
        <v>0</v>
      </c>
      <c r="H16" s="203">
        <f>Data!CH14/H$2*100000</f>
        <v>0</v>
      </c>
      <c r="I16" s="203">
        <f>Data!CI14/I$2*100000</f>
        <v>0</v>
      </c>
      <c r="J16" s="203">
        <f>Data!CJ14/J$2*100000</f>
        <v>0</v>
      </c>
      <c r="K16" s="203">
        <f>Data!CK14/K$2*100000</f>
        <v>0</v>
      </c>
      <c r="L16" s="203">
        <f>Data!CL14/L$2*100000</f>
        <v>0.94713113977761354</v>
      </c>
      <c r="M16" s="203">
        <f>Data!CM14/M$2*100000</f>
        <v>4.5351885277871</v>
      </c>
      <c r="N16" s="203">
        <f>Data!CN14/N$2*100000</f>
        <v>8.9203895777411955</v>
      </c>
      <c r="O16" s="203">
        <f>Data!CO14/O$2*100000</f>
        <v>14.190309792200653</v>
      </c>
      <c r="P16" s="203">
        <f>Data!CP14/P$2*100000</f>
        <v>26.514108565076842</v>
      </c>
      <c r="Q16" s="203">
        <f>Data!CQ14/Q$2*100000</f>
        <v>41.050421646473772</v>
      </c>
      <c r="R16" s="203">
        <f>Data!CR14/R$2*100000</f>
        <v>43.65156858465533</v>
      </c>
      <c r="S16" s="203">
        <f>Data!CS14/S$2*100000</f>
        <v>64.163468775835042</v>
      </c>
      <c r="T16" s="203">
        <f>Data!CT14/T$2*100000</f>
        <v>62.555559213775396</v>
      </c>
      <c r="U16" s="203">
        <f>Data!CU14/U$2*100000</f>
        <v>75.554063129617191</v>
      </c>
      <c r="V16" s="203">
        <f>Data!BQ14/V$2*100000</f>
        <v>16.316298401066</v>
      </c>
      <c r="W16" s="188"/>
    </row>
    <row r="17" spans="1:23" ht="12" customHeight="1">
      <c r="A17" s="188"/>
      <c r="B17" s="183" t="str">
        <f>UPPER(LEFT(TRIM(Data!B15),1)) &amp; MID(TRIM(Data!B15),2,50)</f>
        <v>Kitų virškinimo sistemos organų</v>
      </c>
      <c r="C17" s="184" t="str">
        <f>Data!C15</f>
        <v>C17, C26, C48</v>
      </c>
      <c r="D17" s="205">
        <f>Data!CD15/D$2*100000</f>
        <v>4.0793570933220922</v>
      </c>
      <c r="E17" s="205">
        <f>Data!CE15/E$2*100000</f>
        <v>0</v>
      </c>
      <c r="F17" s="205">
        <f>Data!CF15/F$2*100000</f>
        <v>0</v>
      </c>
      <c r="G17" s="205">
        <f>Data!CG15/G$2*100000</f>
        <v>0</v>
      </c>
      <c r="H17" s="205">
        <f>Data!CH15/H$2*100000</f>
        <v>0</v>
      </c>
      <c r="I17" s="205">
        <f>Data!CI15/I$2*100000</f>
        <v>0</v>
      </c>
      <c r="J17" s="205">
        <f>Data!CJ15/J$2*100000</f>
        <v>0</v>
      </c>
      <c r="K17" s="205">
        <f>Data!CK15/K$2*100000</f>
        <v>1.0828253077930936</v>
      </c>
      <c r="L17" s="205">
        <f>Data!CL15/L$2*100000</f>
        <v>0.94713113977761354</v>
      </c>
      <c r="M17" s="205">
        <f>Data!CM15/M$2*100000</f>
        <v>2.7211131166722602</v>
      </c>
      <c r="N17" s="205">
        <f>Data!CN15/N$2*100000</f>
        <v>0</v>
      </c>
      <c r="O17" s="205">
        <f>Data!CO15/O$2*100000</f>
        <v>4.4344718100627034</v>
      </c>
      <c r="P17" s="205">
        <f>Data!CP15/P$2*100000</f>
        <v>3.0593202190473279</v>
      </c>
      <c r="Q17" s="205">
        <f>Data!CQ15/Q$2*100000</f>
        <v>10.555822709093254</v>
      </c>
      <c r="R17" s="205">
        <f>Data!CR15/R$2*100000</f>
        <v>5.743627445349385</v>
      </c>
      <c r="S17" s="205">
        <f>Data!CS15/S$2*100000</f>
        <v>6.1695643053687554</v>
      </c>
      <c r="T17" s="205">
        <f>Data!CT15/T$2*100000</f>
        <v>9.8771935600697987</v>
      </c>
      <c r="U17" s="205">
        <f>Data!CU15/U$2*100000</f>
        <v>8.3948959032908004</v>
      </c>
      <c r="V17" s="205">
        <f>Data!BQ15/V$2*100000</f>
        <v>2.8458660001859299</v>
      </c>
      <c r="W17" s="188"/>
    </row>
    <row r="18" spans="1:23" ht="12" customHeight="1">
      <c r="A18" s="188"/>
      <c r="B18" s="197" t="str">
        <f>UPPER(LEFT(TRIM(Data!B16),1)) &amp; MID(TRIM(Data!B16),2,50)</f>
        <v>Nosies ertmės, vid.ausies ir ančių</v>
      </c>
      <c r="C18" s="198" t="str">
        <f>Data!C16</f>
        <v>C30, C31</v>
      </c>
      <c r="D18" s="203">
        <f>Data!CD16/D$2*100000</f>
        <v>0</v>
      </c>
      <c r="E18" s="203">
        <f>Data!CE16/E$2*100000</f>
        <v>0</v>
      </c>
      <c r="F18" s="203">
        <f>Data!CF16/F$2*100000</f>
        <v>0</v>
      </c>
      <c r="G18" s="203">
        <f>Data!CG16/G$2*100000</f>
        <v>0</v>
      </c>
      <c r="H18" s="203">
        <f>Data!CH16/H$2*100000</f>
        <v>0</v>
      </c>
      <c r="I18" s="203">
        <f>Data!CI16/I$2*100000</f>
        <v>0</v>
      </c>
      <c r="J18" s="203">
        <f>Data!CJ16/J$2*100000</f>
        <v>0</v>
      </c>
      <c r="K18" s="203">
        <f>Data!CK16/K$2*100000</f>
        <v>0</v>
      </c>
      <c r="L18" s="203">
        <f>Data!CL16/L$2*100000</f>
        <v>0</v>
      </c>
      <c r="M18" s="203">
        <f>Data!CM16/M$2*100000</f>
        <v>0</v>
      </c>
      <c r="N18" s="203">
        <f>Data!CN16/N$2*100000</f>
        <v>1.6218890141347628</v>
      </c>
      <c r="O18" s="203">
        <f>Data!CO16/O$2*100000</f>
        <v>0.88689436201254079</v>
      </c>
      <c r="P18" s="203">
        <f>Data!CP16/P$2*100000</f>
        <v>2.0395468126982186</v>
      </c>
      <c r="Q18" s="203">
        <f>Data!CQ16/Q$2*100000</f>
        <v>3.5186075696977515</v>
      </c>
      <c r="R18" s="203">
        <f>Data!CR16/R$2*100000</f>
        <v>2.2974509781397541</v>
      </c>
      <c r="S18" s="203">
        <f>Data!CS16/S$2*100000</f>
        <v>4.9356514442950035</v>
      </c>
      <c r="T18" s="203">
        <f>Data!CT16/T$2*100000</f>
        <v>0</v>
      </c>
      <c r="U18" s="203">
        <f>Data!CU16/U$2*100000</f>
        <v>6.2961719274680989</v>
      </c>
      <c r="V18" s="203">
        <f>Data!BQ16/V$2*100000</f>
        <v>1.0751049334035736</v>
      </c>
      <c r="W18" s="188"/>
    </row>
    <row r="19" spans="1:23" ht="12" customHeight="1">
      <c r="A19" s="188"/>
      <c r="B19" s="183" t="str">
        <f>UPPER(LEFT(TRIM(Data!B17),1)) &amp; MID(TRIM(Data!B17),2,50)</f>
        <v>Gerklų</v>
      </c>
      <c r="C19" s="184" t="str">
        <f>Data!C17</f>
        <v>C32</v>
      </c>
      <c r="D19" s="205">
        <f>Data!CD17/D$2*100000</f>
        <v>0</v>
      </c>
      <c r="E19" s="205">
        <f>Data!CE17/E$2*100000</f>
        <v>0</v>
      </c>
      <c r="F19" s="205">
        <f>Data!CF17/F$2*100000</f>
        <v>0</v>
      </c>
      <c r="G19" s="205">
        <f>Data!CG17/G$2*100000</f>
        <v>0</v>
      </c>
      <c r="H19" s="205">
        <f>Data!CH17/H$2*100000</f>
        <v>0</v>
      </c>
      <c r="I19" s="205">
        <f>Data!CI17/I$2*100000</f>
        <v>1.052941919723708</v>
      </c>
      <c r="J19" s="205">
        <f>Data!CJ17/J$2*100000</f>
        <v>1.146644345323411</v>
      </c>
      <c r="K19" s="205">
        <f>Data!CK17/K$2*100000</f>
        <v>0</v>
      </c>
      <c r="L19" s="205">
        <f>Data!CL17/L$2*100000</f>
        <v>0</v>
      </c>
      <c r="M19" s="205">
        <f>Data!CM17/M$2*100000</f>
        <v>0.90703770555742003</v>
      </c>
      <c r="N19" s="205">
        <f>Data!CN17/N$2*100000</f>
        <v>0.81094450706738141</v>
      </c>
      <c r="O19" s="205">
        <f>Data!CO17/O$2*100000</f>
        <v>2.660683086037622</v>
      </c>
      <c r="P19" s="205">
        <f>Data!CP17/P$2*100000</f>
        <v>2.0395468126982186</v>
      </c>
      <c r="Q19" s="205">
        <f>Data!CQ17/Q$2*100000</f>
        <v>0</v>
      </c>
      <c r="R19" s="205">
        <f>Data!CR17/R$2*100000</f>
        <v>1.148725489069877</v>
      </c>
      <c r="S19" s="205">
        <f>Data!CS17/S$2*100000</f>
        <v>3.7017385832212528</v>
      </c>
      <c r="T19" s="205">
        <f>Data!CT17/T$2*100000</f>
        <v>1.6461989266782997</v>
      </c>
      <c r="U19" s="205">
        <f>Data!CU17/U$2*100000</f>
        <v>2.0987239758227001</v>
      </c>
      <c r="V19" s="205">
        <f>Data!BQ17/V$2*100000</f>
        <v>0.94862200006197661</v>
      </c>
      <c r="W19" s="188"/>
    </row>
    <row r="20" spans="1:23" ht="12" customHeight="1">
      <c r="A20" s="188"/>
      <c r="B20" s="197" t="str">
        <f>UPPER(LEFT(TRIM(Data!B18),1)) &amp; MID(TRIM(Data!B18),2,50)</f>
        <v>Plaučių, trachėjos, bronchų</v>
      </c>
      <c r="C20" s="198" t="str">
        <f>Data!C18</f>
        <v>C33, C34</v>
      </c>
      <c r="D20" s="203">
        <f>Data!CD18/D$2*100000</f>
        <v>0</v>
      </c>
      <c r="E20" s="203">
        <f>Data!CE18/E$2*100000</f>
        <v>0</v>
      </c>
      <c r="F20" s="203">
        <f>Data!CF18/F$2*100000</f>
        <v>0</v>
      </c>
      <c r="G20" s="203">
        <f>Data!CG18/G$2*100000</f>
        <v>0</v>
      </c>
      <c r="H20" s="203">
        <f>Data!CH18/H$2*100000</f>
        <v>0.98141205566569178</v>
      </c>
      <c r="I20" s="203">
        <f>Data!CI18/I$2*100000</f>
        <v>0</v>
      </c>
      <c r="J20" s="203">
        <f>Data!CJ18/J$2*100000</f>
        <v>0</v>
      </c>
      <c r="K20" s="203">
        <f>Data!CK18/K$2*100000</f>
        <v>0</v>
      </c>
      <c r="L20" s="203">
        <f>Data!CL18/L$2*100000</f>
        <v>3.7885245591104542</v>
      </c>
      <c r="M20" s="203">
        <f>Data!CM18/M$2*100000</f>
        <v>8.1633393500167806</v>
      </c>
      <c r="N20" s="203">
        <f>Data!CN18/N$2*100000</f>
        <v>10.542278591875958</v>
      </c>
      <c r="O20" s="203">
        <f>Data!CO18/O$2*100000</f>
        <v>21.285464688300976</v>
      </c>
      <c r="P20" s="203">
        <f>Data!CP18/P$2*100000</f>
        <v>31.612975596822384</v>
      </c>
      <c r="Q20" s="203">
        <f>Data!CQ18/Q$2*100000</f>
        <v>39.87755245657452</v>
      </c>
      <c r="R20" s="203">
        <f>Data!CR18/R$2*100000</f>
        <v>53.990097986284219</v>
      </c>
      <c r="S20" s="203">
        <f>Data!CS18/S$2*100000</f>
        <v>46.888688720802534</v>
      </c>
      <c r="T20" s="203">
        <f>Data!CT18/T$2*100000</f>
        <v>59.263161360418792</v>
      </c>
      <c r="U20" s="203">
        <f>Data!CU18/U$2*100000</f>
        <v>48.270651443922091</v>
      </c>
      <c r="V20" s="203">
        <f>Data!BQ18/V$2*100000</f>
        <v>16.442781334407595</v>
      </c>
      <c r="W20" s="188"/>
    </row>
    <row r="21" spans="1:23" ht="12" customHeight="1">
      <c r="A21" s="188"/>
      <c r="B21" s="183" t="str">
        <f>UPPER(LEFT(TRIM(Data!B19),1)) &amp; MID(TRIM(Data!B19),2,50)</f>
        <v>Kitų kvėpavimo sistemos organų</v>
      </c>
      <c r="C21" s="184" t="str">
        <f>Data!C19</f>
        <v>C37-C39</v>
      </c>
      <c r="D21" s="205">
        <f>Data!CD19/D$2*100000</f>
        <v>0</v>
      </c>
      <c r="E21" s="205">
        <f>Data!CE19/E$2*100000</f>
        <v>1.4947236256016263</v>
      </c>
      <c r="F21" s="205">
        <f>Data!CF19/F$2*100000</f>
        <v>0</v>
      </c>
      <c r="G21" s="205">
        <f>Data!CG19/G$2*100000</f>
        <v>1.1832639151836426</v>
      </c>
      <c r="H21" s="205">
        <f>Data!CH19/H$2*100000</f>
        <v>0</v>
      </c>
      <c r="I21" s="205">
        <f>Data!CI19/I$2*100000</f>
        <v>0</v>
      </c>
      <c r="J21" s="205">
        <f>Data!CJ19/J$2*100000</f>
        <v>0</v>
      </c>
      <c r="K21" s="205">
        <f>Data!CK19/K$2*100000</f>
        <v>0</v>
      </c>
      <c r="L21" s="205">
        <f>Data!CL19/L$2*100000</f>
        <v>0</v>
      </c>
      <c r="M21" s="205">
        <f>Data!CM19/M$2*100000</f>
        <v>0.90703770555742003</v>
      </c>
      <c r="N21" s="205">
        <f>Data!CN19/N$2*100000</f>
        <v>0</v>
      </c>
      <c r="O21" s="205">
        <f>Data!CO19/O$2*100000</f>
        <v>0</v>
      </c>
      <c r="P21" s="205">
        <f>Data!CP19/P$2*100000</f>
        <v>0</v>
      </c>
      <c r="Q21" s="205">
        <f>Data!CQ19/Q$2*100000</f>
        <v>1.1728691898992505</v>
      </c>
      <c r="R21" s="205">
        <f>Data!CR19/R$2*100000</f>
        <v>0</v>
      </c>
      <c r="S21" s="205">
        <f>Data!CS19/S$2*100000</f>
        <v>2.4678257221475017</v>
      </c>
      <c r="T21" s="205">
        <f>Data!CT19/T$2*100000</f>
        <v>1.6461989266782997</v>
      </c>
      <c r="U21" s="205">
        <f>Data!CU19/U$2*100000</f>
        <v>4.1974479516454002</v>
      </c>
      <c r="V21" s="205">
        <f>Data!BQ19/V$2*100000</f>
        <v>0.56917320003718597</v>
      </c>
      <c r="W21" s="188"/>
    </row>
    <row r="22" spans="1:23" ht="12" customHeight="1">
      <c r="A22" s="188"/>
      <c r="B22" s="197" t="str">
        <f>UPPER(LEFT(TRIM(Data!B20),1)) &amp; MID(TRIM(Data!B20),2,50)</f>
        <v>Kaulų ir jungiamojo audinio</v>
      </c>
      <c r="C22" s="198" t="str">
        <f>Data!C20</f>
        <v>C40-C41, C45-C47, C49</v>
      </c>
      <c r="D22" s="203">
        <f>Data!CD20/D$2*100000</f>
        <v>0</v>
      </c>
      <c r="E22" s="203">
        <f>Data!CE20/E$2*100000</f>
        <v>1.4947236256016263</v>
      </c>
      <c r="F22" s="203">
        <f>Data!CF20/F$2*100000</f>
        <v>1.4673729621857987</v>
      </c>
      <c r="G22" s="203">
        <f>Data!CG20/G$2*100000</f>
        <v>3.549791745550928</v>
      </c>
      <c r="H22" s="203">
        <f>Data!CH20/H$2*100000</f>
        <v>0.98141205566569178</v>
      </c>
      <c r="I22" s="203">
        <f>Data!CI20/I$2*100000</f>
        <v>3.1588257591711244</v>
      </c>
      <c r="J22" s="203">
        <f>Data!CJ20/J$2*100000</f>
        <v>2.2932886906468219</v>
      </c>
      <c r="K22" s="203">
        <f>Data!CK20/K$2*100000</f>
        <v>2.1656506155861872</v>
      </c>
      <c r="L22" s="203">
        <f>Data!CL20/L$2*100000</f>
        <v>2.841393419332841</v>
      </c>
      <c r="M22" s="203">
        <f>Data!CM20/M$2*100000</f>
        <v>3.6281508222296801</v>
      </c>
      <c r="N22" s="203">
        <f>Data!CN20/N$2*100000</f>
        <v>4.8656670424042883</v>
      </c>
      <c r="O22" s="203">
        <f>Data!CO20/O$2*100000</f>
        <v>3.5475774480501632</v>
      </c>
      <c r="P22" s="203">
        <f>Data!CP20/P$2*100000</f>
        <v>3.0593202190473279</v>
      </c>
      <c r="Q22" s="203">
        <f>Data!CQ20/Q$2*100000</f>
        <v>3.5186075696977515</v>
      </c>
      <c r="R22" s="203">
        <f>Data!CR20/R$2*100000</f>
        <v>9.1898039125590163</v>
      </c>
      <c r="S22" s="203">
        <f>Data!CS20/S$2*100000</f>
        <v>11.10521574966376</v>
      </c>
      <c r="T22" s="203">
        <f>Data!CT20/T$2*100000</f>
        <v>6.5847957067131988</v>
      </c>
      <c r="U22" s="203">
        <f>Data!CU20/U$2*100000</f>
        <v>12.592343854936198</v>
      </c>
      <c r="V22" s="203">
        <f>Data!BQ20/V$2*100000</f>
        <v>3.9842124002603021</v>
      </c>
      <c r="W22" s="188"/>
    </row>
    <row r="23" spans="1:23" ht="12" customHeight="1">
      <c r="A23" s="188"/>
      <c r="B23" s="183" t="str">
        <f>UPPER(LEFT(TRIM(Data!B21),1)) &amp; MID(TRIM(Data!B21),2,50)</f>
        <v>Odos melanoma</v>
      </c>
      <c r="C23" s="184" t="str">
        <f>Data!C21</f>
        <v>C43</v>
      </c>
      <c r="D23" s="205">
        <f>Data!CD21/D$2*100000</f>
        <v>0</v>
      </c>
      <c r="E23" s="205">
        <f>Data!CE21/E$2*100000</f>
        <v>0</v>
      </c>
      <c r="F23" s="205">
        <f>Data!CF21/F$2*100000</f>
        <v>0</v>
      </c>
      <c r="G23" s="205">
        <f>Data!CG21/G$2*100000</f>
        <v>0</v>
      </c>
      <c r="H23" s="205">
        <f>Data!CH21/H$2*100000</f>
        <v>1.9628241113313836</v>
      </c>
      <c r="I23" s="205">
        <f>Data!CI21/I$2*100000</f>
        <v>5.2647095986185404</v>
      </c>
      <c r="J23" s="205">
        <f>Data!CJ21/J$2*100000</f>
        <v>2.2932886906468219</v>
      </c>
      <c r="K23" s="205">
        <f>Data!CK21/K$2*100000</f>
        <v>3.2484759233792815</v>
      </c>
      <c r="L23" s="205">
        <f>Data!CL21/L$2*100000</f>
        <v>7.5770491182209083</v>
      </c>
      <c r="M23" s="205">
        <f>Data!CM21/M$2*100000</f>
        <v>10.884452466689041</v>
      </c>
      <c r="N23" s="205">
        <f>Data!CN21/N$2*100000</f>
        <v>17.840779155482391</v>
      </c>
      <c r="O23" s="205">
        <f>Data!CO21/O$2*100000</f>
        <v>14.190309792200653</v>
      </c>
      <c r="P23" s="205">
        <f>Data!CP21/P$2*100000</f>
        <v>27.533881971425949</v>
      </c>
      <c r="Q23" s="205">
        <f>Data!CQ21/Q$2*100000</f>
        <v>29.321729747481264</v>
      </c>
      <c r="R23" s="205">
        <f>Data!CR21/R$2*100000</f>
        <v>20.677058803257786</v>
      </c>
      <c r="S23" s="205">
        <f>Data!CS21/S$2*100000</f>
        <v>25.912170082548773</v>
      </c>
      <c r="T23" s="205">
        <f>Data!CT21/T$2*100000</f>
        <v>16.461989266782997</v>
      </c>
      <c r="U23" s="205">
        <f>Data!CU21/U$2*100000</f>
        <v>35.678307588985895</v>
      </c>
      <c r="V23" s="205">
        <f>Data!BQ21/V$2*100000</f>
        <v>11.889395734110108</v>
      </c>
      <c r="W23" s="188"/>
    </row>
    <row r="24" spans="1:23" ht="12" customHeight="1">
      <c r="A24" s="188"/>
      <c r="B24" s="197" t="str">
        <f>UPPER(LEFT(TRIM(Data!B22),1)) &amp; MID(TRIM(Data!B22),2,50)</f>
        <v>Kiti odos piktybiniai navikai</v>
      </c>
      <c r="C24" s="198" t="str">
        <f>Data!C22</f>
        <v>C44</v>
      </c>
      <c r="D24" s="203">
        <f>Data!CD22/D$2*100000</f>
        <v>0</v>
      </c>
      <c r="E24" s="203">
        <f>Data!CE22/E$2*100000</f>
        <v>0</v>
      </c>
      <c r="F24" s="203">
        <f>Data!CF22/F$2*100000</f>
        <v>0</v>
      </c>
      <c r="G24" s="203">
        <f>Data!CG22/G$2*100000</f>
        <v>0</v>
      </c>
      <c r="H24" s="203">
        <f>Data!CH22/H$2*100000</f>
        <v>2.9442361669970754</v>
      </c>
      <c r="I24" s="203">
        <f>Data!CI22/I$2*100000</f>
        <v>4.2117676788948319</v>
      </c>
      <c r="J24" s="203">
        <f>Data!CJ22/J$2*100000</f>
        <v>11.46644345323411</v>
      </c>
      <c r="K24" s="203">
        <f>Data!CK22/K$2*100000</f>
        <v>17.325204924689498</v>
      </c>
      <c r="L24" s="203">
        <f>Data!CL22/L$2*100000</f>
        <v>26.519671913773184</v>
      </c>
      <c r="M24" s="203">
        <f>Data!CM22/M$2*100000</f>
        <v>46.25892298342842</v>
      </c>
      <c r="N24" s="203">
        <f>Data!CN22/N$2*100000</f>
        <v>59.198949015918842</v>
      </c>
      <c r="O24" s="203">
        <f>Data!CO22/O$2*100000</f>
        <v>86.915647477228987</v>
      </c>
      <c r="P24" s="203">
        <f>Data!CP22/P$2*100000</f>
        <v>125.43212898094045</v>
      </c>
      <c r="Q24" s="203">
        <f>Data!CQ22/Q$2*100000</f>
        <v>205.25210823236884</v>
      </c>
      <c r="R24" s="203">
        <f>Data!CR22/R$2*100000</f>
        <v>221.70401939048625</v>
      </c>
      <c r="S24" s="203">
        <f>Data!CS22/S$2*100000</f>
        <v>319.58343101810146</v>
      </c>
      <c r="T24" s="203">
        <f>Data!CT22/T$2*100000</f>
        <v>319.36259177559015</v>
      </c>
      <c r="U24" s="203">
        <f>Data!CU22/U$2*100000</f>
        <v>310.61114842175954</v>
      </c>
      <c r="V24" s="203">
        <f>Data!BQ22/V$2*100000</f>
        <v>86.957016672347862</v>
      </c>
      <c r="W24" s="188"/>
    </row>
    <row r="25" spans="1:23" ht="12" customHeight="1">
      <c r="A25" s="188"/>
      <c r="B25" s="183" t="str">
        <f>UPPER(LEFT(TRIM(Data!B23),1)) &amp; MID(TRIM(Data!B23),2,50)</f>
        <v>Krūties</v>
      </c>
      <c r="C25" s="184" t="str">
        <f>Data!C23</f>
        <v>C50</v>
      </c>
      <c r="D25" s="205">
        <f>Data!CD23/D$2*100000</f>
        <v>0</v>
      </c>
      <c r="E25" s="205">
        <f>Data!CE23/E$2*100000</f>
        <v>0</v>
      </c>
      <c r="F25" s="205">
        <f>Data!CF23/F$2*100000</f>
        <v>0</v>
      </c>
      <c r="G25" s="205">
        <f>Data!CG23/G$2*100000</f>
        <v>0</v>
      </c>
      <c r="H25" s="205">
        <f>Data!CH23/H$2*100000</f>
        <v>1.9628241113313836</v>
      </c>
      <c r="I25" s="205">
        <f>Data!CI23/I$2*100000</f>
        <v>5.2647095986185404</v>
      </c>
      <c r="J25" s="205">
        <f>Data!CJ23/J$2*100000</f>
        <v>14.906376489204343</v>
      </c>
      <c r="K25" s="205">
        <f>Data!CK23/K$2*100000</f>
        <v>44.395837619516847</v>
      </c>
      <c r="L25" s="205">
        <f>Data!CL23/L$2*100000</f>
        <v>89.030327139095675</v>
      </c>
      <c r="M25" s="205">
        <f>Data!CM23/M$2*100000</f>
        <v>136.96269353917043</v>
      </c>
      <c r="N25" s="205">
        <f>Data!CN23/N$2*100000</f>
        <v>162.99984592054366</v>
      </c>
      <c r="O25" s="205">
        <f>Data!CO23/O$2*100000</f>
        <v>184.47402729860846</v>
      </c>
      <c r="P25" s="205">
        <f>Data!CP23/P$2*100000</f>
        <v>207.01400148886916</v>
      </c>
      <c r="Q25" s="205">
        <f>Data!CQ23/Q$2*100000</f>
        <v>246.30252987884259</v>
      </c>
      <c r="R25" s="205">
        <f>Data!CR23/R$2*100000</f>
        <v>198.72950960908869</v>
      </c>
      <c r="S25" s="205">
        <f>Data!CS23/S$2*100000</f>
        <v>204.82953493824266</v>
      </c>
      <c r="T25" s="205">
        <f>Data!CT23/T$2*100000</f>
        <v>182.72808086129129</v>
      </c>
      <c r="U25" s="205">
        <f>Data!CU23/U$2*100000</f>
        <v>161.60174613834789</v>
      </c>
      <c r="V25" s="205">
        <f>Data!BQ23/V$2*100000</f>
        <v>104.66462734017142</v>
      </c>
      <c r="W25" s="188"/>
    </row>
    <row r="26" spans="1:23" ht="12" customHeight="1">
      <c r="A26" s="188"/>
      <c r="B26" s="197" t="str">
        <f>UPPER(LEFT(TRIM(Data!B24),1)) &amp; MID(TRIM(Data!B24),2,50)</f>
        <v>Vulvos</v>
      </c>
      <c r="C26" s="198" t="str">
        <f>Data!C24</f>
        <v>C51</v>
      </c>
      <c r="D26" s="203">
        <f>Data!CD24/D$2*100000</f>
        <v>0</v>
      </c>
      <c r="E26" s="203">
        <f>Data!CE24/E$2*100000</f>
        <v>0</v>
      </c>
      <c r="F26" s="203">
        <f>Data!CF24/F$2*100000</f>
        <v>0</v>
      </c>
      <c r="G26" s="203">
        <f>Data!CG24/G$2*100000</f>
        <v>0</v>
      </c>
      <c r="H26" s="203">
        <f>Data!CH24/H$2*100000</f>
        <v>0</v>
      </c>
      <c r="I26" s="203">
        <f>Data!CI24/I$2*100000</f>
        <v>0</v>
      </c>
      <c r="J26" s="203">
        <f>Data!CJ24/J$2*100000</f>
        <v>0</v>
      </c>
      <c r="K26" s="203">
        <f>Data!CK24/K$2*100000</f>
        <v>0</v>
      </c>
      <c r="L26" s="203">
        <f>Data!CL24/L$2*100000</f>
        <v>0</v>
      </c>
      <c r="M26" s="203">
        <f>Data!CM24/M$2*100000</f>
        <v>0</v>
      </c>
      <c r="N26" s="203">
        <f>Data!CN24/N$2*100000</f>
        <v>1.6218890141347628</v>
      </c>
      <c r="O26" s="203">
        <f>Data!CO24/O$2*100000</f>
        <v>1.7737887240250816</v>
      </c>
      <c r="P26" s="203">
        <f>Data!CP24/P$2*100000</f>
        <v>5.098867031745546</v>
      </c>
      <c r="Q26" s="203">
        <f>Data!CQ24/Q$2*100000</f>
        <v>8.2100843292947534</v>
      </c>
      <c r="R26" s="203">
        <f>Data!CR24/R$2*100000</f>
        <v>5.743627445349385</v>
      </c>
      <c r="S26" s="203">
        <f>Data!CS24/S$2*100000</f>
        <v>4.9356514442950035</v>
      </c>
      <c r="T26" s="203">
        <f>Data!CT24/T$2*100000</f>
        <v>14.815790340104698</v>
      </c>
      <c r="U26" s="203">
        <f>Data!CU24/U$2*100000</f>
        <v>25.184687709872396</v>
      </c>
      <c r="V26" s="203">
        <f>Data!BQ24/V$2*100000</f>
        <v>2.9091074668567285</v>
      </c>
      <c r="W26" s="188"/>
    </row>
    <row r="27" spans="1:23" ht="12" customHeight="1">
      <c r="A27" s="188"/>
      <c r="B27" s="183" t="str">
        <f>UPPER(LEFT(TRIM(Data!B25),1)) &amp; MID(TRIM(Data!B25),2,50)</f>
        <v>Gimdos kaklelio</v>
      </c>
      <c r="C27" s="184" t="str">
        <f>Data!C25</f>
        <v>C53</v>
      </c>
      <c r="D27" s="205">
        <f>Data!CD25/D$2*100000</f>
        <v>0</v>
      </c>
      <c r="E27" s="205">
        <f>Data!CE25/E$2*100000</f>
        <v>0</v>
      </c>
      <c r="F27" s="205">
        <f>Data!CF25/F$2*100000</f>
        <v>0</v>
      </c>
      <c r="G27" s="205">
        <f>Data!CG25/G$2*100000</f>
        <v>0</v>
      </c>
      <c r="H27" s="205">
        <f>Data!CH25/H$2*100000</f>
        <v>0</v>
      </c>
      <c r="I27" s="205">
        <f>Data!CI25/I$2*100000</f>
        <v>17.900012635303039</v>
      </c>
      <c r="J27" s="205">
        <f>Data!CJ25/J$2*100000</f>
        <v>16.053020834527754</v>
      </c>
      <c r="K27" s="205">
        <f>Data!CK25/K$2*100000</f>
        <v>21.656506155861873</v>
      </c>
      <c r="L27" s="205">
        <f>Data!CL25/L$2*100000</f>
        <v>42.620901289992609</v>
      </c>
      <c r="M27" s="205">
        <f>Data!CM25/M$2*100000</f>
        <v>39.002621338969057</v>
      </c>
      <c r="N27" s="205">
        <f>Data!CN25/N$2*100000</f>
        <v>38.925336339234306</v>
      </c>
      <c r="O27" s="205">
        <f>Data!CO25/O$2*100000</f>
        <v>31.928197032451461</v>
      </c>
      <c r="P27" s="205">
        <f>Data!CP25/P$2*100000</f>
        <v>31.612975596822384</v>
      </c>
      <c r="Q27" s="205">
        <f>Data!CQ25/Q$2*100000</f>
        <v>25.803122177783511</v>
      </c>
      <c r="R27" s="205">
        <f>Data!CR25/R$2*100000</f>
        <v>27.569411737677047</v>
      </c>
      <c r="S27" s="205">
        <f>Data!CS25/S$2*100000</f>
        <v>35.783472971138778</v>
      </c>
      <c r="T27" s="205">
        <f>Data!CT25/T$2*100000</f>
        <v>36.21637638692259</v>
      </c>
      <c r="U27" s="205">
        <f>Data!CU25/U$2*100000</f>
        <v>31.480859637340494</v>
      </c>
      <c r="V27" s="205">
        <f>Data!BQ25/V$2*100000</f>
        <v>23.146376801512229</v>
      </c>
      <c r="W27" s="188"/>
    </row>
    <row r="28" spans="1:23" ht="12" customHeight="1">
      <c r="A28" s="188"/>
      <c r="B28" s="197" t="str">
        <f>UPPER(LEFT(TRIM(Data!B26),1)) &amp; MID(TRIM(Data!B26),2,50)</f>
        <v>Gimdos kūno</v>
      </c>
      <c r="C28" s="198" t="str">
        <f>Data!C26</f>
        <v>C54, C55</v>
      </c>
      <c r="D28" s="203">
        <f>Data!CD26/D$2*100000</f>
        <v>0</v>
      </c>
      <c r="E28" s="203">
        <f>Data!CE26/E$2*100000</f>
        <v>0</v>
      </c>
      <c r="F28" s="203">
        <f>Data!CF26/F$2*100000</f>
        <v>0</v>
      </c>
      <c r="G28" s="203">
        <f>Data!CG26/G$2*100000</f>
        <v>0</v>
      </c>
      <c r="H28" s="203">
        <f>Data!CH26/H$2*100000</f>
        <v>0</v>
      </c>
      <c r="I28" s="203">
        <f>Data!CI26/I$2*100000</f>
        <v>0</v>
      </c>
      <c r="J28" s="203">
        <f>Data!CJ26/J$2*100000</f>
        <v>2.2932886906468219</v>
      </c>
      <c r="K28" s="203">
        <f>Data!CK26/K$2*100000</f>
        <v>4.3313012311723744</v>
      </c>
      <c r="L28" s="203">
        <f>Data!CL26/L$2*100000</f>
        <v>15.154098236441817</v>
      </c>
      <c r="M28" s="203">
        <f>Data!CM26/M$2*100000</f>
        <v>35.374470516739379</v>
      </c>
      <c r="N28" s="203">
        <f>Data!CN26/N$2*100000</f>
        <v>60.009893522986218</v>
      </c>
      <c r="O28" s="203">
        <f>Data!CO26/O$2*100000</f>
        <v>78.04670385710358</v>
      </c>
      <c r="P28" s="203">
        <f>Data!CP26/P$2*100000</f>
        <v>83.621419320626956</v>
      </c>
      <c r="Q28" s="203">
        <f>Data!CQ26/Q$2*100000</f>
        <v>103.21248871113404</v>
      </c>
      <c r="R28" s="203">
        <f>Data!CR26/R$2*100000</f>
        <v>96.49294108186966</v>
      </c>
      <c r="S28" s="203">
        <f>Data!CS26/S$2*100000</f>
        <v>92.543464580531321</v>
      </c>
      <c r="T28" s="203">
        <f>Data!CT26/T$2*100000</f>
        <v>70.7865538471669</v>
      </c>
      <c r="U28" s="203">
        <f>Data!CU26/U$2*100000</f>
        <v>44.073203492276697</v>
      </c>
      <c r="V28" s="203">
        <f>Data!BQ26/V$2*100000</f>
        <v>38.956743469211844</v>
      </c>
      <c r="W28" s="188"/>
    </row>
    <row r="29" spans="1:23" ht="12" customHeight="1">
      <c r="A29" s="188"/>
      <c r="B29" s="183" t="str">
        <f>UPPER(LEFT(TRIM(Data!B27),1)) &amp; MID(TRIM(Data!B27),2,50)</f>
        <v>Kiaušidžių</v>
      </c>
      <c r="C29" s="184" t="str">
        <f>Data!C27</f>
        <v>C56</v>
      </c>
      <c r="D29" s="205">
        <f>Data!CD27/D$2*100000</f>
        <v>0</v>
      </c>
      <c r="E29" s="205">
        <f>Data!CE27/E$2*100000</f>
        <v>0</v>
      </c>
      <c r="F29" s="205">
        <f>Data!CF27/F$2*100000</f>
        <v>0</v>
      </c>
      <c r="G29" s="205">
        <f>Data!CG27/G$2*100000</f>
        <v>2.3665278303672852</v>
      </c>
      <c r="H29" s="205">
        <f>Data!CH27/H$2*100000</f>
        <v>3.9256482226627671</v>
      </c>
      <c r="I29" s="205">
        <f>Data!CI27/I$2*100000</f>
        <v>5.2647095986185404</v>
      </c>
      <c r="J29" s="205">
        <f>Data!CJ27/J$2*100000</f>
        <v>5.7332217266170549</v>
      </c>
      <c r="K29" s="205">
        <f>Data!CK27/K$2*100000</f>
        <v>4.3313012311723744</v>
      </c>
      <c r="L29" s="205">
        <f>Data!CL27/L$2*100000</f>
        <v>17.048360515997043</v>
      </c>
      <c r="M29" s="205">
        <f>Data!CM27/M$2*100000</f>
        <v>39.002621338969057</v>
      </c>
      <c r="N29" s="205">
        <f>Data!CN27/N$2*100000</f>
        <v>39.736280846301689</v>
      </c>
      <c r="O29" s="205">
        <f>Data!CO27/O$2*100000</f>
        <v>41.684035014589412</v>
      </c>
      <c r="P29" s="205">
        <f>Data!CP27/P$2*100000</f>
        <v>42.830483066662588</v>
      </c>
      <c r="Q29" s="205">
        <f>Data!CQ27/Q$2*100000</f>
        <v>37.531814076776016</v>
      </c>
      <c r="R29" s="205">
        <f>Data!CR27/R$2*100000</f>
        <v>62.031176409773359</v>
      </c>
      <c r="S29" s="205">
        <f>Data!CS27/S$2*100000</f>
        <v>59.227817331540045</v>
      </c>
      <c r="T29" s="205">
        <f>Data!CT27/T$2*100000</f>
        <v>59.263161360418792</v>
      </c>
      <c r="U29" s="205">
        <f>Data!CU27/U$2*100000</f>
        <v>31.480859637340494</v>
      </c>
      <c r="V29" s="205">
        <f>Data!BQ27/V$2*100000</f>
        <v>25.549552535002569</v>
      </c>
      <c r="W29" s="188"/>
    </row>
    <row r="30" spans="1:23" ht="12" customHeight="1">
      <c r="A30" s="188"/>
      <c r="B30" s="197" t="str">
        <f>UPPER(LEFT(TRIM(Data!B30),1)) &amp; MID(TRIM(Data!B30),2,50)</f>
        <v>Kitų lyties organų</v>
      </c>
      <c r="C30" s="198" t="s">
        <v>418</v>
      </c>
      <c r="D30" s="203">
        <f>Data!CD30/D$2*100000</f>
        <v>0</v>
      </c>
      <c r="E30" s="203">
        <f>Data!CE30/E$2*100000</f>
        <v>0</v>
      </c>
      <c r="F30" s="203">
        <f>Data!CF30/F$2*100000</f>
        <v>0</v>
      </c>
      <c r="G30" s="203">
        <f>Data!CG30/G$2*100000</f>
        <v>0</v>
      </c>
      <c r="H30" s="203">
        <f>Data!CH30/H$2*100000</f>
        <v>0</v>
      </c>
      <c r="I30" s="203">
        <f>Data!CI30/I$2*100000</f>
        <v>1.052941919723708</v>
      </c>
      <c r="J30" s="203">
        <f>Data!CJ30/J$2*100000</f>
        <v>1.146644345323411</v>
      </c>
      <c r="K30" s="203">
        <f>Data!CK30/K$2*100000</f>
        <v>0</v>
      </c>
      <c r="L30" s="203">
        <f>Data!CL30/L$2*100000</f>
        <v>0.94713113977761354</v>
      </c>
      <c r="M30" s="203">
        <f>Data!CM30/M$2*100000</f>
        <v>0.90703770555742003</v>
      </c>
      <c r="N30" s="203">
        <f>Data!CN30/N$2*100000</f>
        <v>3.2437780282695257</v>
      </c>
      <c r="O30" s="203">
        <f>Data!CO30/O$2*100000</f>
        <v>1.7737887240250816</v>
      </c>
      <c r="P30" s="203">
        <f>Data!CP30/P$2*100000</f>
        <v>1.0197734063491093</v>
      </c>
      <c r="Q30" s="203">
        <f>Data!CQ30/Q$2*100000</f>
        <v>5.8643459494962524</v>
      </c>
      <c r="R30" s="203">
        <f>Data!CR30/R$2*100000</f>
        <v>4.5949019562795081</v>
      </c>
      <c r="S30" s="203">
        <f>Data!CS30/S$2*100000</f>
        <v>3.7017385832212528</v>
      </c>
      <c r="T30" s="203">
        <f>Data!CT30/T$2*100000</f>
        <v>9.8771935600697987</v>
      </c>
      <c r="U30" s="203">
        <f>Data!CU30/U$2*100000</f>
        <v>8.3948959032908004</v>
      </c>
      <c r="V30" s="203">
        <f>Data!BQ30/V$2*100000</f>
        <v>2.0869684001363487</v>
      </c>
      <c r="W30" s="188"/>
    </row>
    <row r="31" spans="1:23" ht="12" customHeight="1">
      <c r="A31" s="188"/>
      <c r="B31" s="183" t="str">
        <f>UPPER(LEFT(TRIM(Data!B31),1)) &amp; MID(TRIM(Data!B31),2,50)</f>
        <v>Inkstų</v>
      </c>
      <c r="C31" s="184" t="str">
        <f>Data!C31</f>
        <v>C64</v>
      </c>
      <c r="D31" s="205">
        <f>Data!CD31/D$2*100000</f>
        <v>0</v>
      </c>
      <c r="E31" s="205">
        <f>Data!CE31/E$2*100000</f>
        <v>0</v>
      </c>
      <c r="F31" s="205">
        <f>Data!CF31/F$2*100000</f>
        <v>0</v>
      </c>
      <c r="G31" s="205">
        <f>Data!CG31/G$2*100000</f>
        <v>0</v>
      </c>
      <c r="H31" s="205">
        <f>Data!CH31/H$2*100000</f>
        <v>0.98141205566569178</v>
      </c>
      <c r="I31" s="205">
        <f>Data!CI31/I$2*100000</f>
        <v>1.052941919723708</v>
      </c>
      <c r="J31" s="205">
        <f>Data!CJ31/J$2*100000</f>
        <v>1.146644345323411</v>
      </c>
      <c r="K31" s="205">
        <f>Data!CK31/K$2*100000</f>
        <v>2.1656506155861872</v>
      </c>
      <c r="L31" s="205">
        <f>Data!CL31/L$2*100000</f>
        <v>3.7885245591104542</v>
      </c>
      <c r="M31" s="205">
        <f>Data!CM31/M$2*100000</f>
        <v>9.9774147611316213</v>
      </c>
      <c r="N31" s="205">
        <f>Data!CN31/N$2*100000</f>
        <v>12.975112113078103</v>
      </c>
      <c r="O31" s="205">
        <f>Data!CO31/O$2*100000</f>
        <v>23.946147774338598</v>
      </c>
      <c r="P31" s="205">
        <f>Data!CP31/P$2*100000</f>
        <v>33.652522409520607</v>
      </c>
      <c r="Q31" s="205">
        <f>Data!CQ31/Q$2*100000</f>
        <v>38.704683266675268</v>
      </c>
      <c r="R31" s="205">
        <f>Data!CR31/R$2*100000</f>
        <v>49.395196030004712</v>
      </c>
      <c r="S31" s="205">
        <f>Data!CS31/S$2*100000</f>
        <v>46.888688720802534</v>
      </c>
      <c r="T31" s="205">
        <f>Data!CT31/T$2*100000</f>
        <v>60.909360287097094</v>
      </c>
      <c r="U31" s="205">
        <f>Data!CU31/U$2*100000</f>
        <v>39.875755540631296</v>
      </c>
      <c r="V31" s="205">
        <f>Data!BQ31/V$2*100000</f>
        <v>16.822230134432385</v>
      </c>
      <c r="W31" s="188"/>
    </row>
    <row r="32" spans="1:23" ht="12" customHeight="1">
      <c r="A32" s="188"/>
      <c r="B32" s="197" t="str">
        <f>UPPER(LEFT(TRIM(Data!B32),1)) &amp; MID(TRIM(Data!B32),2,50)</f>
        <v>Šlapimo pūslės</v>
      </c>
      <c r="C32" s="198" t="str">
        <f>Data!C32</f>
        <v>C67</v>
      </c>
      <c r="D32" s="203">
        <f>Data!CD32/D$2*100000</f>
        <v>0</v>
      </c>
      <c r="E32" s="203">
        <f>Data!CE32/E$2*100000</f>
        <v>0</v>
      </c>
      <c r="F32" s="203">
        <f>Data!CF32/F$2*100000</f>
        <v>0</v>
      </c>
      <c r="G32" s="203">
        <f>Data!CG32/G$2*100000</f>
        <v>0</v>
      </c>
      <c r="H32" s="203">
        <f>Data!CH32/H$2*100000</f>
        <v>0</v>
      </c>
      <c r="I32" s="203">
        <f>Data!CI32/I$2*100000</f>
        <v>0</v>
      </c>
      <c r="J32" s="203">
        <f>Data!CJ32/J$2*100000</f>
        <v>0</v>
      </c>
      <c r="K32" s="203">
        <f>Data!CK32/K$2*100000</f>
        <v>1.0828253077930936</v>
      </c>
      <c r="L32" s="203">
        <f>Data!CL32/L$2*100000</f>
        <v>0</v>
      </c>
      <c r="M32" s="203">
        <f>Data!CM32/M$2*100000</f>
        <v>0</v>
      </c>
      <c r="N32" s="203">
        <f>Data!CN32/N$2*100000</f>
        <v>2.4328335212021441</v>
      </c>
      <c r="O32" s="203">
        <f>Data!CO32/O$2*100000</f>
        <v>0.88689436201254079</v>
      </c>
      <c r="P32" s="203">
        <f>Data!CP32/P$2*100000</f>
        <v>2.0395468126982186</v>
      </c>
      <c r="Q32" s="203">
        <f>Data!CQ32/Q$2*100000</f>
        <v>9.3829535191940039</v>
      </c>
      <c r="R32" s="203">
        <f>Data!CR32/R$2*100000</f>
        <v>10.338529401628893</v>
      </c>
      <c r="S32" s="203">
        <f>Data!CS32/S$2*100000</f>
        <v>27.14608294362252</v>
      </c>
      <c r="T32" s="203">
        <f>Data!CT32/T$2*100000</f>
        <v>19.754387120139597</v>
      </c>
      <c r="U32" s="203">
        <f>Data!CU32/U$2*100000</f>
        <v>18.888515782404298</v>
      </c>
      <c r="V32" s="203">
        <f>Data!BQ32/V$2*100000</f>
        <v>4.2371782669434959</v>
      </c>
      <c r="W32" s="188"/>
    </row>
    <row r="33" spans="1:23" ht="12" customHeight="1">
      <c r="A33" s="188"/>
      <c r="B33" s="183" t="str">
        <f>UPPER(LEFT(TRIM(Data!B33),1)) &amp; MID(TRIM(Data!B33),2,50)</f>
        <v>Kitų šlapimą išskiriančių organų</v>
      </c>
      <c r="C33" s="184" t="str">
        <f>Data!C33</f>
        <v>C65, C66, C68</v>
      </c>
      <c r="D33" s="205">
        <f>Data!CD33/D$2*100000</f>
        <v>0</v>
      </c>
      <c r="E33" s="205">
        <f>Data!CE33/E$2*100000</f>
        <v>0</v>
      </c>
      <c r="F33" s="205">
        <f>Data!CF33/F$2*100000</f>
        <v>0</v>
      </c>
      <c r="G33" s="205">
        <f>Data!CG33/G$2*100000</f>
        <v>0</v>
      </c>
      <c r="H33" s="205">
        <f>Data!CH33/H$2*100000</f>
        <v>0</v>
      </c>
      <c r="I33" s="205">
        <f>Data!CI33/I$2*100000</f>
        <v>0</v>
      </c>
      <c r="J33" s="205">
        <f>Data!CJ33/J$2*100000</f>
        <v>0</v>
      </c>
      <c r="K33" s="205">
        <f>Data!CK33/K$2*100000</f>
        <v>0</v>
      </c>
      <c r="L33" s="205">
        <f>Data!CL33/L$2*100000</f>
        <v>0</v>
      </c>
      <c r="M33" s="205">
        <f>Data!CM33/M$2*100000</f>
        <v>0</v>
      </c>
      <c r="N33" s="205">
        <f>Data!CN33/N$2*100000</f>
        <v>0.81094450706738141</v>
      </c>
      <c r="O33" s="205">
        <f>Data!CO33/O$2*100000</f>
        <v>2.660683086037622</v>
      </c>
      <c r="P33" s="205">
        <f>Data!CP33/P$2*100000</f>
        <v>2.0395468126982186</v>
      </c>
      <c r="Q33" s="205">
        <f>Data!CQ33/Q$2*100000</f>
        <v>1.1728691898992505</v>
      </c>
      <c r="R33" s="205">
        <f>Data!CR33/R$2*100000</f>
        <v>1.148725489069877</v>
      </c>
      <c r="S33" s="205">
        <f>Data!CS33/S$2*100000</f>
        <v>13.57304147181126</v>
      </c>
      <c r="T33" s="205">
        <f>Data!CT33/T$2*100000</f>
        <v>4.9385967800348993</v>
      </c>
      <c r="U33" s="205">
        <f>Data!CU33/U$2*100000</f>
        <v>6.2961719274680989</v>
      </c>
      <c r="V33" s="205">
        <f>Data!BQ33/V$2*100000</f>
        <v>1.5810366667699609</v>
      </c>
      <c r="W33" s="188"/>
    </row>
    <row r="34" spans="1:23" ht="12" customHeight="1">
      <c r="A34" s="188"/>
      <c r="B34" s="197" t="str">
        <f>UPPER(LEFT(TRIM(Data!B34),1)) &amp; MID(TRIM(Data!B34),2,50)</f>
        <v>Akių</v>
      </c>
      <c r="C34" s="198" t="str">
        <f>Data!C34</f>
        <v>C69</v>
      </c>
      <c r="D34" s="203">
        <f>Data!CD34/D$2*100000</f>
        <v>0</v>
      </c>
      <c r="E34" s="203">
        <f>Data!CE34/E$2*100000</f>
        <v>0</v>
      </c>
      <c r="F34" s="203">
        <f>Data!CF34/F$2*100000</f>
        <v>0</v>
      </c>
      <c r="G34" s="203">
        <f>Data!CG34/G$2*100000</f>
        <v>0</v>
      </c>
      <c r="H34" s="203">
        <f>Data!CH34/H$2*100000</f>
        <v>0</v>
      </c>
      <c r="I34" s="203">
        <f>Data!CI34/I$2*100000</f>
        <v>0</v>
      </c>
      <c r="J34" s="203">
        <f>Data!CJ34/J$2*100000</f>
        <v>0</v>
      </c>
      <c r="K34" s="203">
        <f>Data!CK34/K$2*100000</f>
        <v>2.1656506155861872</v>
      </c>
      <c r="L34" s="203">
        <f>Data!CL34/L$2*100000</f>
        <v>0</v>
      </c>
      <c r="M34" s="203">
        <f>Data!CM34/M$2*100000</f>
        <v>0.90703770555742003</v>
      </c>
      <c r="N34" s="203">
        <f>Data!CN34/N$2*100000</f>
        <v>3.2437780282695257</v>
      </c>
      <c r="O34" s="203">
        <f>Data!CO34/O$2*100000</f>
        <v>0.88689436201254079</v>
      </c>
      <c r="P34" s="203">
        <f>Data!CP34/P$2*100000</f>
        <v>2.0395468126982186</v>
      </c>
      <c r="Q34" s="203">
        <f>Data!CQ34/Q$2*100000</f>
        <v>4.6914767595970019</v>
      </c>
      <c r="R34" s="203">
        <f>Data!CR34/R$2*100000</f>
        <v>5.743627445349385</v>
      </c>
      <c r="S34" s="203">
        <f>Data!CS34/S$2*100000</f>
        <v>0</v>
      </c>
      <c r="T34" s="203">
        <f>Data!CT34/T$2*100000</f>
        <v>3.2923978533565994</v>
      </c>
      <c r="U34" s="203">
        <f>Data!CU34/U$2*100000</f>
        <v>2.0987239758227001</v>
      </c>
      <c r="V34" s="203">
        <f>Data!BQ34/V$2*100000</f>
        <v>1.3913122667575657</v>
      </c>
      <c r="W34" s="188"/>
    </row>
    <row r="35" spans="1:23" ht="12" customHeight="1">
      <c r="A35" s="188"/>
      <c r="B35" s="183" t="str">
        <f>UPPER(LEFT(TRIM(Data!B35),1)) &amp; MID(TRIM(Data!B35),2,50)</f>
        <v>Smegenų</v>
      </c>
      <c r="C35" s="184" t="str">
        <f>Data!C35</f>
        <v>C70-C72</v>
      </c>
      <c r="D35" s="205">
        <f>Data!CD35/D$2*100000</f>
        <v>0</v>
      </c>
      <c r="E35" s="205">
        <f>Data!CE35/E$2*100000</f>
        <v>0</v>
      </c>
      <c r="F35" s="205">
        <f>Data!CF35/F$2*100000</f>
        <v>7.3368648109289945</v>
      </c>
      <c r="G35" s="205">
        <f>Data!CG35/G$2*100000</f>
        <v>4.7330556607345704</v>
      </c>
      <c r="H35" s="205">
        <f>Data!CH35/H$2*100000</f>
        <v>2.9442361669970754</v>
      </c>
      <c r="I35" s="205">
        <f>Data!CI35/I$2*100000</f>
        <v>2.105883839447416</v>
      </c>
      <c r="J35" s="205">
        <f>Data!CJ35/J$2*100000</f>
        <v>2.2932886906468219</v>
      </c>
      <c r="K35" s="205">
        <f>Data!CK35/K$2*100000</f>
        <v>1.0828253077930936</v>
      </c>
      <c r="L35" s="205">
        <f>Data!CL35/L$2*100000</f>
        <v>0.94713113977761354</v>
      </c>
      <c r="M35" s="205">
        <f>Data!CM35/M$2*100000</f>
        <v>6.3492639389019399</v>
      </c>
      <c r="N35" s="205">
        <f>Data!CN35/N$2*100000</f>
        <v>8.1094450706738126</v>
      </c>
      <c r="O35" s="205">
        <f>Data!CO35/O$2*100000</f>
        <v>15.077204154213193</v>
      </c>
      <c r="P35" s="205">
        <f>Data!CP35/P$2*100000</f>
        <v>12.237280876189311</v>
      </c>
      <c r="Q35" s="205">
        <f>Data!CQ35/Q$2*100000</f>
        <v>18.765907038388008</v>
      </c>
      <c r="R35" s="205">
        <f>Data!CR35/R$2*100000</f>
        <v>22.97450978139754</v>
      </c>
      <c r="S35" s="205">
        <f>Data!CS35/S$2*100000</f>
        <v>17.274780055032515</v>
      </c>
      <c r="T35" s="205">
        <f>Data!CT35/T$2*100000</f>
        <v>18.108188193461295</v>
      </c>
      <c r="U35" s="205">
        <f>Data!CU35/U$2*100000</f>
        <v>20.987239758226998</v>
      </c>
      <c r="V35" s="205">
        <f>Data!BQ35/V$2*100000</f>
        <v>8.5375980005577894</v>
      </c>
      <c r="W35" s="188"/>
    </row>
    <row r="36" spans="1:23" ht="12" customHeight="1">
      <c r="A36" s="188"/>
      <c r="B36" s="197" t="str">
        <f>UPPER(LEFT(TRIM(Data!B36),1)) &amp; MID(TRIM(Data!B36),2,50)</f>
        <v>Skydliaukės</v>
      </c>
      <c r="C36" s="198" t="str">
        <f>Data!C36</f>
        <v>C73</v>
      </c>
      <c r="D36" s="203">
        <f>Data!CD36/D$2*100000</f>
        <v>0</v>
      </c>
      <c r="E36" s="203">
        <f>Data!CE36/E$2*100000</f>
        <v>0</v>
      </c>
      <c r="F36" s="203">
        <f>Data!CF36/F$2*100000</f>
        <v>0</v>
      </c>
      <c r="G36" s="203">
        <f>Data!CG36/G$2*100000</f>
        <v>7.099583491101856</v>
      </c>
      <c r="H36" s="203">
        <f>Data!CH36/H$2*100000</f>
        <v>4.9070602783284585</v>
      </c>
      <c r="I36" s="203">
        <f>Data!CI36/I$2*100000</f>
        <v>12.635303036684498</v>
      </c>
      <c r="J36" s="203">
        <f>Data!CJ36/J$2*100000</f>
        <v>21.78624256114481</v>
      </c>
      <c r="K36" s="203">
        <f>Data!CK36/K$2*100000</f>
        <v>15.159554309103312</v>
      </c>
      <c r="L36" s="203">
        <f>Data!CL36/L$2*100000</f>
        <v>19.889753935329885</v>
      </c>
      <c r="M36" s="203">
        <f>Data!CM36/M$2*100000</f>
        <v>30.83928198895228</v>
      </c>
      <c r="N36" s="203">
        <f>Data!CN36/N$2*100000</f>
        <v>25.139279719088826</v>
      </c>
      <c r="O36" s="203">
        <f>Data!CO36/O$2*100000</f>
        <v>37.249563204526709</v>
      </c>
      <c r="P36" s="203">
        <f>Data!CP36/P$2*100000</f>
        <v>37.731616034917039</v>
      </c>
      <c r="Q36" s="203">
        <f>Data!CQ36/Q$2*100000</f>
        <v>26.975991367682763</v>
      </c>
      <c r="R36" s="203">
        <f>Data!CR36/R$2*100000</f>
        <v>19.528333314187908</v>
      </c>
      <c r="S36" s="203">
        <f>Data!CS36/S$2*100000</f>
        <v>24.678257221475022</v>
      </c>
      <c r="T36" s="203">
        <f>Data!CT36/T$2*100000</f>
        <v>18.108188193461295</v>
      </c>
      <c r="U36" s="203">
        <f>Data!CU36/U$2*100000</f>
        <v>4.1974479516454002</v>
      </c>
      <c r="V36" s="203">
        <f>Data!BQ36/V$2*100000</f>
        <v>18.592991201214744</v>
      </c>
      <c r="W36" s="188"/>
    </row>
    <row r="37" spans="1:23" ht="12" customHeight="1">
      <c r="A37" s="188"/>
      <c r="B37" s="183" t="str">
        <f>UPPER(LEFT(TRIM(Data!B37),1)) &amp; MID(TRIM(Data!B37),2,50)</f>
        <v>Kitų endokrininių liaukų</v>
      </c>
      <c r="C37" s="184" t="str">
        <f>Data!C37</f>
        <v>C74-C75</v>
      </c>
      <c r="D37" s="205">
        <f>Data!CD37/D$2*100000</f>
        <v>0</v>
      </c>
      <c r="E37" s="205">
        <f>Data!CE37/E$2*100000</f>
        <v>0</v>
      </c>
      <c r="F37" s="205">
        <f>Data!CF37/F$2*100000</f>
        <v>0</v>
      </c>
      <c r="G37" s="205">
        <f>Data!CG37/G$2*100000</f>
        <v>0</v>
      </c>
      <c r="H37" s="205">
        <f>Data!CH37/H$2*100000</f>
        <v>0</v>
      </c>
      <c r="I37" s="205">
        <f>Data!CI37/I$2*100000</f>
        <v>1.052941919723708</v>
      </c>
      <c r="J37" s="205">
        <f>Data!CJ37/J$2*100000</f>
        <v>0</v>
      </c>
      <c r="K37" s="205">
        <f>Data!CK37/K$2*100000</f>
        <v>0</v>
      </c>
      <c r="L37" s="205">
        <f>Data!CL37/L$2*100000</f>
        <v>0</v>
      </c>
      <c r="M37" s="205">
        <f>Data!CM37/M$2*100000</f>
        <v>0.90703770555742003</v>
      </c>
      <c r="N37" s="205">
        <f>Data!CN37/N$2*100000</f>
        <v>0.81094450706738141</v>
      </c>
      <c r="O37" s="205">
        <f>Data!CO37/O$2*100000</f>
        <v>0</v>
      </c>
      <c r="P37" s="205">
        <f>Data!CP37/P$2*100000</f>
        <v>2.0395468126982186</v>
      </c>
      <c r="Q37" s="205">
        <f>Data!CQ37/Q$2*100000</f>
        <v>0</v>
      </c>
      <c r="R37" s="205">
        <f>Data!CR37/R$2*100000</f>
        <v>0</v>
      </c>
      <c r="S37" s="205">
        <f>Data!CS37/S$2*100000</f>
        <v>2.4678257221475017</v>
      </c>
      <c r="T37" s="205">
        <f>Data!CT37/T$2*100000</f>
        <v>1.6461989266782997</v>
      </c>
      <c r="U37" s="205">
        <f>Data!CU37/U$2*100000</f>
        <v>2.0987239758227001</v>
      </c>
      <c r="V37" s="205">
        <f>Data!BQ37/V$2*100000</f>
        <v>0.56917320003718597</v>
      </c>
      <c r="W37" s="188"/>
    </row>
    <row r="38" spans="1:23" ht="12" customHeight="1">
      <c r="A38" s="188"/>
      <c r="B38" s="197" t="str">
        <f>UPPER(LEFT(TRIM(Data!B38),1)) &amp; MID(TRIM(Data!B38),2,50)</f>
        <v>Nepatikslintos lokalizacijos</v>
      </c>
      <c r="C38" s="198" t="str">
        <f>Data!C38</f>
        <v>C76-C80</v>
      </c>
      <c r="D38" s="203">
        <f>Data!CD38/D$2*100000</f>
        <v>0</v>
      </c>
      <c r="E38" s="203">
        <f>Data!CE38/E$2*100000</f>
        <v>0</v>
      </c>
      <c r="F38" s="203">
        <f>Data!CF38/F$2*100000</f>
        <v>0</v>
      </c>
      <c r="G38" s="203">
        <f>Data!CG38/G$2*100000</f>
        <v>0</v>
      </c>
      <c r="H38" s="203">
        <f>Data!CH38/H$2*100000</f>
        <v>0</v>
      </c>
      <c r="I38" s="203">
        <f>Data!CI38/I$2*100000</f>
        <v>0</v>
      </c>
      <c r="J38" s="203">
        <f>Data!CJ38/J$2*100000</f>
        <v>0</v>
      </c>
      <c r="K38" s="203">
        <f>Data!CK38/K$2*100000</f>
        <v>0</v>
      </c>
      <c r="L38" s="203">
        <f>Data!CL38/L$2*100000</f>
        <v>0.94713113977761354</v>
      </c>
      <c r="M38" s="203">
        <f>Data!CM38/M$2*100000</f>
        <v>6.3492639389019399</v>
      </c>
      <c r="N38" s="203">
        <f>Data!CN38/N$2*100000</f>
        <v>4.0547225353369063</v>
      </c>
      <c r="O38" s="203">
        <f>Data!CO38/O$2*100000</f>
        <v>7.0951548961003263</v>
      </c>
      <c r="P38" s="203">
        <f>Data!CP38/P$2*100000</f>
        <v>4.0790936253964372</v>
      </c>
      <c r="Q38" s="203">
        <f>Data!CQ38/Q$2*100000</f>
        <v>12.901561088891755</v>
      </c>
      <c r="R38" s="203">
        <f>Data!CR38/R$2*100000</f>
        <v>27.569411737677047</v>
      </c>
      <c r="S38" s="203">
        <f>Data!CS38/S$2*100000</f>
        <v>34.54956011006503</v>
      </c>
      <c r="T38" s="203">
        <f>Data!CT38/T$2*100000</f>
        <v>59.263161360418792</v>
      </c>
      <c r="U38" s="203">
        <f>Data!CU38/U$2*100000</f>
        <v>88.146406984553394</v>
      </c>
      <c r="V38" s="203">
        <f>Data!BQ38/V$2*100000</f>
        <v>10.498083467352542</v>
      </c>
      <c r="W38" s="188"/>
    </row>
    <row r="39" spans="1:23" ht="12" customHeight="1">
      <c r="A39" s="188"/>
      <c r="B39" s="183" t="str">
        <f>UPPER(LEFT(TRIM(Data!B39),1)) &amp; MID(TRIM(Data!B39),2,50)</f>
        <v>Hodžkino limfomos</v>
      </c>
      <c r="C39" s="184" t="str">
        <f>Data!C39</f>
        <v>C81</v>
      </c>
      <c r="D39" s="205">
        <f>Data!CD39/D$2*100000</f>
        <v>0</v>
      </c>
      <c r="E39" s="205">
        <f>Data!CE39/E$2*100000</f>
        <v>0</v>
      </c>
      <c r="F39" s="205">
        <f>Data!CF39/F$2*100000</f>
        <v>0</v>
      </c>
      <c r="G39" s="205">
        <f>Data!CG39/G$2*100000</f>
        <v>3.549791745550928</v>
      </c>
      <c r="H39" s="205">
        <f>Data!CH39/H$2*100000</f>
        <v>4.9070602783284585</v>
      </c>
      <c r="I39" s="205">
        <f>Data!CI39/I$2*100000</f>
        <v>7.3705934380659572</v>
      </c>
      <c r="J39" s="205">
        <f>Data!CJ39/J$2*100000</f>
        <v>2.2932886906468219</v>
      </c>
      <c r="K39" s="205">
        <f>Data!CK39/K$2*100000</f>
        <v>2.1656506155861872</v>
      </c>
      <c r="L39" s="205">
        <f>Data!CL39/L$2*100000</f>
        <v>2.841393419332841</v>
      </c>
      <c r="M39" s="205">
        <f>Data!CM39/M$2*100000</f>
        <v>0</v>
      </c>
      <c r="N39" s="205">
        <f>Data!CN39/N$2*100000</f>
        <v>0.81094450706738141</v>
      </c>
      <c r="O39" s="205">
        <f>Data!CO39/O$2*100000</f>
        <v>0</v>
      </c>
      <c r="P39" s="205">
        <f>Data!CP39/P$2*100000</f>
        <v>0</v>
      </c>
      <c r="Q39" s="205">
        <f>Data!CQ39/Q$2*100000</f>
        <v>0</v>
      </c>
      <c r="R39" s="205">
        <f>Data!CR39/R$2*100000</f>
        <v>2.2974509781397541</v>
      </c>
      <c r="S39" s="205">
        <f>Data!CS39/S$2*100000</f>
        <v>0</v>
      </c>
      <c r="T39" s="205">
        <f>Data!CT39/T$2*100000</f>
        <v>0</v>
      </c>
      <c r="U39" s="205">
        <f>Data!CU39/U$2*100000</f>
        <v>0</v>
      </c>
      <c r="V39" s="205">
        <f>Data!BQ39/V$2*100000</f>
        <v>1.5810366667699609</v>
      </c>
      <c r="W39" s="188"/>
    </row>
    <row r="40" spans="1:23" ht="12" customHeight="1">
      <c r="A40" s="188"/>
      <c r="B40" s="197" t="str">
        <f>UPPER(LEFT(TRIM(Data!B40),1)) &amp; MID(TRIM(Data!B40),2,50)</f>
        <v>Ne Hodžkino limfomos</v>
      </c>
      <c r="C40" s="198" t="str">
        <f>Data!C40</f>
        <v>C82-C85</v>
      </c>
      <c r="D40" s="203">
        <f>Data!CD40/D$2*100000</f>
        <v>0</v>
      </c>
      <c r="E40" s="203">
        <f>Data!CE40/E$2*100000</f>
        <v>0</v>
      </c>
      <c r="F40" s="203">
        <f>Data!CF40/F$2*100000</f>
        <v>0</v>
      </c>
      <c r="G40" s="203">
        <f>Data!CG40/G$2*100000</f>
        <v>1.1832639151836426</v>
      </c>
      <c r="H40" s="203">
        <f>Data!CH40/H$2*100000</f>
        <v>0.98141205566569178</v>
      </c>
      <c r="I40" s="203">
        <f>Data!CI40/I$2*100000</f>
        <v>2.105883839447416</v>
      </c>
      <c r="J40" s="203">
        <f>Data!CJ40/J$2*100000</f>
        <v>6.8798660719404658</v>
      </c>
      <c r="K40" s="203">
        <f>Data!CK40/K$2*100000</f>
        <v>1.0828253077930936</v>
      </c>
      <c r="L40" s="203">
        <f>Data!CL40/L$2*100000</f>
        <v>1.8942622795552271</v>
      </c>
      <c r="M40" s="203">
        <f>Data!CM40/M$2*100000</f>
        <v>2.7211131166722602</v>
      </c>
      <c r="N40" s="203">
        <f>Data!CN40/N$2*100000</f>
        <v>7.2985005636064324</v>
      </c>
      <c r="O40" s="203">
        <f>Data!CO40/O$2*100000</f>
        <v>12.416521068175571</v>
      </c>
      <c r="P40" s="203">
        <f>Data!CP40/P$2*100000</f>
        <v>19.375694720633078</v>
      </c>
      <c r="Q40" s="203">
        <f>Data!CQ40/Q$2*100000</f>
        <v>28.148860557582012</v>
      </c>
      <c r="R40" s="203">
        <f>Data!CR40/R$2*100000</f>
        <v>26.420686248607172</v>
      </c>
      <c r="S40" s="203">
        <f>Data!CS40/S$2*100000</f>
        <v>34.54956011006503</v>
      </c>
      <c r="T40" s="203">
        <f>Data!CT40/T$2*100000</f>
        <v>36.21637638692259</v>
      </c>
      <c r="U40" s="203">
        <f>Data!CU40/U$2*100000</f>
        <v>31.480859637340494</v>
      </c>
      <c r="V40" s="203">
        <f>Data!BQ40/V$2*100000</f>
        <v>10.751049334035736</v>
      </c>
      <c r="W40" s="188"/>
    </row>
    <row r="41" spans="1:23" ht="12" customHeight="1">
      <c r="A41" s="188"/>
      <c r="B41" s="183" t="str">
        <f>UPPER(LEFT(TRIM(Data!B41),1)) &amp; MID(TRIM(Data!B41),2,50)</f>
        <v>Mielominės ligos</v>
      </c>
      <c r="C41" s="184" t="str">
        <f>Data!C41</f>
        <v>C90</v>
      </c>
      <c r="D41" s="205">
        <f>Data!CD41/D$2*100000</f>
        <v>0</v>
      </c>
      <c r="E41" s="205">
        <f>Data!CE41/E$2*100000</f>
        <v>0</v>
      </c>
      <c r="F41" s="205">
        <f>Data!CF41/F$2*100000</f>
        <v>0</v>
      </c>
      <c r="G41" s="205">
        <f>Data!CG41/G$2*100000</f>
        <v>0</v>
      </c>
      <c r="H41" s="205">
        <f>Data!CH41/H$2*100000</f>
        <v>0</v>
      </c>
      <c r="I41" s="205">
        <f>Data!CI41/I$2*100000</f>
        <v>1.052941919723708</v>
      </c>
      <c r="J41" s="205">
        <f>Data!CJ41/J$2*100000</f>
        <v>0</v>
      </c>
      <c r="K41" s="205">
        <f>Data!CK41/K$2*100000</f>
        <v>1.0828253077930936</v>
      </c>
      <c r="L41" s="205">
        <f>Data!CL41/L$2*100000</f>
        <v>1.8942622795552271</v>
      </c>
      <c r="M41" s="205">
        <f>Data!CM41/M$2*100000</f>
        <v>2.7211131166722602</v>
      </c>
      <c r="N41" s="205">
        <f>Data!CN41/N$2*100000</f>
        <v>6.4875560565390513</v>
      </c>
      <c r="O41" s="205">
        <f>Data!CO41/O$2*100000</f>
        <v>7.9820492581128653</v>
      </c>
      <c r="P41" s="205">
        <f>Data!CP41/P$2*100000</f>
        <v>8.1581872507928743</v>
      </c>
      <c r="Q41" s="205">
        <f>Data!CQ41/Q$2*100000</f>
        <v>12.901561088891755</v>
      </c>
      <c r="R41" s="205">
        <f>Data!CR41/R$2*100000</f>
        <v>19.528333314187908</v>
      </c>
      <c r="S41" s="205">
        <f>Data!CS41/S$2*100000</f>
        <v>11.10521574966376</v>
      </c>
      <c r="T41" s="205">
        <f>Data!CT41/T$2*100000</f>
        <v>13.169591413426398</v>
      </c>
      <c r="U41" s="205">
        <f>Data!CU41/U$2*100000</f>
        <v>6.2961719274680989</v>
      </c>
      <c r="V41" s="205">
        <f>Data!BQ41/V$2*100000</f>
        <v>5.0593173336638753</v>
      </c>
      <c r="W41" s="188"/>
    </row>
    <row r="42" spans="1:23" ht="12" customHeight="1">
      <c r="A42" s="188"/>
      <c r="B42" s="197" t="str">
        <f>UPPER(LEFT(TRIM(Data!B42),1)) &amp; MID(TRIM(Data!B42),2,50)</f>
        <v>Leukemijos</v>
      </c>
      <c r="C42" s="198" t="str">
        <f>Data!C42</f>
        <v>C91-C95</v>
      </c>
      <c r="D42" s="203">
        <f>Data!CD42/D$2*100000</f>
        <v>10.878285582192246</v>
      </c>
      <c r="E42" s="203">
        <f>Data!CE42/E$2*100000</f>
        <v>1.4947236256016263</v>
      </c>
      <c r="F42" s="203">
        <f>Data!CF42/F$2*100000</f>
        <v>2.9347459243715974</v>
      </c>
      <c r="G42" s="203">
        <f>Data!CG42/G$2*100000</f>
        <v>2.3665278303672852</v>
      </c>
      <c r="H42" s="203">
        <f>Data!CH42/H$2*100000</f>
        <v>2.9442361669970754</v>
      </c>
      <c r="I42" s="203">
        <f>Data!CI42/I$2*100000</f>
        <v>3.1588257591711244</v>
      </c>
      <c r="J42" s="203">
        <f>Data!CJ42/J$2*100000</f>
        <v>1.146644345323411</v>
      </c>
      <c r="K42" s="203">
        <f>Data!CK42/K$2*100000</f>
        <v>1.0828253077930936</v>
      </c>
      <c r="L42" s="203">
        <f>Data!CL42/L$2*100000</f>
        <v>7.5770491182209083</v>
      </c>
      <c r="M42" s="203">
        <f>Data!CM42/M$2*100000</f>
        <v>4.5351885277871</v>
      </c>
      <c r="N42" s="203">
        <f>Data!CN42/N$2*100000</f>
        <v>14.597001127212865</v>
      </c>
      <c r="O42" s="203">
        <f>Data!CO42/O$2*100000</f>
        <v>17.737887240250814</v>
      </c>
      <c r="P42" s="203">
        <f>Data!CP42/P$2*100000</f>
        <v>20.395468126982184</v>
      </c>
      <c r="Q42" s="203">
        <f>Data!CQ42/Q$2*100000</f>
        <v>25.803122177783511</v>
      </c>
      <c r="R42" s="203">
        <f>Data!CR42/R$2*100000</f>
        <v>33.313039183026433</v>
      </c>
      <c r="S42" s="203">
        <f>Data!CS42/S$2*100000</f>
        <v>51.824340165097546</v>
      </c>
      <c r="T42" s="203">
        <f>Data!CT42/T$2*100000</f>
        <v>47.739768873670691</v>
      </c>
      <c r="U42" s="203">
        <f>Data!CU42/U$2*100000</f>
        <v>73.455339153794498</v>
      </c>
      <c r="V42" s="203">
        <f>Data!BQ42/V$2*100000</f>
        <v>15.74712520102881</v>
      </c>
      <c r="W42" s="188"/>
    </row>
    <row r="43" spans="1:23" ht="12" customHeight="1">
      <c r="A43" s="188"/>
      <c r="B43" s="183" t="str">
        <f>UPPER(LEFT(TRIM(Data!B43),1)) &amp; MID(TRIM(Data!B43),2,50)</f>
        <v>Kiti limfinio, kraujodaros audinių</v>
      </c>
      <c r="C43" s="184" t="str">
        <f>Data!C43</f>
        <v>C88, C96</v>
      </c>
      <c r="D43" s="205">
        <f>Data!CD43/D$2*100000</f>
        <v>0</v>
      </c>
      <c r="E43" s="205">
        <f>Data!CE43/E$2*100000</f>
        <v>0</v>
      </c>
      <c r="F43" s="205">
        <f>Data!CF43/F$2*100000</f>
        <v>1.4673729621857987</v>
      </c>
      <c r="G43" s="205">
        <f>Data!CG43/G$2*100000</f>
        <v>0</v>
      </c>
      <c r="H43" s="205">
        <f>Data!CH43/H$2*100000</f>
        <v>0</v>
      </c>
      <c r="I43" s="205">
        <f>Data!CI43/I$2*100000</f>
        <v>0</v>
      </c>
      <c r="J43" s="205">
        <f>Data!CJ43/J$2*100000</f>
        <v>0</v>
      </c>
      <c r="K43" s="205">
        <f>Data!CK43/K$2*100000</f>
        <v>0</v>
      </c>
      <c r="L43" s="205">
        <f>Data!CL43/L$2*100000</f>
        <v>0</v>
      </c>
      <c r="M43" s="205">
        <f>Data!CM43/M$2*100000</f>
        <v>0</v>
      </c>
      <c r="N43" s="205">
        <f>Data!CN43/N$2*100000</f>
        <v>1.6218890141347628</v>
      </c>
      <c r="O43" s="205">
        <f>Data!CO43/O$2*100000</f>
        <v>0</v>
      </c>
      <c r="P43" s="205">
        <f>Data!CP43/P$2*100000</f>
        <v>0</v>
      </c>
      <c r="Q43" s="205">
        <f>Data!CQ43/Q$2*100000</f>
        <v>0</v>
      </c>
      <c r="R43" s="205">
        <f>Data!CR43/R$2*100000</f>
        <v>3.4461764672096309</v>
      </c>
      <c r="S43" s="205">
        <f>Data!CS43/S$2*100000</f>
        <v>0</v>
      </c>
      <c r="T43" s="205">
        <f>Data!CT43/T$2*100000</f>
        <v>0</v>
      </c>
      <c r="U43" s="205">
        <f>Data!CU43/U$2*100000</f>
        <v>0</v>
      </c>
      <c r="V43" s="205">
        <f>Data!BQ43/V$2*100000</f>
        <v>0.37944880002479064</v>
      </c>
      <c r="W43" s="188"/>
    </row>
    <row r="44" spans="1:23" ht="24" customHeight="1">
      <c r="A44" s="188"/>
      <c r="B44" s="199"/>
      <c r="C44" s="200"/>
      <c r="D44" s="204"/>
      <c r="E44" s="204"/>
      <c r="F44" s="204"/>
      <c r="G44" s="204"/>
      <c r="H44" s="204"/>
      <c r="I44" s="204"/>
      <c r="J44" s="204"/>
      <c r="K44" s="204"/>
      <c r="L44" s="204"/>
      <c r="M44" s="204"/>
      <c r="N44" s="204"/>
      <c r="O44" s="204"/>
      <c r="P44" s="204"/>
      <c r="Q44" s="204"/>
      <c r="R44" s="204"/>
      <c r="S44" s="204"/>
      <c r="T44" s="204"/>
      <c r="U44" s="204"/>
      <c r="V44" s="204"/>
      <c r="W44" s="188"/>
    </row>
    <row r="45" spans="1:23" ht="12" customHeight="1">
      <c r="A45" s="188"/>
      <c r="B45" s="183" t="str">
        <f>UPPER(LEFT(TRIM(Data!B44),1)) &amp; MID(TRIM(Data!B44),2,50)</f>
        <v>Melanoma in situ</v>
      </c>
      <c r="C45" s="184" t="str">
        <f>Data!C44</f>
        <v>D03</v>
      </c>
      <c r="D45" s="205">
        <f>Data!CD44/D$2*100000</f>
        <v>0</v>
      </c>
      <c r="E45" s="205">
        <f>Data!CE44/E$2*100000</f>
        <v>0</v>
      </c>
      <c r="F45" s="205">
        <f>Data!CF44/F$2*100000</f>
        <v>0</v>
      </c>
      <c r="G45" s="205">
        <f>Data!CG44/G$2*100000</f>
        <v>0</v>
      </c>
      <c r="H45" s="205">
        <f>Data!CH44/H$2*100000</f>
        <v>0</v>
      </c>
      <c r="I45" s="205">
        <f>Data!CI44/I$2*100000</f>
        <v>0</v>
      </c>
      <c r="J45" s="205">
        <f>Data!CJ44/J$2*100000</f>
        <v>0</v>
      </c>
      <c r="K45" s="205">
        <f>Data!CK44/K$2*100000</f>
        <v>0</v>
      </c>
      <c r="L45" s="205">
        <f>Data!CL44/L$2*100000</f>
        <v>0.94713113977761354</v>
      </c>
      <c r="M45" s="205">
        <f>Data!CM44/M$2*100000</f>
        <v>0</v>
      </c>
      <c r="N45" s="205">
        <f>Data!CN44/N$2*100000</f>
        <v>0</v>
      </c>
      <c r="O45" s="205">
        <f>Data!CO44/O$2*100000</f>
        <v>3.5475774480501632</v>
      </c>
      <c r="P45" s="205">
        <f>Data!CP44/P$2*100000</f>
        <v>2.0395468126982186</v>
      </c>
      <c r="Q45" s="205">
        <f>Data!CQ44/Q$2*100000</f>
        <v>2.345738379798501</v>
      </c>
      <c r="R45" s="205">
        <f>Data!CR44/R$2*100000</f>
        <v>4.5949019562795081</v>
      </c>
      <c r="S45" s="205">
        <f>Data!CS44/S$2*100000</f>
        <v>4.9356514442950035</v>
      </c>
      <c r="T45" s="205">
        <f>Data!CT44/T$2*100000</f>
        <v>3.2923978533565994</v>
      </c>
      <c r="U45" s="205">
        <f>Data!CU44/U$2*100000</f>
        <v>4.1974479516454002</v>
      </c>
      <c r="V45" s="205">
        <f>Data!BQ44/V$2*100000</f>
        <v>1.3280708000867674</v>
      </c>
      <c r="W45" s="188"/>
    </row>
    <row r="46" spans="1:23" ht="12" customHeight="1">
      <c r="A46" s="188"/>
      <c r="B46" s="197" t="str">
        <f>UPPER(LEFT(TRIM(Data!B45),1)) &amp; MID(TRIM(Data!B45),2,50)</f>
        <v>Krūties navikai in situ</v>
      </c>
      <c r="C46" s="198" t="str">
        <f>Data!C45</f>
        <v>D05</v>
      </c>
      <c r="D46" s="203">
        <f>Data!CD45/D$2*100000</f>
        <v>0</v>
      </c>
      <c r="E46" s="203">
        <f>Data!CE45/E$2*100000</f>
        <v>0</v>
      </c>
      <c r="F46" s="203">
        <f>Data!CF45/F$2*100000</f>
        <v>0</v>
      </c>
      <c r="G46" s="203">
        <f>Data!CG45/G$2*100000</f>
        <v>0</v>
      </c>
      <c r="H46" s="203">
        <f>Data!CH45/H$2*100000</f>
        <v>0.98141205566569178</v>
      </c>
      <c r="I46" s="203">
        <f>Data!CI45/I$2*100000</f>
        <v>2.105883839447416</v>
      </c>
      <c r="J46" s="203">
        <f>Data!CJ45/J$2*100000</f>
        <v>1.146644345323411</v>
      </c>
      <c r="K46" s="203">
        <f>Data!CK45/K$2*100000</f>
        <v>5.4141265389654682</v>
      </c>
      <c r="L46" s="203">
        <f>Data!CL45/L$2*100000</f>
        <v>3.7885245591104542</v>
      </c>
      <c r="M46" s="203">
        <f>Data!CM45/M$2*100000</f>
        <v>8.1633393500167806</v>
      </c>
      <c r="N46" s="203">
        <f>Data!CN45/N$2*100000</f>
        <v>15.407945634280246</v>
      </c>
      <c r="O46" s="203">
        <f>Data!CO45/O$2*100000</f>
        <v>12.416521068175571</v>
      </c>
      <c r="P46" s="203">
        <f>Data!CP45/P$2*100000</f>
        <v>18.355921314283968</v>
      </c>
      <c r="Q46" s="203">
        <f>Data!CQ45/Q$2*100000</f>
        <v>11.728691898992505</v>
      </c>
      <c r="R46" s="203">
        <f>Data!CR45/R$2*100000</f>
        <v>9.1898039125590163</v>
      </c>
      <c r="S46" s="203">
        <f>Data!CS45/S$2*100000</f>
        <v>4.9356514442950035</v>
      </c>
      <c r="T46" s="203">
        <f>Data!CT45/T$2*100000</f>
        <v>0</v>
      </c>
      <c r="U46" s="203">
        <f>Data!CU45/U$2*100000</f>
        <v>2.0987239758227001</v>
      </c>
      <c r="V46" s="203">
        <f>Data!BQ45/V$2*100000</f>
        <v>6.0711808003966503</v>
      </c>
      <c r="W46" s="188"/>
    </row>
    <row r="47" spans="1:23" ht="12" customHeight="1">
      <c r="A47" s="188"/>
      <c r="B47" s="183" t="str">
        <f>UPPER(LEFT(TRIM(Data!B46),1)) &amp; MID(TRIM(Data!B46),2,50)</f>
        <v>Gimdos kaklelio in situ</v>
      </c>
      <c r="C47" s="184" t="str">
        <f>Data!C46</f>
        <v>D06</v>
      </c>
      <c r="D47" s="205">
        <f>Data!CD46/D$2*100000</f>
        <v>0</v>
      </c>
      <c r="E47" s="205">
        <f>Data!CE46/E$2*100000</f>
        <v>0</v>
      </c>
      <c r="F47" s="205">
        <f>Data!CF46/F$2*100000</f>
        <v>0</v>
      </c>
      <c r="G47" s="205">
        <f>Data!CG46/G$2*100000</f>
        <v>0</v>
      </c>
      <c r="H47" s="205">
        <f>Data!CH46/H$2*100000</f>
        <v>12.758356723653993</v>
      </c>
      <c r="I47" s="205">
        <f>Data!CI46/I$2*100000</f>
        <v>106.34713389209452</v>
      </c>
      <c r="J47" s="205">
        <f>Data!CJ46/J$2*100000</f>
        <v>177.72987352512871</v>
      </c>
      <c r="K47" s="205">
        <f>Data!CK46/K$2*100000</f>
        <v>107.19970547151628</v>
      </c>
      <c r="L47" s="205">
        <f>Data!CL46/L$2*100000</f>
        <v>82.400409160652387</v>
      </c>
      <c r="M47" s="205">
        <f>Data!CM46/M$2*100000</f>
        <v>53.515224627887783</v>
      </c>
      <c r="N47" s="205">
        <f>Data!CN46/N$2*100000</f>
        <v>22.706446197886677</v>
      </c>
      <c r="O47" s="205">
        <f>Data!CO46/O$2*100000</f>
        <v>23.059253412326058</v>
      </c>
      <c r="P47" s="205">
        <f>Data!CP46/P$2*100000</f>
        <v>12.237280876189311</v>
      </c>
      <c r="Q47" s="205">
        <f>Data!CQ46/Q$2*100000</f>
        <v>2.345738379798501</v>
      </c>
      <c r="R47" s="205">
        <f>Data!CR46/R$2*100000</f>
        <v>2.2974509781397541</v>
      </c>
      <c r="S47" s="205">
        <f>Data!CS46/S$2*100000</f>
        <v>3.7017385832212528</v>
      </c>
      <c r="T47" s="205">
        <f>Data!CT46/T$2*100000</f>
        <v>1.6461989266782997</v>
      </c>
      <c r="U47" s="205">
        <f>Data!CU46/U$2*100000</f>
        <v>0</v>
      </c>
      <c r="V47" s="205">
        <f>Data!BQ46/V$2*100000</f>
        <v>37.185982402429488</v>
      </c>
      <c r="W47" s="188"/>
    </row>
    <row r="48" spans="1:23" ht="12" customHeight="1">
      <c r="A48" s="188"/>
      <c r="B48" s="197" t="str">
        <f>UPPER(LEFT(TRIM(Data!B47),1)) &amp; MID(TRIM(Data!B47),2,50)</f>
        <v>Šlapimo pūslės in situ</v>
      </c>
      <c r="C48" s="198" t="str">
        <f>Data!C47</f>
        <v>D09.0</v>
      </c>
      <c r="D48" s="203">
        <f>Data!CD47/D$2*100000</f>
        <v>0</v>
      </c>
      <c r="E48" s="203">
        <f>Data!CE47/E$2*100000</f>
        <v>0</v>
      </c>
      <c r="F48" s="203">
        <f>Data!CF47/F$2*100000</f>
        <v>0</v>
      </c>
      <c r="G48" s="203">
        <f>Data!CG47/G$2*100000</f>
        <v>0</v>
      </c>
      <c r="H48" s="203">
        <f>Data!CH47/H$2*100000</f>
        <v>0</v>
      </c>
      <c r="I48" s="203">
        <f>Data!CI47/I$2*100000</f>
        <v>0</v>
      </c>
      <c r="J48" s="203">
        <f>Data!CJ47/J$2*100000</f>
        <v>0</v>
      </c>
      <c r="K48" s="203">
        <f>Data!CK47/K$2*100000</f>
        <v>0</v>
      </c>
      <c r="L48" s="203">
        <f>Data!CL47/L$2*100000</f>
        <v>0</v>
      </c>
      <c r="M48" s="203">
        <f>Data!CM47/M$2*100000</f>
        <v>0.90703770555742003</v>
      </c>
      <c r="N48" s="203">
        <f>Data!CN47/N$2*100000</f>
        <v>0.81094450706738141</v>
      </c>
      <c r="O48" s="203">
        <f>Data!CO47/O$2*100000</f>
        <v>1.7737887240250816</v>
      </c>
      <c r="P48" s="203">
        <f>Data!CP47/P$2*100000</f>
        <v>10.197734063491092</v>
      </c>
      <c r="Q48" s="203">
        <f>Data!CQ47/Q$2*100000</f>
        <v>4.6914767595970019</v>
      </c>
      <c r="R48" s="203">
        <f>Data!CR47/R$2*100000</f>
        <v>5.743627445349385</v>
      </c>
      <c r="S48" s="203">
        <f>Data!CS47/S$2*100000</f>
        <v>11.10521574966376</v>
      </c>
      <c r="T48" s="203">
        <f>Data!CT47/T$2*100000</f>
        <v>4.9385967800348993</v>
      </c>
      <c r="U48" s="203">
        <f>Data!CU47/U$2*100000</f>
        <v>4.1974479516454002</v>
      </c>
      <c r="V48" s="203">
        <f>Data!BQ47/V$2*100000</f>
        <v>2.3399342668195424</v>
      </c>
      <c r="W48" s="188"/>
    </row>
    <row r="49" spans="1:23" ht="12" customHeight="1">
      <c r="A49" s="188"/>
      <c r="B49" s="183" t="str">
        <f>UPPER(LEFT(TRIM(Data!B48),1)) &amp; MID(TRIM(Data!B48),2,50)</f>
        <v>Nervų sistemos gerybiniai navikai</v>
      </c>
      <c r="C49" s="184" t="str">
        <f>Data!C48</f>
        <v>D32, D33</v>
      </c>
      <c r="D49" s="205">
        <f>Data!CD48/D$2*100000</f>
        <v>0</v>
      </c>
      <c r="E49" s="205">
        <f>Data!CE48/E$2*100000</f>
        <v>0</v>
      </c>
      <c r="F49" s="205">
        <f>Data!CF48/F$2*100000</f>
        <v>0</v>
      </c>
      <c r="G49" s="205">
        <f>Data!CG48/G$2*100000</f>
        <v>0</v>
      </c>
      <c r="H49" s="205">
        <f>Data!CH48/H$2*100000</f>
        <v>1.9628241113313836</v>
      </c>
      <c r="I49" s="205">
        <f>Data!CI48/I$2*100000</f>
        <v>3.1588257591711244</v>
      </c>
      <c r="J49" s="205">
        <f>Data!CJ48/J$2*100000</f>
        <v>1.146644345323411</v>
      </c>
      <c r="K49" s="205">
        <f>Data!CK48/K$2*100000</f>
        <v>0</v>
      </c>
      <c r="L49" s="205">
        <f>Data!CL48/L$2*100000</f>
        <v>2.841393419332841</v>
      </c>
      <c r="M49" s="205">
        <f>Data!CM48/M$2*100000</f>
        <v>7.2563016444593602</v>
      </c>
      <c r="N49" s="205">
        <f>Data!CN48/N$2*100000</f>
        <v>8.9203895777411955</v>
      </c>
      <c r="O49" s="205">
        <f>Data!CO48/O$2*100000</f>
        <v>7.0951548961003263</v>
      </c>
      <c r="P49" s="205">
        <f>Data!CP48/P$2*100000</f>
        <v>18.355921314283968</v>
      </c>
      <c r="Q49" s="205">
        <f>Data!CQ48/Q$2*100000</f>
        <v>14.074430278791006</v>
      </c>
      <c r="R49" s="205">
        <f>Data!CR48/R$2*100000</f>
        <v>33.313039183026433</v>
      </c>
      <c r="S49" s="205">
        <f>Data!CS48/S$2*100000</f>
        <v>30.847821526843774</v>
      </c>
      <c r="T49" s="205">
        <f>Data!CT48/T$2*100000</f>
        <v>19.754387120139597</v>
      </c>
      <c r="U49" s="205">
        <f>Data!CU48/U$2*100000</f>
        <v>18.888515782404298</v>
      </c>
      <c r="V49" s="205">
        <f>Data!BQ48/V$2*100000</f>
        <v>8.9170468005825807</v>
      </c>
      <c r="W49" s="188"/>
    </row>
    <row r="50" spans="1:23" ht="12" customHeight="1">
      <c r="A50" s="188"/>
      <c r="B50" s="197" t="str">
        <f>UPPER(LEFT(TRIM(Data!B49),1)) &amp; MID(TRIM(Data!B49),2,50)</f>
        <v>Kiaušidžių</v>
      </c>
      <c r="C50" s="198" t="str">
        <f>Data!C49</f>
        <v>D39.1</v>
      </c>
      <c r="D50" s="203">
        <f>Data!CD49/D$2*100000</f>
        <v>0</v>
      </c>
      <c r="E50" s="203">
        <f>Data!CE49/E$2*100000</f>
        <v>0</v>
      </c>
      <c r="F50" s="203">
        <f>Data!CF49/F$2*100000</f>
        <v>1.4673729621857987</v>
      </c>
      <c r="G50" s="203">
        <f>Data!CG49/G$2*100000</f>
        <v>1.1832639151836426</v>
      </c>
      <c r="H50" s="203">
        <f>Data!CH49/H$2*100000</f>
        <v>2.9442361669970754</v>
      </c>
      <c r="I50" s="203">
        <f>Data!CI49/I$2*100000</f>
        <v>1.052941919723708</v>
      </c>
      <c r="J50" s="203">
        <f>Data!CJ49/J$2*100000</f>
        <v>3.4399330359702329</v>
      </c>
      <c r="K50" s="203">
        <f>Data!CK49/K$2*100000</f>
        <v>4.3313012311723744</v>
      </c>
      <c r="L50" s="203">
        <f>Data!CL49/L$2*100000</f>
        <v>7.5770491182209083</v>
      </c>
      <c r="M50" s="203">
        <f>Data!CM49/M$2*100000</f>
        <v>3.6281508222296801</v>
      </c>
      <c r="N50" s="203">
        <f>Data!CN49/N$2*100000</f>
        <v>9.7313340848085765</v>
      </c>
      <c r="O50" s="203">
        <f>Data!CO49/O$2*100000</f>
        <v>5.3213661720752441</v>
      </c>
      <c r="P50" s="203">
        <f>Data!CP49/P$2*100000</f>
        <v>5.098867031745546</v>
      </c>
      <c r="Q50" s="203">
        <f>Data!CQ49/Q$2*100000</f>
        <v>5.8643459494962524</v>
      </c>
      <c r="R50" s="203">
        <f>Data!CR49/R$2*100000</f>
        <v>5.743627445349385</v>
      </c>
      <c r="S50" s="203">
        <f>Data!CS49/S$2*100000</f>
        <v>4.9356514442950035</v>
      </c>
      <c r="T50" s="203">
        <f>Data!CT49/T$2*100000</f>
        <v>3.2923978533565994</v>
      </c>
      <c r="U50" s="203">
        <f>Data!CU49/U$2*100000</f>
        <v>0</v>
      </c>
      <c r="V50" s="203">
        <f>Data!BQ49/V$2*100000</f>
        <v>4.0474538669311002</v>
      </c>
      <c r="W50" s="188"/>
    </row>
    <row r="51" spans="1:23" ht="12" customHeight="1">
      <c r="A51" s="188"/>
      <c r="B51" s="183" t="str">
        <f>UPPER(LEFT(TRIM(Data!B50),1)) &amp; MID(TRIM(Data!B50),2,50)</f>
        <v>Kiti nervų sistemos</v>
      </c>
      <c r="C51" s="184" t="str">
        <f>Data!C50</f>
        <v>D42, D43</v>
      </c>
      <c r="D51" s="205">
        <f>Data!CD50/D$2*100000</f>
        <v>0</v>
      </c>
      <c r="E51" s="205">
        <f>Data!CE50/E$2*100000</f>
        <v>1.4947236256016263</v>
      </c>
      <c r="F51" s="205">
        <f>Data!CF50/F$2*100000</f>
        <v>1.4673729621857987</v>
      </c>
      <c r="G51" s="205">
        <f>Data!CG50/G$2*100000</f>
        <v>3.549791745550928</v>
      </c>
      <c r="H51" s="205">
        <f>Data!CH50/H$2*100000</f>
        <v>0.98141205566569178</v>
      </c>
      <c r="I51" s="205">
        <f>Data!CI50/I$2*100000</f>
        <v>0</v>
      </c>
      <c r="J51" s="205">
        <f>Data!CJ50/J$2*100000</f>
        <v>1.146644345323411</v>
      </c>
      <c r="K51" s="205">
        <f>Data!CK50/K$2*100000</f>
        <v>1.0828253077930936</v>
      </c>
      <c r="L51" s="205">
        <f>Data!CL50/L$2*100000</f>
        <v>0.94713113977761354</v>
      </c>
      <c r="M51" s="205">
        <f>Data!CM50/M$2*100000</f>
        <v>0</v>
      </c>
      <c r="N51" s="205">
        <f>Data!CN50/N$2*100000</f>
        <v>0.81094450706738141</v>
      </c>
      <c r="O51" s="205">
        <f>Data!CO50/O$2*100000</f>
        <v>2.660683086037622</v>
      </c>
      <c r="P51" s="205">
        <f>Data!CP50/P$2*100000</f>
        <v>1.0197734063491093</v>
      </c>
      <c r="Q51" s="205">
        <f>Data!CQ50/Q$2*100000</f>
        <v>3.5186075696977515</v>
      </c>
      <c r="R51" s="205">
        <f>Data!CR50/R$2*100000</f>
        <v>2.2974509781397541</v>
      </c>
      <c r="S51" s="205">
        <f>Data!CS50/S$2*100000</f>
        <v>4.9356514442950035</v>
      </c>
      <c r="T51" s="205">
        <f>Data!CT50/T$2*100000</f>
        <v>3.2923978533565994</v>
      </c>
      <c r="U51" s="205">
        <f>Data!CU50/U$2*100000</f>
        <v>2.0987239758227001</v>
      </c>
      <c r="V51" s="205">
        <f>Data!BQ50/V$2*100000</f>
        <v>1.6442781334407595</v>
      </c>
      <c r="W51" s="188"/>
    </row>
    <row r="52" spans="1:23" ht="12" customHeight="1">
      <c r="A52" s="188"/>
      <c r="B52" s="197" t="str">
        <f>UPPER(LEFT(TRIM(Data!B51),1)) &amp; MID(TRIM(Data!B51),2,50)</f>
        <v>Limfinio ir kraujodaros audinių</v>
      </c>
      <c r="C52" s="198" t="str">
        <f>Data!C51</f>
        <v>D45-D47</v>
      </c>
      <c r="D52" s="203">
        <f>Data!CD51/D$2*100000</f>
        <v>0</v>
      </c>
      <c r="E52" s="203">
        <f>Data!CE51/E$2*100000</f>
        <v>0</v>
      </c>
      <c r="F52" s="203">
        <f>Data!CF51/F$2*100000</f>
        <v>0</v>
      </c>
      <c r="G52" s="203">
        <f>Data!CG51/G$2*100000</f>
        <v>0</v>
      </c>
      <c r="H52" s="203">
        <f>Data!CH51/H$2*100000</f>
        <v>1.9628241113313836</v>
      </c>
      <c r="I52" s="203">
        <f>Data!CI51/I$2*100000</f>
        <v>3.1588257591711244</v>
      </c>
      <c r="J52" s="203">
        <f>Data!CJ51/J$2*100000</f>
        <v>4.5865773812936439</v>
      </c>
      <c r="K52" s="203">
        <f>Data!CK51/K$2*100000</f>
        <v>4.3313012311723744</v>
      </c>
      <c r="L52" s="203">
        <f>Data!CL51/L$2*100000</f>
        <v>3.7885245591104542</v>
      </c>
      <c r="M52" s="203">
        <f>Data!CM51/M$2*100000</f>
        <v>7.2563016444593602</v>
      </c>
      <c r="N52" s="203">
        <f>Data!CN51/N$2*100000</f>
        <v>14.597001127212865</v>
      </c>
      <c r="O52" s="203">
        <f>Data!CO51/O$2*100000</f>
        <v>7.0951548961003263</v>
      </c>
      <c r="P52" s="203">
        <f>Data!CP51/P$2*100000</f>
        <v>27.533881971425949</v>
      </c>
      <c r="Q52" s="203">
        <f>Data!CQ51/Q$2*100000</f>
        <v>32.840337317179014</v>
      </c>
      <c r="R52" s="203">
        <f>Data!CR51/R$2*100000</f>
        <v>24.123235270467415</v>
      </c>
      <c r="S52" s="203">
        <f>Data!CS51/S$2*100000</f>
        <v>37.017385832212533</v>
      </c>
      <c r="T52" s="203">
        <f>Data!CT51/T$2*100000</f>
        <v>49.385967800349</v>
      </c>
      <c r="U52" s="203">
        <f>Data!CU51/U$2*100000</f>
        <v>46.171927468099398</v>
      </c>
      <c r="V52" s="203">
        <f>Data!BQ51/V$2*100000</f>
        <v>13.217466534196873</v>
      </c>
      <c r="W52" s="188"/>
    </row>
    <row r="53" spans="1:23">
      <c r="A53" s="188"/>
      <c r="B53" s="188"/>
      <c r="C53" s="188"/>
      <c r="D53" s="188"/>
      <c r="E53" s="188"/>
      <c r="F53" s="188"/>
      <c r="G53" s="188"/>
      <c r="H53" s="188"/>
      <c r="I53" s="188"/>
      <c r="J53" s="188"/>
      <c r="K53" s="188"/>
      <c r="L53" s="188"/>
      <c r="M53" s="188"/>
      <c r="N53" s="188"/>
      <c r="O53" s="188"/>
      <c r="P53" s="188"/>
      <c r="Q53" s="188"/>
      <c r="R53" s="188"/>
      <c r="S53" s="188"/>
      <c r="T53" s="188"/>
      <c r="U53" s="188"/>
      <c r="V53" s="188"/>
      <c r="W53" s="188"/>
    </row>
    <row r="54" spans="1:23">
      <c r="A54" s="188"/>
      <c r="B54" s="188"/>
      <c r="C54" s="188"/>
      <c r="D54" s="188"/>
      <c r="E54" s="188"/>
      <c r="F54" s="188"/>
      <c r="G54" s="188"/>
      <c r="H54" s="188"/>
      <c r="I54" s="188"/>
      <c r="J54" s="188"/>
      <c r="K54" s="188"/>
      <c r="L54" s="188"/>
      <c r="M54" s="188"/>
      <c r="N54" s="188"/>
      <c r="O54" s="188"/>
      <c r="P54" s="188"/>
      <c r="Q54" s="188"/>
      <c r="R54" s="188"/>
      <c r="S54" s="188"/>
      <c r="T54" s="188"/>
      <c r="U54" s="188"/>
      <c r="V54" s="188"/>
      <c r="W54" s="188"/>
    </row>
    <row r="55" spans="1:23">
      <c r="A55" s="188"/>
      <c r="B55" s="188"/>
      <c r="C55" s="188"/>
      <c r="D55" s="188"/>
      <c r="E55" s="188"/>
      <c r="F55" s="188"/>
      <c r="G55" s="188"/>
      <c r="H55" s="188"/>
      <c r="I55" s="188"/>
      <c r="J55" s="188"/>
      <c r="K55" s="188"/>
      <c r="L55" s="188"/>
      <c r="M55" s="188"/>
      <c r="N55" s="188"/>
      <c r="O55" s="188"/>
      <c r="P55" s="188"/>
      <c r="Q55" s="188"/>
      <c r="R55" s="188"/>
      <c r="S55" s="188"/>
      <c r="T55" s="188"/>
      <c r="U55" s="188"/>
      <c r="V55" s="188"/>
      <c r="W55" s="188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4">
    <tabColor rgb="FFFFC000"/>
  </sheetPr>
  <dimension ref="A1:AC81"/>
  <sheetViews>
    <sheetView zoomScaleNormal="100" workbookViewId="0">
      <selection activeCell="D1" sqref="D1"/>
    </sheetView>
  </sheetViews>
  <sheetFormatPr defaultRowHeight="12.75"/>
  <cols>
    <col min="1" max="1" width="6.7109375" style="80" customWidth="1"/>
    <col min="2" max="2" width="0.140625" style="80" customWidth="1"/>
    <col min="3" max="6" width="7.7109375" style="80" customWidth="1"/>
    <col min="7" max="7" width="4.7109375" style="80" customWidth="1"/>
    <col min="8" max="8" width="10.7109375" style="80" customWidth="1"/>
    <col min="9" max="9" width="7.7109375" style="80" customWidth="1"/>
    <col min="10" max="10" width="0.85546875" style="80" customWidth="1"/>
    <col min="11" max="11" width="2.7109375" style="80" customWidth="1"/>
    <col min="12" max="12" width="0.85546875" style="80" customWidth="1"/>
    <col min="13" max="16" width="7.7109375" style="80" customWidth="1"/>
    <col min="17" max="17" width="4.7109375" style="80" customWidth="1"/>
    <col min="18" max="18" width="10.7109375" style="80" customWidth="1"/>
    <col min="19" max="19" width="7.7109375" style="80" customWidth="1"/>
    <col min="20" max="20" width="0.140625" style="80" customWidth="1"/>
    <col min="21" max="21" width="7.7109375" style="80" customWidth="1"/>
    <col min="22" max="22" width="9.140625" style="80"/>
    <col min="23" max="23" width="28.140625" style="80" bestFit="1" customWidth="1"/>
    <col min="24" max="24" width="5" style="80" bestFit="1" customWidth="1"/>
    <col min="25" max="25" width="5.7109375" style="80" bestFit="1" customWidth="1"/>
    <col min="26" max="26" width="8.5703125" style="80" bestFit="1" customWidth="1"/>
    <col min="27" max="27" width="24" style="80" bestFit="1" customWidth="1"/>
    <col min="28" max="28" width="5" style="80" bestFit="1" customWidth="1"/>
    <col min="29" max="29" width="5.7109375" style="80" bestFit="1" customWidth="1"/>
    <col min="30" max="16384" width="9.140625" style="80"/>
  </cols>
  <sheetData>
    <row r="1" spans="1:29" ht="20.100000000000001" customHeight="1">
      <c r="A1" s="537">
        <v>2014</v>
      </c>
      <c r="B1" s="537"/>
      <c r="C1" s="537" t="s">
        <v>406</v>
      </c>
      <c r="D1" s="79" t="s">
        <v>625</v>
      </c>
      <c r="E1" s="537" t="s">
        <v>422</v>
      </c>
      <c r="F1" s="341"/>
      <c r="G1" s="341"/>
      <c r="H1" s="538" t="s">
        <v>407</v>
      </c>
      <c r="I1" s="341"/>
      <c r="J1" s="341"/>
      <c r="K1" s="341"/>
      <c r="L1" s="341"/>
      <c r="M1" s="341"/>
      <c r="N1" s="341"/>
      <c r="O1" s="341"/>
      <c r="P1" s="341"/>
      <c r="Q1" s="341"/>
      <c r="V1" s="341"/>
      <c r="W1" s="445" t="s">
        <v>485</v>
      </c>
      <c r="X1" s="445"/>
      <c r="Y1" s="445"/>
      <c r="Z1" s="341"/>
      <c r="AA1" s="445" t="s">
        <v>487</v>
      </c>
      <c r="AB1" s="445"/>
      <c r="AC1" s="445"/>
    </row>
    <row r="2" spans="1:29" ht="20.100000000000001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341"/>
      <c r="W2" s="341" t="s">
        <v>26</v>
      </c>
      <c r="X2" s="341">
        <v>2591</v>
      </c>
      <c r="Y2" s="342">
        <v>0.32314791718633074</v>
      </c>
      <c r="Z2" s="341"/>
      <c r="AA2" s="341" t="s">
        <v>26</v>
      </c>
      <c r="AB2" s="341">
        <v>259</v>
      </c>
      <c r="AC2" s="342">
        <v>0.29365079365079366</v>
      </c>
    </row>
    <row r="3" spans="1:29" ht="24.95" customHeight="1">
      <c r="A3" s="82"/>
      <c r="B3" s="82"/>
      <c r="C3" s="446" t="str">
        <f>W1</f>
        <v>Vyrai ir moterys, visos amžiaus grupės (8018 atv.)</v>
      </c>
      <c r="D3" s="446"/>
      <c r="E3" s="446"/>
      <c r="F3" s="446"/>
      <c r="G3" s="446"/>
      <c r="H3" s="446"/>
      <c r="I3" s="446"/>
      <c r="J3" s="208"/>
      <c r="K3" s="82"/>
      <c r="L3" s="82"/>
      <c r="M3" s="446" t="str">
        <f>AA1</f>
        <v>Vyrai ir moterys, 30-54 metų (882 atv.)</v>
      </c>
      <c r="N3" s="446"/>
      <c r="O3" s="446"/>
      <c r="P3" s="446"/>
      <c r="Q3" s="446"/>
      <c r="R3" s="446"/>
      <c r="S3" s="446"/>
      <c r="T3" s="82"/>
      <c r="U3" s="82"/>
      <c r="V3" s="341"/>
      <c r="W3" s="341" t="s">
        <v>231</v>
      </c>
      <c r="X3" s="341">
        <v>272</v>
      </c>
      <c r="Y3" s="342">
        <v>3.3923671738588179E-2</v>
      </c>
      <c r="Z3" s="341"/>
      <c r="AA3" s="341" t="s">
        <v>423</v>
      </c>
      <c r="AB3" s="341">
        <v>35</v>
      </c>
      <c r="AC3" s="342">
        <v>3.968253968253968E-2</v>
      </c>
    </row>
    <row r="4" spans="1:29" ht="20.100000000000001" customHeight="1">
      <c r="A4" s="82"/>
      <c r="B4" s="82"/>
      <c r="C4" s="82"/>
      <c r="D4" s="82"/>
      <c r="E4" s="82"/>
      <c r="F4" s="82"/>
      <c r="G4" s="82"/>
      <c r="H4" s="82"/>
      <c r="I4" s="84" t="str">
        <f>W12</f>
        <v>Plaučių, trachėjos, bronchų</v>
      </c>
      <c r="J4" s="84"/>
      <c r="K4" s="82"/>
      <c r="L4" s="82"/>
      <c r="M4" s="82"/>
      <c r="N4" s="82"/>
      <c r="O4" s="82"/>
      <c r="P4" s="82"/>
      <c r="Q4" s="82"/>
      <c r="R4" s="82"/>
      <c r="S4" s="84" t="str">
        <f>AA12</f>
        <v>Plaučių, trachėjos, bronchų</v>
      </c>
      <c r="T4" s="82"/>
      <c r="U4" s="82"/>
      <c r="V4" s="341"/>
      <c r="W4" s="341" t="s">
        <v>213</v>
      </c>
      <c r="X4" s="341">
        <v>277</v>
      </c>
      <c r="Y4" s="342">
        <v>3.4547268645547517E-2</v>
      </c>
      <c r="Z4" s="341"/>
      <c r="AA4" s="341" t="s">
        <v>237</v>
      </c>
      <c r="AB4" s="341">
        <v>35</v>
      </c>
      <c r="AC4" s="342">
        <v>3.968253968253968E-2</v>
      </c>
    </row>
    <row r="5" spans="1:29" ht="20.100000000000001" customHeight="1">
      <c r="A5" s="82"/>
      <c r="B5" s="82"/>
      <c r="C5" s="82"/>
      <c r="D5" s="82"/>
      <c r="E5" s="82"/>
      <c r="F5" s="82"/>
      <c r="G5" s="82"/>
      <c r="H5" s="82"/>
      <c r="I5" s="84" t="str">
        <f>W11</f>
        <v>Skrandžio</v>
      </c>
      <c r="J5" s="84"/>
      <c r="K5" s="82"/>
      <c r="L5" s="82"/>
      <c r="M5" s="82"/>
      <c r="N5" s="82"/>
      <c r="O5" s="82"/>
      <c r="P5" s="82"/>
      <c r="Q5" s="82"/>
      <c r="R5" s="82"/>
      <c r="S5" s="84" t="str">
        <f>AA11</f>
        <v>Skrandžio</v>
      </c>
      <c r="T5" s="82"/>
      <c r="U5" s="82"/>
      <c r="V5" s="341"/>
      <c r="W5" s="341" t="s">
        <v>237</v>
      </c>
      <c r="X5" s="341">
        <v>399</v>
      </c>
      <c r="Y5" s="342">
        <v>4.9763033175355451E-2</v>
      </c>
      <c r="Z5" s="341"/>
      <c r="AA5" s="341" t="s">
        <v>231</v>
      </c>
      <c r="AB5" s="341">
        <v>44</v>
      </c>
      <c r="AC5" s="342">
        <v>4.9886621315192746E-2</v>
      </c>
    </row>
    <row r="6" spans="1:29" ht="20.100000000000001" customHeight="1">
      <c r="A6" s="82"/>
      <c r="B6" s="82"/>
      <c r="C6" s="82"/>
      <c r="D6" s="82"/>
      <c r="E6" s="82"/>
      <c r="F6" s="82"/>
      <c r="G6" s="82"/>
      <c r="H6" s="82"/>
      <c r="I6" s="84" t="str">
        <f>W10</f>
        <v>Priešinės liaukos</v>
      </c>
      <c r="J6" s="84"/>
      <c r="K6" s="82"/>
      <c r="L6" s="82"/>
      <c r="M6" s="82"/>
      <c r="N6" s="82"/>
      <c r="O6" s="82"/>
      <c r="P6" s="82"/>
      <c r="Q6" s="82"/>
      <c r="R6" s="82"/>
      <c r="S6" s="84" t="str">
        <f>AA10</f>
        <v>Krūties</v>
      </c>
      <c r="T6" s="82"/>
      <c r="U6" s="82"/>
      <c r="V6" s="341"/>
      <c r="W6" s="341" t="s">
        <v>212</v>
      </c>
      <c r="X6" s="341">
        <v>431</v>
      </c>
      <c r="Y6" s="342">
        <v>5.3754053379895236E-2</v>
      </c>
      <c r="Z6" s="341"/>
      <c r="AA6" s="341" t="s">
        <v>225</v>
      </c>
      <c r="AB6" s="341">
        <v>46</v>
      </c>
      <c r="AC6" s="342">
        <v>5.2154195011337869E-2</v>
      </c>
    </row>
    <row r="7" spans="1:29" ht="20.100000000000001" customHeight="1">
      <c r="A7" s="82"/>
      <c r="B7" s="82"/>
      <c r="C7" s="82"/>
      <c r="D7" s="82"/>
      <c r="E7" s="82"/>
      <c r="F7" s="82"/>
      <c r="G7" s="82"/>
      <c r="H7" s="82"/>
      <c r="I7" s="84" t="str">
        <f>W9</f>
        <v>Krūties</v>
      </c>
      <c r="J7" s="84"/>
      <c r="K7" s="82"/>
      <c r="L7" s="82"/>
      <c r="M7" s="82"/>
      <c r="N7" s="82"/>
      <c r="O7" s="82"/>
      <c r="P7" s="82"/>
      <c r="Q7" s="82"/>
      <c r="R7" s="82"/>
      <c r="S7" s="84" t="str">
        <f>AA9</f>
        <v>Burnos ertmės ir ryklės</v>
      </c>
      <c r="T7" s="82"/>
      <c r="U7" s="82"/>
      <c r="V7" s="341"/>
      <c r="W7" s="341" t="s">
        <v>219</v>
      </c>
      <c r="X7" s="341">
        <v>474</v>
      </c>
      <c r="Y7" s="342">
        <v>5.911698677974557E-2</v>
      </c>
      <c r="Z7" s="341"/>
      <c r="AA7" s="341" t="s">
        <v>219</v>
      </c>
      <c r="AB7" s="341">
        <v>56</v>
      </c>
      <c r="AC7" s="342">
        <v>6.3492063492063489E-2</v>
      </c>
    </row>
    <row r="8" spans="1:29" ht="20.100000000000001" customHeight="1">
      <c r="A8" s="82"/>
      <c r="B8" s="82"/>
      <c r="C8" s="82"/>
      <c r="D8" s="82"/>
      <c r="E8" s="82"/>
      <c r="F8" s="82"/>
      <c r="G8" s="82"/>
      <c r="H8" s="82"/>
      <c r="I8" s="84" t="str">
        <f>W8</f>
        <v>Gaubtinės žarnos</v>
      </c>
      <c r="J8" s="84"/>
      <c r="K8" s="82"/>
      <c r="L8" s="82"/>
      <c r="M8" s="82"/>
      <c r="N8" s="82"/>
      <c r="O8" s="82"/>
      <c r="P8" s="82"/>
      <c r="Q8" s="82"/>
      <c r="R8" s="82"/>
      <c r="S8" s="84" t="str">
        <f>AA8</f>
        <v>Gimdos kaklelio</v>
      </c>
      <c r="T8" s="82"/>
      <c r="U8" s="82"/>
      <c r="V8" s="341"/>
      <c r="W8" s="341" t="s">
        <v>214</v>
      </c>
      <c r="X8" s="341">
        <v>500</v>
      </c>
      <c r="Y8" s="342">
        <v>6.2359690695934146E-2</v>
      </c>
      <c r="Z8" s="341"/>
      <c r="AA8" s="341" t="s">
        <v>232</v>
      </c>
      <c r="AB8" s="341">
        <v>58</v>
      </c>
      <c r="AC8" s="342">
        <v>6.5759637188208611E-2</v>
      </c>
    </row>
    <row r="9" spans="1:29" ht="20.100000000000001" customHeight="1">
      <c r="A9" s="82"/>
      <c r="B9" s="82"/>
      <c r="C9" s="82"/>
      <c r="D9" s="82"/>
      <c r="E9" s="82"/>
      <c r="F9" s="82"/>
      <c r="G9" s="82"/>
      <c r="H9" s="82"/>
      <c r="I9" s="84" t="str">
        <f>W7</f>
        <v>Kasos</v>
      </c>
      <c r="J9" s="84"/>
      <c r="K9" s="82"/>
      <c r="L9" s="82"/>
      <c r="M9" s="82"/>
      <c r="N9" s="82"/>
      <c r="O9" s="82"/>
      <c r="P9" s="82"/>
      <c r="Q9" s="82"/>
      <c r="R9" s="82"/>
      <c r="S9" s="84" t="str">
        <f>AA7</f>
        <v>Kasos</v>
      </c>
      <c r="T9" s="82"/>
      <c r="U9" s="82"/>
      <c r="V9" s="341"/>
      <c r="W9" s="341" t="s">
        <v>234</v>
      </c>
      <c r="X9" s="341">
        <v>520</v>
      </c>
      <c r="Y9" s="342">
        <v>6.4854078323771519E-2</v>
      </c>
      <c r="Z9" s="341"/>
      <c r="AA9" s="341" t="s">
        <v>211</v>
      </c>
      <c r="AB9" s="341">
        <v>60</v>
      </c>
      <c r="AC9" s="342">
        <v>6.8027210884353748E-2</v>
      </c>
    </row>
    <row r="10" spans="1:29" ht="20.100000000000001" customHeight="1">
      <c r="A10" s="82"/>
      <c r="B10" s="82"/>
      <c r="C10" s="82"/>
      <c r="D10" s="82"/>
      <c r="E10" s="82"/>
      <c r="F10" s="82"/>
      <c r="G10" s="82"/>
      <c r="H10" s="82"/>
      <c r="I10" s="84" t="str">
        <f>W6</f>
        <v>Tiesiosios žarnos, išangės</v>
      </c>
      <c r="J10" s="84"/>
      <c r="K10" s="82"/>
      <c r="L10" s="82"/>
      <c r="M10" s="82"/>
      <c r="N10" s="82"/>
      <c r="O10" s="82"/>
      <c r="P10" s="82"/>
      <c r="Q10" s="82"/>
      <c r="R10" s="82"/>
      <c r="S10" s="84" t="str">
        <f>AA6</f>
        <v>Smegenų</v>
      </c>
      <c r="T10" s="82"/>
      <c r="U10" s="82"/>
      <c r="V10" s="341"/>
      <c r="W10" s="341" t="s">
        <v>218</v>
      </c>
      <c r="X10" s="341">
        <v>520</v>
      </c>
      <c r="Y10" s="342">
        <v>6.4854078323771519E-2</v>
      </c>
      <c r="Z10" s="341"/>
      <c r="AA10" s="341" t="s">
        <v>234</v>
      </c>
      <c r="AB10" s="341">
        <v>83</v>
      </c>
      <c r="AC10" s="342">
        <v>9.4104308390022678E-2</v>
      </c>
    </row>
    <row r="11" spans="1:29" ht="20.100000000000001" customHeight="1">
      <c r="A11" s="82"/>
      <c r="B11" s="82"/>
      <c r="C11" s="82"/>
      <c r="D11" s="82"/>
      <c r="E11" s="82"/>
      <c r="F11" s="82"/>
      <c r="G11" s="82"/>
      <c r="H11" s="82"/>
      <c r="I11" s="84" t="str">
        <f>W5</f>
        <v>Nepatikslintos lokalizacijos</v>
      </c>
      <c r="J11" s="84"/>
      <c r="K11" s="82"/>
      <c r="L11" s="82"/>
      <c r="M11" s="82"/>
      <c r="N11" s="82"/>
      <c r="O11" s="82"/>
      <c r="P11" s="82"/>
      <c r="Q11" s="82"/>
      <c r="R11" s="82"/>
      <c r="S11" s="84" t="str">
        <f>AA5</f>
        <v>Kiaušidžių</v>
      </c>
      <c r="T11" s="82"/>
      <c r="U11" s="82"/>
      <c r="V11" s="341"/>
      <c r="W11" s="341" t="s">
        <v>215</v>
      </c>
      <c r="X11" s="341">
        <v>698</v>
      </c>
      <c r="Y11" s="342">
        <v>8.7054128211524071E-2</v>
      </c>
      <c r="Z11" s="341"/>
      <c r="AA11" s="341" t="s">
        <v>215</v>
      </c>
      <c r="AB11" s="341">
        <v>88</v>
      </c>
      <c r="AC11" s="342">
        <v>9.9773242630385492E-2</v>
      </c>
    </row>
    <row r="12" spans="1:29" ht="20.100000000000001" customHeight="1">
      <c r="A12" s="82"/>
      <c r="B12" s="82"/>
      <c r="C12" s="82"/>
      <c r="D12" s="82"/>
      <c r="E12" s="82"/>
      <c r="F12" s="82"/>
      <c r="G12" s="82"/>
      <c r="H12" s="82"/>
      <c r="I12" s="84" t="str">
        <f>W4</f>
        <v>Inkstų</v>
      </c>
      <c r="J12" s="84"/>
      <c r="K12" s="82"/>
      <c r="L12" s="82"/>
      <c r="M12" s="82"/>
      <c r="N12" s="82"/>
      <c r="O12" s="82"/>
      <c r="P12" s="82"/>
      <c r="Q12" s="82"/>
      <c r="R12" s="82"/>
      <c r="S12" s="84" t="str">
        <f>AA4</f>
        <v>Nepatikslintos lokalizacijos</v>
      </c>
      <c r="T12" s="82"/>
      <c r="U12" s="82"/>
      <c r="V12" s="341"/>
      <c r="W12" s="341" t="s">
        <v>217</v>
      </c>
      <c r="X12" s="341">
        <v>1336</v>
      </c>
      <c r="Y12" s="342">
        <v>0.16662509353953606</v>
      </c>
      <c r="Z12" s="341"/>
      <c r="AA12" s="341" t="s">
        <v>217</v>
      </c>
      <c r="AB12" s="341">
        <v>118</v>
      </c>
      <c r="AC12" s="342">
        <v>0.13378684807256236</v>
      </c>
    </row>
    <row r="13" spans="1:29" ht="20.100000000000001" customHeight="1">
      <c r="A13" s="82"/>
      <c r="B13" s="82"/>
      <c r="C13" s="82"/>
      <c r="D13" s="82"/>
      <c r="E13" s="82"/>
      <c r="F13" s="82"/>
      <c r="G13" s="82"/>
      <c r="H13" s="82"/>
      <c r="I13" s="84" t="str">
        <f>W3</f>
        <v>Kiaušidžių</v>
      </c>
      <c r="J13" s="84"/>
      <c r="K13" s="82"/>
      <c r="L13" s="82"/>
      <c r="M13" s="82"/>
      <c r="N13" s="82"/>
      <c r="O13" s="82"/>
      <c r="P13" s="82"/>
      <c r="Q13" s="82"/>
      <c r="R13" s="82"/>
      <c r="S13" s="84" t="str">
        <f>AA3</f>
        <v>Stemplės</v>
      </c>
      <c r="T13" s="82"/>
      <c r="U13" s="82"/>
      <c r="V13" s="341"/>
      <c r="W13" s="343" t="s">
        <v>210</v>
      </c>
      <c r="X13" s="341">
        <v>8018</v>
      </c>
      <c r="Y13" s="342">
        <v>1</v>
      </c>
      <c r="Z13" s="341"/>
      <c r="AA13" s="343" t="s">
        <v>210</v>
      </c>
      <c r="AB13" s="341">
        <v>882</v>
      </c>
      <c r="AC13" s="342">
        <v>1</v>
      </c>
    </row>
    <row r="14" spans="1:29" ht="20.100000000000001" customHeight="1">
      <c r="A14" s="82"/>
      <c r="B14" s="82"/>
      <c r="C14" s="82"/>
      <c r="D14" s="82"/>
      <c r="E14" s="82"/>
      <c r="F14" s="82"/>
      <c r="G14" s="82"/>
      <c r="H14" s="82"/>
      <c r="I14" s="84" t="str">
        <f>W2</f>
        <v>Kiti</v>
      </c>
      <c r="J14" s="84"/>
      <c r="K14" s="82"/>
      <c r="L14" s="82"/>
      <c r="M14" s="82"/>
      <c r="N14" s="82"/>
      <c r="O14" s="82"/>
      <c r="P14" s="82"/>
      <c r="Q14" s="82"/>
      <c r="R14" s="82"/>
      <c r="S14" s="84" t="str">
        <f>AA2</f>
        <v>Kiti</v>
      </c>
      <c r="T14" s="82"/>
      <c r="U14" s="82"/>
      <c r="V14" s="341"/>
      <c r="W14" s="445" t="s">
        <v>452</v>
      </c>
      <c r="X14" s="445"/>
      <c r="Y14" s="445"/>
      <c r="Z14" s="341"/>
      <c r="AA14" s="445" t="s">
        <v>488</v>
      </c>
      <c r="AB14" s="445"/>
      <c r="AC14" s="445"/>
    </row>
    <row r="15" spans="1:29" ht="24.9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341"/>
      <c r="W15" s="341"/>
      <c r="X15" s="341"/>
      <c r="Y15" s="344"/>
      <c r="Z15" s="341"/>
      <c r="AA15" s="341" t="s">
        <v>26</v>
      </c>
      <c r="AB15" s="341">
        <v>1150</v>
      </c>
      <c r="AC15" s="346">
        <v>0.30520169851380041</v>
      </c>
    </row>
    <row r="16" spans="1:29" ht="24.95" customHeight="1">
      <c r="A16" s="82"/>
      <c r="B16" s="82"/>
      <c r="C16" s="446" t="str">
        <f>W14</f>
        <v>Vyrai ir moterys, 0-14 metų (12 atv.)</v>
      </c>
      <c r="D16" s="446"/>
      <c r="E16" s="446"/>
      <c r="F16" s="446"/>
      <c r="G16" s="446"/>
      <c r="H16" s="446"/>
      <c r="I16" s="446"/>
      <c r="J16" s="208"/>
      <c r="K16" s="82"/>
      <c r="L16" s="82"/>
      <c r="M16" s="446" t="str">
        <f>AA14</f>
        <v>Vyrai ir moterys, 55-74 metų (3768 atv.)</v>
      </c>
      <c r="N16" s="446"/>
      <c r="O16" s="446"/>
      <c r="P16" s="446"/>
      <c r="Q16" s="446"/>
      <c r="R16" s="446"/>
      <c r="S16" s="446"/>
      <c r="T16" s="82"/>
      <c r="U16" s="82"/>
      <c r="V16" s="341"/>
      <c r="W16" s="341"/>
      <c r="X16" s="341"/>
      <c r="Y16" s="344"/>
      <c r="Z16" s="341"/>
      <c r="AA16" s="312" t="s">
        <v>213</v>
      </c>
      <c r="AB16" s="345">
        <v>128</v>
      </c>
      <c r="AC16" s="342">
        <v>3.3970276008492568E-2</v>
      </c>
    </row>
    <row r="17" spans="1:29" ht="20.100000000000001" customHeight="1">
      <c r="A17" s="82"/>
      <c r="B17" s="82"/>
      <c r="C17" s="82"/>
      <c r="D17" s="82"/>
      <c r="E17" s="82"/>
      <c r="F17" s="82"/>
      <c r="G17" s="82"/>
      <c r="H17" s="82"/>
      <c r="I17" s="84" t="str">
        <f>W25</f>
        <v>Smegenų</v>
      </c>
      <c r="J17" s="84"/>
      <c r="K17" s="82"/>
      <c r="L17" s="82"/>
      <c r="M17" s="82"/>
      <c r="N17" s="82"/>
      <c r="O17" s="82"/>
      <c r="P17" s="82"/>
      <c r="Q17" s="82"/>
      <c r="R17" s="82"/>
      <c r="S17" s="84" t="str">
        <f>AA25</f>
        <v>Plaučių, trachėjos, bronchų</v>
      </c>
      <c r="T17" s="82"/>
      <c r="U17" s="82"/>
      <c r="V17" s="341"/>
      <c r="W17" s="341"/>
      <c r="X17" s="341"/>
      <c r="Y17" s="344"/>
      <c r="Z17" s="341"/>
      <c r="AA17" s="312" t="s">
        <v>211</v>
      </c>
      <c r="AB17" s="345">
        <v>149</v>
      </c>
      <c r="AC17" s="342">
        <v>3.9543524416135879E-2</v>
      </c>
    </row>
    <row r="18" spans="1:29" ht="20.100000000000001" customHeight="1">
      <c r="A18" s="82"/>
      <c r="B18" s="82"/>
      <c r="C18" s="82"/>
      <c r="D18" s="82"/>
      <c r="E18" s="82"/>
      <c r="F18" s="82"/>
      <c r="G18" s="82"/>
      <c r="H18" s="82"/>
      <c r="I18" s="84" t="str">
        <f>W24</f>
        <v>Leukemijos</v>
      </c>
      <c r="J18" s="84"/>
      <c r="K18" s="82"/>
      <c r="L18" s="82"/>
      <c r="M18" s="82"/>
      <c r="N18" s="82"/>
      <c r="O18" s="82"/>
      <c r="P18" s="82"/>
      <c r="Q18" s="82"/>
      <c r="R18" s="82"/>
      <c r="S18" s="84" t="str">
        <f>AA24</f>
        <v>Skrandžio</v>
      </c>
      <c r="T18" s="82"/>
      <c r="U18" s="82"/>
      <c r="V18" s="341"/>
      <c r="W18" s="341"/>
      <c r="X18" s="341"/>
      <c r="Y18" s="344"/>
      <c r="Z18" s="341"/>
      <c r="AA18" s="312" t="s">
        <v>237</v>
      </c>
      <c r="AB18" s="345">
        <v>173</v>
      </c>
      <c r="AC18" s="342">
        <v>4.5912951167728235E-2</v>
      </c>
    </row>
    <row r="19" spans="1:29" ht="20.100000000000001" customHeight="1">
      <c r="A19" s="82"/>
      <c r="B19" s="82"/>
      <c r="C19" s="82"/>
      <c r="D19" s="82"/>
      <c r="E19" s="82"/>
      <c r="F19" s="82"/>
      <c r="G19" s="82"/>
      <c r="H19" s="82"/>
      <c r="I19" s="84" t="str">
        <f>W23</f>
        <v>Inkstų</v>
      </c>
      <c r="J19" s="84"/>
      <c r="K19" s="82"/>
      <c r="L19" s="82"/>
      <c r="M19" s="82"/>
      <c r="N19" s="82"/>
      <c r="O19" s="82"/>
      <c r="P19" s="82"/>
      <c r="Q19" s="82"/>
      <c r="R19" s="82"/>
      <c r="S19" s="84" t="str">
        <f>AA23</f>
        <v>Krūties</v>
      </c>
      <c r="T19" s="82"/>
      <c r="U19" s="82"/>
      <c r="V19" s="341"/>
      <c r="W19" s="341"/>
      <c r="X19" s="341"/>
      <c r="Y19" s="344"/>
      <c r="Z19" s="341"/>
      <c r="AA19" s="312" t="s">
        <v>218</v>
      </c>
      <c r="AB19" s="345">
        <v>180</v>
      </c>
      <c r="AC19" s="342">
        <v>4.7770700636942678E-2</v>
      </c>
    </row>
    <row r="20" spans="1:29" ht="20.100000000000001" customHeight="1">
      <c r="A20" s="82"/>
      <c r="B20" s="82"/>
      <c r="C20" s="82"/>
      <c r="D20" s="82"/>
      <c r="E20" s="82"/>
      <c r="F20" s="82"/>
      <c r="G20" s="82"/>
      <c r="H20" s="82"/>
      <c r="I20" s="84" t="str">
        <f>W22</f>
        <v>Kaulų ir jungiamojo audinio</v>
      </c>
      <c r="J20" s="84"/>
      <c r="K20" s="82"/>
      <c r="L20" s="82"/>
      <c r="M20" s="82"/>
      <c r="N20" s="82"/>
      <c r="O20" s="82"/>
      <c r="P20" s="82"/>
      <c r="Q20" s="82"/>
      <c r="R20" s="82"/>
      <c r="S20" s="84" t="str">
        <f t="shared" ref="S20:S21" si="0">TEXT(AA18,)</f>
        <v>Nepatikslintos lokalizacijos</v>
      </c>
      <c r="T20" s="82"/>
      <c r="U20" s="82"/>
      <c r="V20" s="341"/>
      <c r="W20" s="341" t="s">
        <v>26</v>
      </c>
      <c r="X20" s="341">
        <v>0</v>
      </c>
      <c r="Y20" s="342">
        <f>VALUE(0.001%)</f>
        <v>1.0000000000000001E-5</v>
      </c>
      <c r="Z20" s="341"/>
      <c r="AA20" s="312" t="s">
        <v>212</v>
      </c>
      <c r="AB20" s="345">
        <v>181</v>
      </c>
      <c r="AC20" s="342">
        <v>4.8036093418259027E-2</v>
      </c>
    </row>
    <row r="21" spans="1:29" ht="20.100000000000001" customHeight="1">
      <c r="A21" s="82"/>
      <c r="B21" s="82"/>
      <c r="C21" s="82"/>
      <c r="D21" s="82"/>
      <c r="E21" s="82"/>
      <c r="F21" s="82"/>
      <c r="G21" s="82"/>
      <c r="H21" s="82"/>
      <c r="I21" s="84" t="str">
        <f>W21</f>
        <v>Kitų virškinimo sistemos organų</v>
      </c>
      <c r="J21" s="84"/>
      <c r="K21" s="82"/>
      <c r="L21" s="82"/>
      <c r="M21" s="82"/>
      <c r="N21" s="82"/>
      <c r="O21" s="82"/>
      <c r="P21" s="82"/>
      <c r="Q21" s="82"/>
      <c r="R21" s="82"/>
      <c r="S21" s="84" t="str">
        <f t="shared" si="0"/>
        <v>Priešinės liaukos</v>
      </c>
      <c r="T21" s="82"/>
      <c r="U21" s="82"/>
      <c r="V21" s="341"/>
      <c r="W21" s="341" t="s">
        <v>224</v>
      </c>
      <c r="X21" s="341">
        <v>1</v>
      </c>
      <c r="Y21" s="342">
        <v>8.3333333333333329E-2</v>
      </c>
      <c r="Z21" s="341"/>
      <c r="AA21" s="312" t="s">
        <v>214</v>
      </c>
      <c r="AB21" s="312">
        <v>198</v>
      </c>
      <c r="AC21" s="342">
        <v>5.2547770700636945E-2</v>
      </c>
    </row>
    <row r="22" spans="1:29" ht="20.100000000000001" customHeight="1">
      <c r="A22" s="82"/>
      <c r="B22" s="82"/>
      <c r="C22" s="82"/>
      <c r="D22" s="82"/>
      <c r="E22" s="82"/>
      <c r="F22" s="82"/>
      <c r="G22" s="82"/>
      <c r="H22" s="82"/>
      <c r="I22" s="84" t="str">
        <f>TEXT(W20,)</f>
        <v>Kiti</v>
      </c>
      <c r="J22" s="84"/>
      <c r="K22" s="82"/>
      <c r="L22" s="82"/>
      <c r="M22" s="82"/>
      <c r="N22" s="82"/>
      <c r="O22" s="82"/>
      <c r="P22" s="82"/>
      <c r="Q22" s="82"/>
      <c r="R22" s="82"/>
      <c r="S22" s="84" t="str">
        <f>TEXT(AA20,)</f>
        <v>Tiesiosios žarnos, išangės</v>
      </c>
      <c r="T22" s="82"/>
      <c r="U22" s="82"/>
      <c r="V22" s="341"/>
      <c r="W22" s="341" t="s">
        <v>228</v>
      </c>
      <c r="X22" s="341">
        <v>1</v>
      </c>
      <c r="Y22" s="342">
        <v>8.3333333333333329E-2</v>
      </c>
      <c r="Z22" s="341"/>
      <c r="AA22" s="312" t="s">
        <v>219</v>
      </c>
      <c r="AB22" s="312">
        <v>233</v>
      </c>
      <c r="AC22" s="342">
        <v>6.183651804670913E-2</v>
      </c>
    </row>
    <row r="23" spans="1:29" ht="20.100000000000001" customHeight="1">
      <c r="A23" s="82"/>
      <c r="B23" s="82"/>
      <c r="C23" s="82"/>
      <c r="D23" s="82"/>
      <c r="E23" s="82"/>
      <c r="F23" s="82"/>
      <c r="G23" s="82"/>
      <c r="H23" s="82"/>
      <c r="I23" s="84" t="str">
        <f>TEXT(W19,)</f>
        <v/>
      </c>
      <c r="J23" s="84"/>
      <c r="K23" s="82"/>
      <c r="L23" s="82"/>
      <c r="M23" s="82"/>
      <c r="N23" s="82"/>
      <c r="O23" s="82"/>
      <c r="P23" s="82"/>
      <c r="Q23" s="82"/>
      <c r="R23" s="82"/>
      <c r="S23" s="84" t="str">
        <f>TEXT(AA19,)</f>
        <v>Priešinės liaukos</v>
      </c>
      <c r="T23" s="82"/>
      <c r="U23" s="82"/>
      <c r="V23" s="341"/>
      <c r="W23" s="341" t="s">
        <v>213</v>
      </c>
      <c r="X23" s="341">
        <v>1</v>
      </c>
      <c r="Y23" s="342">
        <v>8.3333333333333329E-2</v>
      </c>
      <c r="Z23" s="341"/>
      <c r="AA23" s="312" t="s">
        <v>234</v>
      </c>
      <c r="AB23" s="312">
        <v>248</v>
      </c>
      <c r="AC23" s="342">
        <v>6.5817409766454352E-2</v>
      </c>
    </row>
    <row r="24" spans="1:29" ht="20.100000000000001" customHeight="1">
      <c r="A24" s="82"/>
      <c r="B24" s="82"/>
      <c r="C24" s="82"/>
      <c r="D24" s="82"/>
      <c r="E24" s="82"/>
      <c r="F24" s="82"/>
      <c r="G24" s="82"/>
      <c r="H24" s="82"/>
      <c r="I24" s="84" t="str">
        <f>TEXT(W18,)</f>
        <v/>
      </c>
      <c r="J24" s="84"/>
      <c r="K24" s="82"/>
      <c r="L24" s="82"/>
      <c r="M24" s="82"/>
      <c r="N24" s="82"/>
      <c r="O24" s="82"/>
      <c r="P24" s="82"/>
      <c r="Q24" s="82"/>
      <c r="R24" s="82"/>
      <c r="S24" s="84" t="str">
        <f>TEXT(AA18,)</f>
        <v>Nepatikslintos lokalizacijos</v>
      </c>
      <c r="T24" s="82"/>
      <c r="U24" s="82"/>
      <c r="V24" s="341"/>
      <c r="W24" s="341" t="s">
        <v>227</v>
      </c>
      <c r="X24" s="341">
        <v>3</v>
      </c>
      <c r="Y24" s="342">
        <v>0.25</v>
      </c>
      <c r="Z24" s="341"/>
      <c r="AA24" s="312" t="s">
        <v>215</v>
      </c>
      <c r="AB24" s="312">
        <v>331</v>
      </c>
      <c r="AC24" s="342">
        <v>8.7845010615711247E-2</v>
      </c>
    </row>
    <row r="25" spans="1:29" ht="20.100000000000001" customHeight="1">
      <c r="A25" s="82"/>
      <c r="B25" s="82"/>
      <c r="C25" s="82"/>
      <c r="D25" s="82"/>
      <c r="E25" s="82"/>
      <c r="F25" s="82"/>
      <c r="G25" s="82"/>
      <c r="H25" s="82"/>
      <c r="I25" s="84" t="str">
        <f>TEXT(W17,)</f>
        <v/>
      </c>
      <c r="J25" s="84"/>
      <c r="K25" s="82"/>
      <c r="L25" s="82"/>
      <c r="M25" s="82"/>
      <c r="N25" s="82"/>
      <c r="O25" s="82"/>
      <c r="P25" s="82"/>
      <c r="Q25" s="82"/>
      <c r="R25" s="82"/>
      <c r="S25" s="84" t="str">
        <f>TEXT(AA17,)</f>
        <v>Burnos ertmės ir ryklės</v>
      </c>
      <c r="T25" s="82"/>
      <c r="U25" s="82"/>
      <c r="V25" s="341"/>
      <c r="W25" s="341" t="s">
        <v>225</v>
      </c>
      <c r="X25" s="341">
        <v>6</v>
      </c>
      <c r="Y25" s="342">
        <v>0.5</v>
      </c>
      <c r="Z25" s="341"/>
      <c r="AA25" s="312" t="s">
        <v>217</v>
      </c>
      <c r="AB25" s="312">
        <v>797</v>
      </c>
      <c r="AC25" s="342">
        <v>0.21151804670912952</v>
      </c>
    </row>
    <row r="26" spans="1:29" ht="20.100000000000001" customHeight="1">
      <c r="A26" s="82"/>
      <c r="B26" s="82"/>
      <c r="C26" s="82"/>
      <c r="D26" s="82"/>
      <c r="E26" s="82"/>
      <c r="F26" s="82"/>
      <c r="G26" s="82"/>
      <c r="H26" s="82"/>
      <c r="I26" s="84" t="str">
        <f>TEXT(W16,)</f>
        <v/>
      </c>
      <c r="J26" s="84"/>
      <c r="K26" s="82"/>
      <c r="L26" s="82"/>
      <c r="M26" s="82"/>
      <c r="N26" s="82"/>
      <c r="O26" s="82"/>
      <c r="P26" s="82"/>
      <c r="Q26" s="82"/>
      <c r="R26" s="82"/>
      <c r="S26" s="84" t="str">
        <f>TEXT(AA16,)</f>
        <v>Inkstų</v>
      </c>
      <c r="T26" s="82"/>
      <c r="U26" s="82"/>
      <c r="V26" s="341"/>
      <c r="W26" s="343" t="s">
        <v>210</v>
      </c>
      <c r="X26" s="341">
        <v>12</v>
      </c>
      <c r="Y26" s="342">
        <v>1</v>
      </c>
      <c r="Z26" s="341"/>
      <c r="AA26" s="314" t="s">
        <v>210</v>
      </c>
      <c r="AB26" s="312">
        <v>3768</v>
      </c>
      <c r="AC26" s="342">
        <v>1</v>
      </c>
    </row>
    <row r="27" spans="1:29" ht="20.100000000000001" customHeight="1">
      <c r="A27" s="82"/>
      <c r="B27" s="82"/>
      <c r="C27" s="82"/>
      <c r="D27" s="82"/>
      <c r="E27" s="82"/>
      <c r="F27" s="82"/>
      <c r="G27" s="82"/>
      <c r="H27" s="82"/>
      <c r="I27" s="84" t="str">
        <f>TEXT(W15,)</f>
        <v/>
      </c>
      <c r="J27" s="84"/>
      <c r="K27" s="82"/>
      <c r="L27" s="82"/>
      <c r="M27" s="82"/>
      <c r="N27" s="82"/>
      <c r="O27" s="82"/>
      <c r="P27" s="82"/>
      <c r="Q27" s="82"/>
      <c r="R27" s="82"/>
      <c r="S27" s="84" t="str">
        <f>TEXT(AA15,)</f>
        <v>Kiti</v>
      </c>
      <c r="T27" s="82"/>
      <c r="U27" s="82"/>
      <c r="V27" s="341"/>
      <c r="W27" s="445" t="s">
        <v>486</v>
      </c>
      <c r="X27" s="445"/>
      <c r="Y27" s="445"/>
      <c r="Z27" s="341"/>
      <c r="AA27" s="445" t="s">
        <v>489</v>
      </c>
      <c r="AB27" s="445"/>
      <c r="AC27" s="445"/>
    </row>
    <row r="28" spans="1:29" ht="24.95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341"/>
      <c r="W28" s="341" t="s">
        <v>26</v>
      </c>
      <c r="X28" s="341">
        <v>4</v>
      </c>
      <c r="Y28" s="342">
        <v>0.15384615384615385</v>
      </c>
      <c r="Z28" s="341"/>
      <c r="AA28" s="341" t="s">
        <v>26</v>
      </c>
      <c r="AB28" s="341">
        <v>953</v>
      </c>
      <c r="AC28" s="342">
        <v>0.28618618618618619</v>
      </c>
    </row>
    <row r="29" spans="1:29" ht="24.95" customHeight="1">
      <c r="A29" s="82"/>
      <c r="B29" s="82"/>
      <c r="C29" s="446" t="str">
        <f>W27</f>
        <v>Vyrai ir moterys, 15-29 metų (26 atv.)</v>
      </c>
      <c r="D29" s="446"/>
      <c r="E29" s="446"/>
      <c r="F29" s="446"/>
      <c r="G29" s="446"/>
      <c r="H29" s="446"/>
      <c r="I29" s="446"/>
      <c r="J29" s="208"/>
      <c r="K29" s="82"/>
      <c r="L29" s="82"/>
      <c r="M29" s="446" t="str">
        <f>AA27</f>
        <v>Vyrai ir moterys, 75 ir daugiau metų (3330 atv.)</v>
      </c>
      <c r="N29" s="446"/>
      <c r="O29" s="446"/>
      <c r="P29" s="446"/>
      <c r="Q29" s="446"/>
      <c r="R29" s="446"/>
      <c r="S29" s="446"/>
      <c r="T29" s="82"/>
      <c r="U29" s="82"/>
      <c r="V29" s="341"/>
      <c r="W29" s="341" t="s">
        <v>211</v>
      </c>
      <c r="X29" s="341">
        <v>1</v>
      </c>
      <c r="Y29" s="342">
        <v>3.8461538461538464E-2</v>
      </c>
      <c r="Z29" s="341"/>
      <c r="AA29" s="341" t="s">
        <v>220</v>
      </c>
      <c r="AB29" s="341">
        <v>143</v>
      </c>
      <c r="AC29" s="342">
        <v>4.2942942942942944E-2</v>
      </c>
    </row>
    <row r="30" spans="1:29" ht="20.100000000000001" customHeight="1">
      <c r="A30" s="82"/>
      <c r="B30" s="82"/>
      <c r="C30" s="82"/>
      <c r="D30" s="82"/>
      <c r="E30" s="82"/>
      <c r="F30" s="82"/>
      <c r="G30" s="82"/>
      <c r="H30" s="82"/>
      <c r="I30" s="84" t="str">
        <f>W38</f>
        <v>Leukemijos</v>
      </c>
      <c r="J30" s="82"/>
      <c r="K30" s="82"/>
      <c r="L30" s="82"/>
      <c r="M30" s="82"/>
      <c r="N30" s="82"/>
      <c r="O30" s="82"/>
      <c r="P30" s="82"/>
      <c r="Q30" s="82"/>
      <c r="R30" s="82"/>
      <c r="S30" s="84" t="str">
        <f>AA38</f>
        <v>Plaučių, trachėjos, bronchų</v>
      </c>
      <c r="T30" s="82"/>
      <c r="U30" s="82"/>
      <c r="V30" s="341"/>
      <c r="W30" s="341" t="s">
        <v>214</v>
      </c>
      <c r="X30" s="341">
        <v>1</v>
      </c>
      <c r="Y30" s="342">
        <v>3.8461538461538464E-2</v>
      </c>
      <c r="Z30" s="341"/>
      <c r="AA30" s="341" t="s">
        <v>227</v>
      </c>
      <c r="AB30" s="341">
        <v>146</v>
      </c>
      <c r="AC30" s="342">
        <v>4.3843843843843842E-2</v>
      </c>
    </row>
    <row r="31" spans="1:29" ht="20.100000000000001" customHeight="1">
      <c r="A31" s="82"/>
      <c r="B31" s="82"/>
      <c r="C31" s="82"/>
      <c r="D31" s="82"/>
      <c r="E31" s="82"/>
      <c r="F31" s="82"/>
      <c r="G31" s="82"/>
      <c r="H31" s="82"/>
      <c r="I31" s="84" t="str">
        <f>W37</f>
        <v>Kaulų ir jungiamojo audinio</v>
      </c>
      <c r="J31" s="82"/>
      <c r="K31" s="82"/>
      <c r="L31" s="82"/>
      <c r="M31" s="82"/>
      <c r="N31" s="82"/>
      <c r="O31" s="82"/>
      <c r="P31" s="82"/>
      <c r="Q31" s="82"/>
      <c r="R31" s="82"/>
      <c r="S31" s="84" t="str">
        <f>AA37</f>
        <v>Priešinės liaukos</v>
      </c>
      <c r="T31" s="82"/>
      <c r="U31" s="82"/>
      <c r="V31" s="341"/>
      <c r="W31" s="341" t="s">
        <v>444</v>
      </c>
      <c r="X31" s="341">
        <v>1</v>
      </c>
      <c r="Y31" s="342">
        <v>3.8461538461538464E-2</v>
      </c>
      <c r="Z31" s="341"/>
      <c r="AA31" s="341" t="s">
        <v>219</v>
      </c>
      <c r="AB31" s="341">
        <v>185</v>
      </c>
      <c r="AC31" s="342">
        <v>5.5555555555555552E-2</v>
      </c>
    </row>
    <row r="32" spans="1:29" ht="20.100000000000001" customHeight="1">
      <c r="A32" s="82"/>
      <c r="B32" s="82"/>
      <c r="C32" s="82"/>
      <c r="D32" s="82"/>
      <c r="E32" s="82"/>
      <c r="F32" s="82"/>
      <c r="G32" s="82"/>
      <c r="H32" s="82"/>
      <c r="I32" s="84" t="str">
        <f>W36</f>
        <v>Smegenų</v>
      </c>
      <c r="J32" s="82"/>
      <c r="K32" s="82"/>
      <c r="L32" s="82"/>
      <c r="M32" s="82"/>
      <c r="N32" s="82"/>
      <c r="O32" s="82"/>
      <c r="P32" s="82"/>
      <c r="Q32" s="82"/>
      <c r="R32" s="82"/>
      <c r="S32" s="84" t="str">
        <f>AA36</f>
        <v>Skrandžio</v>
      </c>
      <c r="T32" s="82"/>
      <c r="U32" s="82"/>
      <c r="V32" s="341"/>
      <c r="W32" s="341" t="s">
        <v>224</v>
      </c>
      <c r="X32" s="341">
        <v>1</v>
      </c>
      <c r="Y32" s="342">
        <v>3.8461538461538464E-2</v>
      </c>
      <c r="Z32" s="341"/>
      <c r="AA32" s="341" t="s">
        <v>234</v>
      </c>
      <c r="AB32" s="341">
        <v>188</v>
      </c>
      <c r="AC32" s="342">
        <v>5.6456456456456458E-2</v>
      </c>
    </row>
    <row r="33" spans="1:29" ht="20.100000000000001" customHeight="1">
      <c r="A33" s="82"/>
      <c r="B33" s="82"/>
      <c r="C33" s="82"/>
      <c r="D33" s="82"/>
      <c r="E33" s="82"/>
      <c r="F33" s="82"/>
      <c r="G33" s="82"/>
      <c r="H33" s="82"/>
      <c r="I33" s="84" t="str">
        <f>W35</f>
        <v>Skrandžio</v>
      </c>
      <c r="J33" s="82"/>
      <c r="K33" s="82"/>
      <c r="L33" s="82"/>
      <c r="M33" s="82"/>
      <c r="N33" s="82"/>
      <c r="O33" s="82"/>
      <c r="P33" s="82"/>
      <c r="Q33" s="82"/>
      <c r="R33" s="82"/>
      <c r="S33" s="84" t="str">
        <f>AA35</f>
        <v>Gaubtinės žarnos</v>
      </c>
      <c r="T33" s="82"/>
      <c r="U33" s="82"/>
      <c r="V33" s="341"/>
      <c r="W33" s="341" t="s">
        <v>445</v>
      </c>
      <c r="X33" s="341">
        <v>1</v>
      </c>
      <c r="Y33" s="342">
        <v>3.8461538461538464E-2</v>
      </c>
      <c r="Z33" s="341"/>
      <c r="AA33" s="341" t="s">
        <v>237</v>
      </c>
      <c r="AB33" s="341">
        <v>191</v>
      </c>
      <c r="AC33" s="342">
        <v>5.7357357357357357E-2</v>
      </c>
    </row>
    <row r="34" spans="1:29" ht="20.100000000000001" customHeight="1">
      <c r="A34" s="82"/>
      <c r="B34" s="82"/>
      <c r="C34" s="82"/>
      <c r="D34" s="82"/>
      <c r="E34" s="82"/>
      <c r="F34" s="82"/>
      <c r="G34" s="82"/>
      <c r="H34" s="82"/>
      <c r="I34" s="84" t="str">
        <f>W34</f>
        <v>Ne Hodžkino limfomos</v>
      </c>
      <c r="J34" s="82"/>
      <c r="K34" s="82"/>
      <c r="L34" s="82"/>
      <c r="M34" s="82"/>
      <c r="N34" s="82"/>
      <c r="O34" s="82"/>
      <c r="P34" s="82"/>
      <c r="Q34" s="82"/>
      <c r="R34" s="82"/>
      <c r="S34" s="84" t="str">
        <f>AA34</f>
        <v>Tiesiosios žarnos, išangės</v>
      </c>
      <c r="T34" s="82"/>
      <c r="U34" s="82"/>
      <c r="V34" s="341"/>
      <c r="W34" s="341" t="s">
        <v>226</v>
      </c>
      <c r="X34" s="341">
        <v>2</v>
      </c>
      <c r="Y34" s="342">
        <v>7.6923076923076927E-2</v>
      </c>
      <c r="Z34" s="341"/>
      <c r="AA34" s="341" t="s">
        <v>212</v>
      </c>
      <c r="AB34" s="341">
        <v>222</v>
      </c>
      <c r="AC34" s="342">
        <v>6.6666666666666666E-2</v>
      </c>
    </row>
    <row r="35" spans="1:29" ht="20.100000000000001" customHeight="1">
      <c r="A35" s="82"/>
      <c r="B35" s="82"/>
      <c r="C35" s="82"/>
      <c r="D35" s="82"/>
      <c r="E35" s="82"/>
      <c r="F35" s="82"/>
      <c r="G35" s="82"/>
      <c r="H35" s="82"/>
      <c r="I35" s="84" t="str">
        <f>W33</f>
        <v>Kitų kvėpavimo sistemos organų</v>
      </c>
      <c r="J35" s="82"/>
      <c r="K35" s="82"/>
      <c r="L35" s="82"/>
      <c r="M35" s="82"/>
      <c r="N35" s="82"/>
      <c r="O35" s="82"/>
      <c r="P35" s="82"/>
      <c r="Q35" s="82"/>
      <c r="R35" s="82"/>
      <c r="S35" s="84" t="str">
        <f>AA33</f>
        <v>Nepatikslintos lokalizacijos</v>
      </c>
      <c r="T35" s="82"/>
      <c r="U35" s="82"/>
      <c r="V35" s="341"/>
      <c r="W35" s="341" t="s">
        <v>215</v>
      </c>
      <c r="X35" s="341">
        <v>3</v>
      </c>
      <c r="Y35" s="342">
        <v>0.11538461538461539</v>
      </c>
      <c r="Z35" s="341"/>
      <c r="AA35" s="341" t="s">
        <v>214</v>
      </c>
      <c r="AB35" s="341">
        <v>271</v>
      </c>
      <c r="AC35" s="342">
        <v>8.1381381381381387E-2</v>
      </c>
    </row>
    <row r="36" spans="1:29" ht="20.100000000000001" customHeight="1">
      <c r="A36" s="82"/>
      <c r="B36" s="82"/>
      <c r="C36" s="82"/>
      <c r="D36" s="82"/>
      <c r="E36" s="82"/>
      <c r="F36" s="82"/>
      <c r="G36" s="82"/>
      <c r="H36" s="82"/>
      <c r="I36" s="84" t="str">
        <f>W32</f>
        <v>Kitų virškinimo sistemos organų</v>
      </c>
      <c r="J36" s="82"/>
      <c r="K36" s="82"/>
      <c r="L36" s="82"/>
      <c r="M36" s="82"/>
      <c r="N36" s="82"/>
      <c r="O36" s="82"/>
      <c r="P36" s="82"/>
      <c r="Q36" s="82"/>
      <c r="R36" s="82"/>
      <c r="S36" s="84" t="str">
        <f>AA32</f>
        <v>Krūties</v>
      </c>
      <c r="T36" s="82"/>
      <c r="U36" s="82"/>
      <c r="V36" s="341"/>
      <c r="W36" s="341" t="s">
        <v>225</v>
      </c>
      <c r="X36" s="341">
        <v>3</v>
      </c>
      <c r="Y36" s="342">
        <v>0.11538461538461539</v>
      </c>
      <c r="Z36" s="341"/>
      <c r="AA36" s="341" t="s">
        <v>215</v>
      </c>
      <c r="AB36" s="341">
        <v>276</v>
      </c>
      <c r="AC36" s="342">
        <v>8.2882882882882883E-2</v>
      </c>
    </row>
    <row r="37" spans="1:29" ht="20.100000000000001" customHeight="1">
      <c r="A37" s="82"/>
      <c r="B37" s="82"/>
      <c r="C37" s="82"/>
      <c r="D37" s="82"/>
      <c r="E37" s="82"/>
      <c r="F37" s="82"/>
      <c r="G37" s="82"/>
      <c r="H37" s="82"/>
      <c r="I37" s="84" t="str">
        <f>W31</f>
        <v>Kepenų</v>
      </c>
      <c r="J37" s="82"/>
      <c r="K37" s="82"/>
      <c r="L37" s="82"/>
      <c r="M37" s="82"/>
      <c r="N37" s="82"/>
      <c r="O37" s="82"/>
      <c r="P37" s="82"/>
      <c r="Q37" s="82"/>
      <c r="R37" s="82"/>
      <c r="S37" s="84" t="str">
        <f>AA31</f>
        <v>Kasos</v>
      </c>
      <c r="T37" s="82"/>
      <c r="U37" s="82"/>
      <c r="V37" s="341"/>
      <c r="W37" s="341" t="s">
        <v>228</v>
      </c>
      <c r="X37" s="341">
        <v>4</v>
      </c>
      <c r="Y37" s="342">
        <v>0.15384615384615385</v>
      </c>
      <c r="Z37" s="341"/>
      <c r="AA37" s="341" t="s">
        <v>218</v>
      </c>
      <c r="AB37" s="341">
        <v>334</v>
      </c>
      <c r="AC37" s="342">
        <v>0.10030030030030029</v>
      </c>
    </row>
    <row r="38" spans="1:29" ht="20.100000000000001" customHeight="1">
      <c r="A38" s="82"/>
      <c r="B38" s="82"/>
      <c r="C38" s="82"/>
      <c r="D38" s="82"/>
      <c r="E38" s="82"/>
      <c r="F38" s="82"/>
      <c r="G38" s="82"/>
      <c r="H38" s="82"/>
      <c r="I38" s="84" t="str">
        <f>W30</f>
        <v>Gaubtinės žarnos</v>
      </c>
      <c r="J38" s="82"/>
      <c r="K38" s="82"/>
      <c r="L38" s="82"/>
      <c r="M38" s="82"/>
      <c r="N38" s="82"/>
      <c r="O38" s="82"/>
      <c r="P38" s="82"/>
      <c r="Q38" s="82"/>
      <c r="R38" s="82"/>
      <c r="S38" s="84" t="str">
        <f>AA30</f>
        <v>Leukemijos</v>
      </c>
      <c r="T38" s="82"/>
      <c r="U38" s="82"/>
      <c r="V38" s="341"/>
      <c r="W38" s="341" t="s">
        <v>227</v>
      </c>
      <c r="X38" s="341">
        <v>5</v>
      </c>
      <c r="Y38" s="342">
        <v>0.19230769230769232</v>
      </c>
      <c r="Z38" s="341"/>
      <c r="AA38" s="341" t="s">
        <v>217</v>
      </c>
      <c r="AB38" s="341">
        <v>421</v>
      </c>
      <c r="AC38" s="342">
        <v>0.12642642642642643</v>
      </c>
    </row>
    <row r="39" spans="1:29" ht="20.100000000000001" customHeight="1">
      <c r="A39" s="82"/>
      <c r="B39" s="82"/>
      <c r="C39" s="82"/>
      <c r="D39" s="82"/>
      <c r="E39" s="82"/>
      <c r="F39" s="82"/>
      <c r="G39" s="82"/>
      <c r="H39" s="82"/>
      <c r="I39" s="84" t="str">
        <f>W29</f>
        <v>Burnos ertmės ir ryklės</v>
      </c>
      <c r="J39" s="82"/>
      <c r="K39" s="82"/>
      <c r="L39" s="82"/>
      <c r="M39" s="82"/>
      <c r="N39" s="82"/>
      <c r="O39" s="82"/>
      <c r="P39" s="82"/>
      <c r="Q39" s="82"/>
      <c r="R39" s="82"/>
      <c r="S39" s="84" t="str">
        <f>AA29</f>
        <v>Šlapimo pūslės</v>
      </c>
      <c r="T39" s="82"/>
      <c r="U39" s="82"/>
      <c r="V39" s="341"/>
      <c r="W39" s="343" t="s">
        <v>210</v>
      </c>
      <c r="X39" s="341">
        <v>26</v>
      </c>
      <c r="Y39" s="342">
        <v>1</v>
      </c>
      <c r="Z39" s="341"/>
      <c r="AA39" s="343" t="s">
        <v>210</v>
      </c>
      <c r="AB39" s="341">
        <v>3330</v>
      </c>
      <c r="AC39" s="342">
        <v>1</v>
      </c>
    </row>
    <row r="40" spans="1:29" ht="20.100000000000001" customHeight="1">
      <c r="A40" s="82"/>
      <c r="B40" s="82"/>
      <c r="C40" s="82"/>
      <c r="D40" s="82"/>
      <c r="E40" s="82"/>
      <c r="F40" s="82"/>
      <c r="G40" s="82"/>
      <c r="H40" s="82"/>
      <c r="I40" s="84" t="str">
        <f>W28</f>
        <v>Kiti</v>
      </c>
      <c r="J40" s="82"/>
      <c r="K40" s="82"/>
      <c r="L40" s="82"/>
      <c r="M40" s="82"/>
      <c r="N40" s="82"/>
      <c r="O40" s="82"/>
      <c r="P40" s="82"/>
      <c r="Q40" s="82"/>
      <c r="R40" s="82"/>
      <c r="S40" s="84" t="str">
        <f>TEXT(AA28,)</f>
        <v>Kiti</v>
      </c>
      <c r="T40" s="82"/>
      <c r="U40" s="82"/>
      <c r="V40" s="341"/>
      <c r="W40" s="445"/>
      <c r="X40" s="445"/>
      <c r="Y40" s="445"/>
      <c r="Z40" s="341"/>
      <c r="AA40" s="445"/>
      <c r="AB40" s="445"/>
      <c r="AC40" s="445"/>
    </row>
    <row r="41" spans="1:29" ht="24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341"/>
      <c r="W41" s="341"/>
      <c r="X41" s="341"/>
      <c r="Y41" s="344"/>
      <c r="Z41" s="341"/>
      <c r="AA41" s="341"/>
      <c r="AB41" s="341"/>
      <c r="AC41" s="344"/>
    </row>
    <row r="42" spans="1:29" ht="24.95" customHeight="1">
      <c r="A42" s="347"/>
      <c r="B42" s="347"/>
      <c r="C42" s="444">
        <f>W40</f>
        <v>0</v>
      </c>
      <c r="D42" s="444"/>
      <c r="E42" s="444"/>
      <c r="F42" s="444"/>
      <c r="G42" s="444"/>
      <c r="H42" s="444"/>
      <c r="I42" s="444"/>
      <c r="J42" s="348"/>
      <c r="K42" s="347"/>
      <c r="L42" s="347"/>
      <c r="M42" s="444">
        <f>AA40</f>
        <v>0</v>
      </c>
      <c r="N42" s="444"/>
      <c r="O42" s="444"/>
      <c r="P42" s="444"/>
      <c r="Q42" s="444"/>
      <c r="R42" s="444"/>
      <c r="S42" s="444"/>
      <c r="T42" s="347"/>
      <c r="U42" s="347"/>
      <c r="V42" s="341"/>
      <c r="W42" s="341"/>
      <c r="X42" s="341"/>
      <c r="Y42" s="344"/>
      <c r="Z42" s="341"/>
      <c r="AA42" s="341"/>
      <c r="AB42" s="341"/>
      <c r="AC42" s="344"/>
    </row>
    <row r="43" spans="1:29" ht="20.100000000000001" customHeight="1">
      <c r="A43" s="347"/>
      <c r="B43" s="347"/>
      <c r="C43" s="347"/>
      <c r="D43" s="347"/>
      <c r="E43" s="347"/>
      <c r="F43" s="347"/>
      <c r="G43" s="347"/>
      <c r="H43" s="347"/>
      <c r="I43" s="349">
        <f>W51</f>
        <v>0</v>
      </c>
      <c r="J43" s="347"/>
      <c r="K43" s="347"/>
      <c r="L43" s="347"/>
      <c r="M43" s="347"/>
      <c r="N43" s="347"/>
      <c r="O43" s="347"/>
      <c r="P43" s="347"/>
      <c r="Q43" s="347"/>
      <c r="R43" s="347"/>
      <c r="S43" s="349">
        <f>AA51</f>
        <v>0</v>
      </c>
      <c r="T43" s="347"/>
      <c r="U43" s="347"/>
      <c r="V43" s="341"/>
      <c r="W43" s="341"/>
      <c r="X43" s="341"/>
      <c r="Y43" s="344"/>
      <c r="Z43" s="341"/>
      <c r="AA43" s="341"/>
      <c r="AB43" s="341"/>
      <c r="AC43" s="344"/>
    </row>
    <row r="44" spans="1:29" ht="20.100000000000001" customHeight="1">
      <c r="A44" s="347"/>
      <c r="B44" s="347"/>
      <c r="C44" s="347"/>
      <c r="D44" s="347"/>
      <c r="E44" s="347"/>
      <c r="F44" s="347"/>
      <c r="G44" s="347"/>
      <c r="H44" s="347"/>
      <c r="I44" s="349">
        <f>W50</f>
        <v>0</v>
      </c>
      <c r="J44" s="347"/>
      <c r="K44" s="347"/>
      <c r="L44" s="347"/>
      <c r="M44" s="347"/>
      <c r="N44" s="347"/>
      <c r="O44" s="347"/>
      <c r="P44" s="347"/>
      <c r="Q44" s="347"/>
      <c r="R44" s="347"/>
      <c r="S44" s="349">
        <f>AA50</f>
        <v>0</v>
      </c>
      <c r="T44" s="347"/>
      <c r="U44" s="347"/>
      <c r="V44" s="341"/>
      <c r="W44" s="341"/>
      <c r="X44" s="341"/>
      <c r="Y44" s="344"/>
      <c r="Z44" s="341"/>
      <c r="AA44" s="341"/>
      <c r="AB44" s="341"/>
      <c r="AC44" s="344"/>
    </row>
    <row r="45" spans="1:29" ht="20.100000000000001" customHeight="1">
      <c r="A45" s="347"/>
      <c r="B45" s="347"/>
      <c r="C45" s="347"/>
      <c r="D45" s="347"/>
      <c r="E45" s="347"/>
      <c r="F45" s="347"/>
      <c r="G45" s="347"/>
      <c r="H45" s="347"/>
      <c r="I45" s="349">
        <f>W49</f>
        <v>0</v>
      </c>
      <c r="J45" s="347"/>
      <c r="K45" s="347"/>
      <c r="L45" s="347"/>
      <c r="M45" s="347"/>
      <c r="N45" s="347"/>
      <c r="O45" s="347"/>
      <c r="P45" s="347"/>
      <c r="Q45" s="347"/>
      <c r="R45" s="347"/>
      <c r="S45" s="349">
        <f>AA49</f>
        <v>0</v>
      </c>
      <c r="T45" s="347"/>
      <c r="U45" s="347"/>
      <c r="V45" s="341"/>
      <c r="W45" s="341"/>
      <c r="X45" s="341"/>
      <c r="Y45" s="344"/>
      <c r="Z45" s="341"/>
      <c r="AA45" s="341"/>
      <c r="AB45" s="341"/>
      <c r="AC45" s="344"/>
    </row>
    <row r="46" spans="1:29" ht="20.100000000000001" customHeight="1">
      <c r="A46" s="347"/>
      <c r="B46" s="347"/>
      <c r="C46" s="347"/>
      <c r="D46" s="347"/>
      <c r="E46" s="347"/>
      <c r="F46" s="347"/>
      <c r="G46" s="347"/>
      <c r="H46" s="347"/>
      <c r="I46" s="349">
        <f>W48</f>
        <v>0</v>
      </c>
      <c r="J46" s="347"/>
      <c r="K46" s="347"/>
      <c r="L46" s="347"/>
      <c r="M46" s="347"/>
      <c r="N46" s="347"/>
      <c r="O46" s="347"/>
      <c r="P46" s="347"/>
      <c r="Q46" s="347"/>
      <c r="R46" s="347"/>
      <c r="S46" s="349">
        <f>AA48</f>
        <v>0</v>
      </c>
      <c r="T46" s="347"/>
      <c r="U46" s="347"/>
      <c r="V46" s="341"/>
      <c r="W46" s="341"/>
      <c r="X46" s="341"/>
      <c r="Y46" s="344"/>
      <c r="Z46" s="341"/>
      <c r="AA46" s="341"/>
      <c r="AB46" s="341"/>
      <c r="AC46" s="344"/>
    </row>
    <row r="47" spans="1:29" ht="20.100000000000001" customHeight="1">
      <c r="A47" s="347"/>
      <c r="B47" s="347"/>
      <c r="C47" s="347"/>
      <c r="D47" s="347"/>
      <c r="E47" s="347"/>
      <c r="F47" s="347"/>
      <c r="G47" s="347"/>
      <c r="H47" s="347"/>
      <c r="I47" s="349">
        <f>W47</f>
        <v>0</v>
      </c>
      <c r="J47" s="347"/>
      <c r="K47" s="347"/>
      <c r="L47" s="347"/>
      <c r="M47" s="347"/>
      <c r="N47" s="347"/>
      <c r="O47" s="347"/>
      <c r="P47" s="347"/>
      <c r="Q47" s="347"/>
      <c r="R47" s="347"/>
      <c r="S47" s="349">
        <f>AA47</f>
        <v>0</v>
      </c>
      <c r="T47" s="347"/>
      <c r="U47" s="347"/>
      <c r="V47" s="341"/>
      <c r="W47" s="341"/>
      <c r="X47" s="341"/>
      <c r="Y47" s="344"/>
      <c r="Z47" s="341"/>
      <c r="AA47" s="341"/>
      <c r="AB47" s="341"/>
      <c r="AC47" s="344"/>
    </row>
    <row r="48" spans="1:29" ht="20.100000000000001" customHeight="1">
      <c r="A48" s="347"/>
      <c r="B48" s="347"/>
      <c r="C48" s="347"/>
      <c r="D48" s="347"/>
      <c r="E48" s="347"/>
      <c r="F48" s="347"/>
      <c r="G48" s="347"/>
      <c r="H48" s="347"/>
      <c r="I48" s="349">
        <f>W46</f>
        <v>0</v>
      </c>
      <c r="J48" s="347"/>
      <c r="K48" s="347"/>
      <c r="L48" s="347"/>
      <c r="M48" s="347"/>
      <c r="N48" s="347"/>
      <c r="O48" s="347"/>
      <c r="P48" s="347"/>
      <c r="Q48" s="347"/>
      <c r="R48" s="347"/>
      <c r="S48" s="349">
        <f>AA46</f>
        <v>0</v>
      </c>
      <c r="T48" s="347"/>
      <c r="U48" s="347"/>
      <c r="V48" s="341"/>
      <c r="W48" s="341"/>
      <c r="X48" s="341"/>
      <c r="Y48" s="344"/>
      <c r="Z48" s="341"/>
      <c r="AA48" s="341"/>
      <c r="AB48" s="341"/>
      <c r="AC48" s="344"/>
    </row>
    <row r="49" spans="1:29" ht="20.100000000000001" customHeight="1">
      <c r="A49" s="347"/>
      <c r="B49" s="347"/>
      <c r="C49" s="347"/>
      <c r="D49" s="347"/>
      <c r="E49" s="347"/>
      <c r="F49" s="347"/>
      <c r="G49" s="347"/>
      <c r="H49" s="347"/>
      <c r="I49" s="349">
        <f>W45</f>
        <v>0</v>
      </c>
      <c r="J49" s="347"/>
      <c r="K49" s="347"/>
      <c r="L49" s="347"/>
      <c r="M49" s="347"/>
      <c r="N49" s="347"/>
      <c r="O49" s="347"/>
      <c r="P49" s="347"/>
      <c r="Q49" s="347"/>
      <c r="R49" s="347"/>
      <c r="S49" s="349">
        <f>AA45</f>
        <v>0</v>
      </c>
      <c r="T49" s="347"/>
      <c r="U49" s="347"/>
      <c r="V49" s="341"/>
      <c r="W49" s="341"/>
      <c r="X49" s="341"/>
      <c r="Y49" s="344"/>
      <c r="Z49" s="341"/>
      <c r="AA49" s="341"/>
      <c r="AB49" s="341"/>
      <c r="AC49" s="344"/>
    </row>
    <row r="50" spans="1:29" ht="20.100000000000001" customHeight="1">
      <c r="A50" s="347"/>
      <c r="B50" s="347"/>
      <c r="C50" s="347"/>
      <c r="D50" s="347"/>
      <c r="E50" s="347"/>
      <c r="F50" s="347"/>
      <c r="G50" s="347"/>
      <c r="H50" s="347"/>
      <c r="I50" s="349">
        <f>W44</f>
        <v>0</v>
      </c>
      <c r="J50" s="347"/>
      <c r="K50" s="347"/>
      <c r="L50" s="347"/>
      <c r="M50" s="347"/>
      <c r="N50" s="347"/>
      <c r="O50" s="347"/>
      <c r="P50" s="347"/>
      <c r="Q50" s="347"/>
      <c r="R50" s="347"/>
      <c r="S50" s="349">
        <f>AA44</f>
        <v>0</v>
      </c>
      <c r="T50" s="347"/>
      <c r="U50" s="347"/>
      <c r="V50" s="341"/>
      <c r="W50" s="341"/>
      <c r="X50" s="341"/>
      <c r="Y50" s="344"/>
      <c r="Z50" s="341"/>
      <c r="AA50" s="341"/>
      <c r="AB50" s="341"/>
      <c r="AC50" s="344"/>
    </row>
    <row r="51" spans="1:29" ht="20.100000000000001" customHeight="1">
      <c r="A51" s="347"/>
      <c r="B51" s="347"/>
      <c r="C51" s="347"/>
      <c r="D51" s="347"/>
      <c r="E51" s="347"/>
      <c r="F51" s="347"/>
      <c r="G51" s="347"/>
      <c r="H51" s="347"/>
      <c r="I51" s="349">
        <f>W43</f>
        <v>0</v>
      </c>
      <c r="J51" s="347"/>
      <c r="K51" s="347"/>
      <c r="L51" s="347"/>
      <c r="M51" s="347"/>
      <c r="N51" s="347"/>
      <c r="O51" s="347"/>
      <c r="P51" s="347"/>
      <c r="Q51" s="347"/>
      <c r="R51" s="347"/>
      <c r="S51" s="349">
        <f>AA43</f>
        <v>0</v>
      </c>
      <c r="T51" s="347"/>
      <c r="U51" s="347"/>
      <c r="V51" s="341"/>
      <c r="W51" s="341"/>
      <c r="X51" s="341"/>
      <c r="Y51" s="344"/>
      <c r="Z51" s="341"/>
      <c r="AA51" s="341"/>
      <c r="AB51" s="341"/>
      <c r="AC51" s="344"/>
    </row>
    <row r="52" spans="1:29" ht="20.100000000000001" customHeight="1">
      <c r="A52" s="347"/>
      <c r="B52" s="347"/>
      <c r="C52" s="347"/>
      <c r="D52" s="347"/>
      <c r="E52" s="347"/>
      <c r="F52" s="347"/>
      <c r="G52" s="347"/>
      <c r="H52" s="347"/>
      <c r="I52" s="349">
        <f>W42</f>
        <v>0</v>
      </c>
      <c r="J52" s="347"/>
      <c r="K52" s="347"/>
      <c r="L52" s="347"/>
      <c r="M52" s="347"/>
      <c r="N52" s="347"/>
      <c r="O52" s="347"/>
      <c r="P52" s="347"/>
      <c r="Q52" s="347"/>
      <c r="R52" s="347"/>
      <c r="S52" s="349">
        <f>AA42</f>
        <v>0</v>
      </c>
      <c r="T52" s="347"/>
      <c r="U52" s="347"/>
      <c r="V52" s="341"/>
      <c r="W52" s="343"/>
      <c r="X52" s="341"/>
      <c r="Y52" s="344"/>
      <c r="Z52" s="341"/>
      <c r="AA52" s="343"/>
      <c r="AB52" s="341"/>
      <c r="AC52" s="344"/>
    </row>
    <row r="53" spans="1:29" ht="20.100000000000001" customHeight="1">
      <c r="A53" s="347"/>
      <c r="B53" s="347"/>
      <c r="C53" s="347"/>
      <c r="D53" s="347"/>
      <c r="E53" s="347"/>
      <c r="F53" s="347"/>
      <c r="G53" s="347"/>
      <c r="H53" s="347"/>
      <c r="I53" s="349">
        <f>W41</f>
        <v>0</v>
      </c>
      <c r="J53" s="347"/>
      <c r="K53" s="347"/>
      <c r="L53" s="347"/>
      <c r="M53" s="347"/>
      <c r="N53" s="347"/>
      <c r="O53" s="347"/>
      <c r="P53" s="347"/>
      <c r="Q53" s="347"/>
      <c r="R53" s="347"/>
      <c r="S53" s="349">
        <f>AA41</f>
        <v>0</v>
      </c>
      <c r="T53" s="347"/>
      <c r="U53" s="347"/>
      <c r="V53" s="341"/>
      <c r="W53" s="445"/>
      <c r="X53" s="445"/>
      <c r="Y53" s="445"/>
      <c r="Z53" s="341"/>
      <c r="AA53" s="445"/>
      <c r="AB53" s="445"/>
      <c r="AC53" s="445"/>
    </row>
    <row r="54" spans="1:29" ht="24.95" customHeight="1">
      <c r="A54" s="347"/>
      <c r="B54" s="347"/>
      <c r="C54" s="347"/>
      <c r="D54" s="347"/>
      <c r="E54" s="347"/>
      <c r="F54" s="347"/>
      <c r="G54" s="347"/>
      <c r="H54" s="347"/>
      <c r="I54" s="347"/>
      <c r="J54" s="347"/>
      <c r="K54" s="347"/>
      <c r="L54" s="347"/>
      <c r="M54" s="347"/>
      <c r="N54" s="347"/>
      <c r="O54" s="347"/>
      <c r="P54" s="347"/>
      <c r="Q54" s="347"/>
      <c r="R54" s="347"/>
      <c r="S54" s="347"/>
      <c r="T54" s="347"/>
      <c r="U54" s="347"/>
      <c r="V54" s="341"/>
      <c r="W54" s="341"/>
      <c r="X54" s="341"/>
      <c r="Y54" s="344"/>
      <c r="Z54" s="341"/>
      <c r="AA54" s="341"/>
      <c r="AB54" s="341"/>
      <c r="AC54" s="344"/>
    </row>
    <row r="55" spans="1:29" ht="24.95" customHeight="1">
      <c r="A55" s="347"/>
      <c r="B55" s="347"/>
      <c r="C55" s="444">
        <f>W53</f>
        <v>0</v>
      </c>
      <c r="D55" s="444"/>
      <c r="E55" s="444"/>
      <c r="F55" s="444"/>
      <c r="G55" s="444"/>
      <c r="H55" s="444"/>
      <c r="I55" s="444"/>
      <c r="J55" s="347"/>
      <c r="K55" s="347"/>
      <c r="L55" s="347"/>
      <c r="M55" s="444">
        <f>AA53</f>
        <v>0</v>
      </c>
      <c r="N55" s="444"/>
      <c r="O55" s="444"/>
      <c r="P55" s="444"/>
      <c r="Q55" s="444"/>
      <c r="R55" s="444"/>
      <c r="S55" s="444"/>
      <c r="T55" s="347"/>
      <c r="U55" s="347"/>
      <c r="V55" s="341"/>
      <c r="W55" s="341"/>
      <c r="X55" s="341"/>
      <c r="Y55" s="344"/>
      <c r="Z55" s="341"/>
      <c r="AA55" s="341"/>
      <c r="AB55" s="341"/>
      <c r="AC55" s="344"/>
    </row>
    <row r="56" spans="1:29" ht="20.100000000000001" customHeight="1">
      <c r="A56" s="347"/>
      <c r="B56" s="347"/>
      <c r="C56" s="347"/>
      <c r="D56" s="347"/>
      <c r="E56" s="347"/>
      <c r="F56" s="347"/>
      <c r="G56" s="347"/>
      <c r="H56" s="347"/>
      <c r="I56" s="349">
        <f>W64</f>
        <v>0</v>
      </c>
      <c r="J56" s="347"/>
      <c r="K56" s="347"/>
      <c r="L56" s="347"/>
      <c r="M56" s="347"/>
      <c r="N56" s="347"/>
      <c r="O56" s="347"/>
      <c r="P56" s="347"/>
      <c r="Q56" s="347"/>
      <c r="R56" s="347"/>
      <c r="S56" s="349">
        <f>AA64</f>
        <v>0</v>
      </c>
      <c r="T56" s="347"/>
      <c r="U56" s="347"/>
      <c r="V56" s="341"/>
      <c r="W56" s="341"/>
      <c r="X56" s="341"/>
      <c r="Y56" s="344"/>
      <c r="Z56" s="341"/>
      <c r="AA56" s="341"/>
      <c r="AB56" s="341"/>
      <c r="AC56" s="344"/>
    </row>
    <row r="57" spans="1:29" ht="20.100000000000001" customHeight="1">
      <c r="A57" s="347"/>
      <c r="B57" s="347"/>
      <c r="C57" s="347"/>
      <c r="D57" s="347"/>
      <c r="E57" s="347"/>
      <c r="F57" s="347"/>
      <c r="G57" s="347"/>
      <c r="H57" s="347"/>
      <c r="I57" s="349">
        <f>W63</f>
        <v>0</v>
      </c>
      <c r="J57" s="347"/>
      <c r="K57" s="347"/>
      <c r="L57" s="347"/>
      <c r="M57" s="347"/>
      <c r="N57" s="347"/>
      <c r="O57" s="347"/>
      <c r="P57" s="347"/>
      <c r="Q57" s="347"/>
      <c r="R57" s="347"/>
      <c r="S57" s="349">
        <f>AA63</f>
        <v>0</v>
      </c>
      <c r="T57" s="347"/>
      <c r="U57" s="347"/>
      <c r="V57" s="341"/>
      <c r="W57" s="341"/>
      <c r="X57" s="341"/>
      <c r="Y57" s="344"/>
      <c r="Z57" s="341"/>
      <c r="AA57" s="341"/>
      <c r="AB57" s="341"/>
      <c r="AC57" s="344"/>
    </row>
    <row r="58" spans="1:29" ht="20.100000000000001" customHeight="1">
      <c r="A58" s="347"/>
      <c r="B58" s="347"/>
      <c r="C58" s="347"/>
      <c r="D58" s="347"/>
      <c r="E58" s="347"/>
      <c r="F58" s="347"/>
      <c r="G58" s="347"/>
      <c r="H58" s="347"/>
      <c r="I58" s="349">
        <f>W62</f>
        <v>0</v>
      </c>
      <c r="J58" s="347"/>
      <c r="K58" s="347"/>
      <c r="L58" s="347"/>
      <c r="M58" s="347"/>
      <c r="N58" s="347"/>
      <c r="O58" s="347"/>
      <c r="P58" s="347"/>
      <c r="Q58" s="347"/>
      <c r="R58" s="347"/>
      <c r="S58" s="349">
        <f>AA62</f>
        <v>0</v>
      </c>
      <c r="T58" s="347"/>
      <c r="U58" s="347"/>
      <c r="V58" s="341"/>
      <c r="W58" s="341"/>
      <c r="X58" s="341"/>
      <c r="Y58" s="344"/>
      <c r="Z58" s="341"/>
      <c r="AA58" s="341"/>
      <c r="AB58" s="341"/>
      <c r="AC58" s="344"/>
    </row>
    <row r="59" spans="1:29" ht="20.100000000000001" customHeight="1">
      <c r="A59" s="347"/>
      <c r="B59" s="347"/>
      <c r="C59" s="347"/>
      <c r="D59" s="347"/>
      <c r="E59" s="347"/>
      <c r="F59" s="347"/>
      <c r="G59" s="347"/>
      <c r="H59" s="347"/>
      <c r="I59" s="349">
        <f>W61</f>
        <v>0</v>
      </c>
      <c r="J59" s="347"/>
      <c r="K59" s="347"/>
      <c r="L59" s="347"/>
      <c r="M59" s="347"/>
      <c r="N59" s="347"/>
      <c r="O59" s="347"/>
      <c r="P59" s="347"/>
      <c r="Q59" s="347"/>
      <c r="R59" s="347"/>
      <c r="S59" s="349">
        <f>AA61</f>
        <v>0</v>
      </c>
      <c r="T59" s="347"/>
      <c r="U59" s="347"/>
      <c r="V59" s="341"/>
      <c r="W59" s="341"/>
      <c r="X59" s="341"/>
      <c r="Y59" s="344"/>
      <c r="Z59" s="341"/>
      <c r="AA59" s="341"/>
      <c r="AB59" s="341"/>
      <c r="AC59" s="344"/>
    </row>
    <row r="60" spans="1:29" ht="20.100000000000001" customHeight="1">
      <c r="A60" s="347"/>
      <c r="B60" s="347"/>
      <c r="C60" s="347"/>
      <c r="D60" s="347"/>
      <c r="E60" s="347"/>
      <c r="F60" s="347"/>
      <c r="G60" s="347"/>
      <c r="H60" s="347"/>
      <c r="I60" s="349">
        <f>W60</f>
        <v>0</v>
      </c>
      <c r="J60" s="347"/>
      <c r="K60" s="347"/>
      <c r="L60" s="347"/>
      <c r="M60" s="347"/>
      <c r="N60" s="347"/>
      <c r="O60" s="347"/>
      <c r="P60" s="347"/>
      <c r="Q60" s="347"/>
      <c r="R60" s="347"/>
      <c r="S60" s="349">
        <f>AA60</f>
        <v>0</v>
      </c>
      <c r="T60" s="347"/>
      <c r="U60" s="347"/>
      <c r="V60" s="341"/>
      <c r="W60" s="341"/>
      <c r="X60" s="341"/>
      <c r="Y60" s="344"/>
      <c r="Z60" s="341"/>
      <c r="AA60" s="341"/>
      <c r="AB60" s="341"/>
      <c r="AC60" s="344"/>
    </row>
    <row r="61" spans="1:29" ht="20.100000000000001" customHeight="1">
      <c r="A61" s="347"/>
      <c r="B61" s="347"/>
      <c r="C61" s="347"/>
      <c r="D61" s="347"/>
      <c r="E61" s="347"/>
      <c r="F61" s="347"/>
      <c r="G61" s="347"/>
      <c r="H61" s="347"/>
      <c r="I61" s="349">
        <f>W59</f>
        <v>0</v>
      </c>
      <c r="J61" s="347"/>
      <c r="K61" s="347"/>
      <c r="L61" s="347"/>
      <c r="M61" s="347"/>
      <c r="N61" s="347"/>
      <c r="O61" s="347"/>
      <c r="P61" s="347"/>
      <c r="Q61" s="347"/>
      <c r="R61" s="347"/>
      <c r="S61" s="349">
        <f>AA59</f>
        <v>0</v>
      </c>
      <c r="T61" s="347"/>
      <c r="U61" s="347"/>
      <c r="V61" s="341"/>
      <c r="W61" s="341"/>
      <c r="X61" s="341"/>
      <c r="Y61" s="344"/>
      <c r="Z61" s="341"/>
      <c r="AA61" s="341"/>
      <c r="AB61" s="341"/>
      <c r="AC61" s="344"/>
    </row>
    <row r="62" spans="1:29" ht="20.100000000000001" customHeight="1">
      <c r="A62" s="347"/>
      <c r="B62" s="347"/>
      <c r="C62" s="347"/>
      <c r="D62" s="347"/>
      <c r="E62" s="347"/>
      <c r="F62" s="347"/>
      <c r="G62" s="347"/>
      <c r="H62" s="347"/>
      <c r="I62" s="349">
        <f>W58</f>
        <v>0</v>
      </c>
      <c r="J62" s="347"/>
      <c r="K62" s="347"/>
      <c r="L62" s="347"/>
      <c r="M62" s="347"/>
      <c r="N62" s="347"/>
      <c r="O62" s="347"/>
      <c r="P62" s="347"/>
      <c r="Q62" s="347"/>
      <c r="R62" s="347"/>
      <c r="S62" s="349">
        <f>AA58</f>
        <v>0</v>
      </c>
      <c r="T62" s="347"/>
      <c r="U62" s="347"/>
      <c r="V62" s="341"/>
      <c r="W62" s="341"/>
      <c r="X62" s="341"/>
      <c r="Y62" s="344"/>
      <c r="Z62" s="341"/>
      <c r="AA62" s="341"/>
      <c r="AB62" s="341"/>
      <c r="AC62" s="344"/>
    </row>
    <row r="63" spans="1:29" ht="20.100000000000001" customHeight="1">
      <c r="A63" s="347"/>
      <c r="B63" s="347"/>
      <c r="C63" s="347"/>
      <c r="D63" s="347"/>
      <c r="E63" s="347"/>
      <c r="F63" s="347"/>
      <c r="G63" s="347"/>
      <c r="H63" s="347"/>
      <c r="I63" s="349">
        <f>W57</f>
        <v>0</v>
      </c>
      <c r="J63" s="347"/>
      <c r="K63" s="347"/>
      <c r="L63" s="347"/>
      <c r="M63" s="347"/>
      <c r="N63" s="347"/>
      <c r="O63" s="347"/>
      <c r="P63" s="347"/>
      <c r="Q63" s="347"/>
      <c r="R63" s="347"/>
      <c r="S63" s="349">
        <f>AA57</f>
        <v>0</v>
      </c>
      <c r="T63" s="347"/>
      <c r="U63" s="347"/>
      <c r="V63" s="341"/>
      <c r="W63" s="341"/>
      <c r="X63" s="341"/>
      <c r="Y63" s="344"/>
      <c r="Z63" s="341"/>
      <c r="AA63" s="341"/>
      <c r="AB63" s="341"/>
      <c r="AC63" s="344"/>
    </row>
    <row r="64" spans="1:29" ht="20.100000000000001" customHeight="1">
      <c r="A64" s="347"/>
      <c r="B64" s="347"/>
      <c r="C64" s="347"/>
      <c r="D64" s="347"/>
      <c r="E64" s="347"/>
      <c r="F64" s="347"/>
      <c r="G64" s="347"/>
      <c r="H64" s="347"/>
      <c r="I64" s="349">
        <f>W56</f>
        <v>0</v>
      </c>
      <c r="J64" s="347"/>
      <c r="K64" s="347"/>
      <c r="L64" s="347"/>
      <c r="M64" s="347"/>
      <c r="N64" s="347"/>
      <c r="O64" s="347"/>
      <c r="P64" s="347"/>
      <c r="Q64" s="347"/>
      <c r="R64" s="347"/>
      <c r="S64" s="349">
        <f>AA56</f>
        <v>0</v>
      </c>
      <c r="T64" s="347"/>
      <c r="U64" s="347"/>
      <c r="V64" s="341"/>
      <c r="W64" s="341"/>
      <c r="X64" s="341"/>
      <c r="Y64" s="344"/>
      <c r="Z64" s="341"/>
      <c r="AA64" s="341"/>
      <c r="AB64" s="341"/>
      <c r="AC64" s="344"/>
    </row>
    <row r="65" spans="1:29" ht="20.100000000000001" customHeight="1">
      <c r="A65" s="347"/>
      <c r="B65" s="347"/>
      <c r="C65" s="347"/>
      <c r="D65" s="347"/>
      <c r="E65" s="347"/>
      <c r="F65" s="347"/>
      <c r="G65" s="347"/>
      <c r="H65" s="347"/>
      <c r="I65" s="349">
        <f>W55</f>
        <v>0</v>
      </c>
      <c r="J65" s="347"/>
      <c r="K65" s="347"/>
      <c r="L65" s="347"/>
      <c r="M65" s="347"/>
      <c r="N65" s="347"/>
      <c r="O65" s="347"/>
      <c r="P65" s="347"/>
      <c r="Q65" s="347"/>
      <c r="R65" s="347"/>
      <c r="S65" s="349">
        <f>AA55</f>
        <v>0</v>
      </c>
      <c r="T65" s="347"/>
      <c r="U65" s="347"/>
      <c r="V65" s="341"/>
      <c r="W65" s="343"/>
      <c r="X65" s="341"/>
      <c r="Y65" s="344"/>
      <c r="Z65" s="341"/>
      <c r="AA65" s="343"/>
      <c r="AB65" s="341"/>
      <c r="AC65" s="344"/>
    </row>
    <row r="66" spans="1:29" ht="20.100000000000001" customHeight="1">
      <c r="A66" s="347"/>
      <c r="B66" s="347"/>
      <c r="C66" s="347"/>
      <c r="D66" s="347"/>
      <c r="E66" s="347"/>
      <c r="F66" s="347"/>
      <c r="G66" s="347"/>
      <c r="H66" s="347"/>
      <c r="I66" s="349">
        <f>W54</f>
        <v>0</v>
      </c>
      <c r="J66" s="347"/>
      <c r="K66" s="347"/>
      <c r="L66" s="347"/>
      <c r="M66" s="347"/>
      <c r="N66" s="347"/>
      <c r="O66" s="347"/>
      <c r="P66" s="347"/>
      <c r="Q66" s="347"/>
      <c r="R66" s="347"/>
      <c r="S66" s="349">
        <f>AA54</f>
        <v>0</v>
      </c>
      <c r="T66" s="347"/>
      <c r="U66" s="347"/>
      <c r="V66" s="341"/>
      <c r="W66" s="445"/>
      <c r="X66" s="445"/>
      <c r="Y66" s="445"/>
      <c r="Z66" s="341"/>
      <c r="AA66" s="445"/>
      <c r="AB66" s="445"/>
      <c r="AC66" s="445"/>
    </row>
    <row r="67" spans="1:29" ht="24.95" customHeight="1">
      <c r="A67" s="347"/>
      <c r="B67" s="347"/>
      <c r="C67" s="347"/>
      <c r="D67" s="347"/>
      <c r="E67" s="347"/>
      <c r="F67" s="347"/>
      <c r="G67" s="347"/>
      <c r="H67" s="347"/>
      <c r="I67" s="347"/>
      <c r="J67" s="347"/>
      <c r="K67" s="347"/>
      <c r="L67" s="347"/>
      <c r="M67" s="347"/>
      <c r="N67" s="347"/>
      <c r="O67" s="347"/>
      <c r="P67" s="347"/>
      <c r="Q67" s="347"/>
      <c r="R67" s="347"/>
      <c r="S67" s="347"/>
      <c r="T67" s="347"/>
      <c r="U67" s="347"/>
      <c r="V67" s="341"/>
      <c r="W67" s="341"/>
      <c r="X67" s="341"/>
      <c r="Y67" s="344"/>
      <c r="Z67" s="341"/>
      <c r="AA67" s="341"/>
      <c r="AB67" s="341"/>
      <c r="AC67" s="344"/>
    </row>
    <row r="68" spans="1:29" ht="24.95" customHeight="1">
      <c r="A68" s="347"/>
      <c r="B68" s="347"/>
      <c r="C68" s="444">
        <f>W66</f>
        <v>0</v>
      </c>
      <c r="D68" s="444"/>
      <c r="E68" s="444"/>
      <c r="F68" s="444"/>
      <c r="G68" s="444"/>
      <c r="H68" s="444"/>
      <c r="I68" s="444"/>
      <c r="J68" s="347"/>
      <c r="K68" s="347"/>
      <c r="L68" s="347"/>
      <c r="M68" s="444">
        <f>AA66</f>
        <v>0</v>
      </c>
      <c r="N68" s="444"/>
      <c r="O68" s="444"/>
      <c r="P68" s="444"/>
      <c r="Q68" s="444"/>
      <c r="R68" s="444"/>
      <c r="S68" s="444"/>
      <c r="T68" s="347"/>
      <c r="U68" s="347"/>
      <c r="V68" s="341"/>
      <c r="W68" s="341"/>
      <c r="X68" s="341"/>
      <c r="Y68" s="344"/>
      <c r="Z68" s="341"/>
      <c r="AA68" s="341"/>
      <c r="AB68" s="341"/>
      <c r="AC68" s="344"/>
    </row>
    <row r="69" spans="1:29" ht="20.100000000000001" customHeight="1">
      <c r="A69" s="347"/>
      <c r="B69" s="347"/>
      <c r="C69" s="347"/>
      <c r="D69" s="347"/>
      <c r="E69" s="347"/>
      <c r="F69" s="347"/>
      <c r="G69" s="347"/>
      <c r="H69" s="347"/>
      <c r="I69" s="349">
        <f>W77</f>
        <v>0</v>
      </c>
      <c r="J69" s="347"/>
      <c r="K69" s="347"/>
      <c r="L69" s="347"/>
      <c r="M69" s="347"/>
      <c r="N69" s="347"/>
      <c r="O69" s="347"/>
      <c r="P69" s="347"/>
      <c r="Q69" s="347"/>
      <c r="R69" s="347"/>
      <c r="S69" s="349">
        <f>AA77</f>
        <v>0</v>
      </c>
      <c r="T69" s="347"/>
      <c r="U69" s="347"/>
      <c r="V69" s="341"/>
      <c r="W69" s="341"/>
      <c r="X69" s="341"/>
      <c r="Y69" s="344"/>
      <c r="Z69" s="341"/>
      <c r="AA69" s="341"/>
      <c r="AB69" s="341"/>
      <c r="AC69" s="344"/>
    </row>
    <row r="70" spans="1:29" ht="20.100000000000001" customHeight="1">
      <c r="A70" s="347"/>
      <c r="B70" s="347"/>
      <c r="C70" s="347"/>
      <c r="D70" s="347"/>
      <c r="E70" s="347"/>
      <c r="F70" s="347"/>
      <c r="G70" s="347"/>
      <c r="H70" s="347"/>
      <c r="I70" s="349">
        <f>W76</f>
        <v>0</v>
      </c>
      <c r="J70" s="347"/>
      <c r="K70" s="347"/>
      <c r="L70" s="347"/>
      <c r="M70" s="347"/>
      <c r="N70" s="347"/>
      <c r="O70" s="347"/>
      <c r="P70" s="347"/>
      <c r="Q70" s="347"/>
      <c r="R70" s="347"/>
      <c r="S70" s="349">
        <f>AA76</f>
        <v>0</v>
      </c>
      <c r="T70" s="347"/>
      <c r="U70" s="347"/>
      <c r="V70" s="341"/>
      <c r="W70" s="341"/>
      <c r="X70" s="341"/>
      <c r="Y70" s="344"/>
      <c r="Z70" s="341"/>
      <c r="AA70" s="341"/>
      <c r="AB70" s="341"/>
      <c r="AC70" s="344"/>
    </row>
    <row r="71" spans="1:29" ht="20.100000000000001" customHeight="1">
      <c r="A71" s="347"/>
      <c r="B71" s="347"/>
      <c r="C71" s="347"/>
      <c r="D71" s="347"/>
      <c r="E71" s="347"/>
      <c r="F71" s="347"/>
      <c r="G71" s="347"/>
      <c r="H71" s="347"/>
      <c r="I71" s="349">
        <f>W75</f>
        <v>0</v>
      </c>
      <c r="J71" s="347"/>
      <c r="K71" s="347"/>
      <c r="L71" s="347"/>
      <c r="M71" s="347"/>
      <c r="N71" s="347"/>
      <c r="O71" s="347"/>
      <c r="P71" s="347"/>
      <c r="Q71" s="347"/>
      <c r="R71" s="347"/>
      <c r="S71" s="349">
        <f>AA75</f>
        <v>0</v>
      </c>
      <c r="T71" s="347"/>
      <c r="U71" s="347"/>
      <c r="V71" s="341"/>
      <c r="W71" s="341"/>
      <c r="X71" s="341"/>
      <c r="Y71" s="344"/>
      <c r="Z71" s="81"/>
      <c r="AA71" s="81"/>
      <c r="AB71" s="81"/>
      <c r="AC71" s="86"/>
    </row>
    <row r="72" spans="1:29" ht="20.100000000000001" customHeight="1">
      <c r="A72" s="347"/>
      <c r="B72" s="347"/>
      <c r="C72" s="347"/>
      <c r="D72" s="347"/>
      <c r="E72" s="347"/>
      <c r="F72" s="347"/>
      <c r="G72" s="347"/>
      <c r="H72" s="347"/>
      <c r="I72" s="349">
        <f>W74</f>
        <v>0</v>
      </c>
      <c r="J72" s="347"/>
      <c r="K72" s="347"/>
      <c r="L72" s="347"/>
      <c r="M72" s="347"/>
      <c r="N72" s="347"/>
      <c r="O72" s="347"/>
      <c r="P72" s="347"/>
      <c r="Q72" s="347"/>
      <c r="R72" s="347"/>
      <c r="S72" s="349">
        <f>AA74</f>
        <v>0</v>
      </c>
      <c r="T72" s="347"/>
      <c r="U72" s="347"/>
      <c r="V72" s="341"/>
      <c r="W72" s="341"/>
      <c r="X72" s="341"/>
      <c r="Y72" s="344"/>
      <c r="Z72" s="81"/>
      <c r="AA72" s="81"/>
      <c r="AB72" s="81"/>
      <c r="AC72" s="86"/>
    </row>
    <row r="73" spans="1:29" ht="20.100000000000001" customHeight="1">
      <c r="A73" s="347"/>
      <c r="B73" s="347"/>
      <c r="C73" s="347"/>
      <c r="D73" s="347"/>
      <c r="E73" s="347"/>
      <c r="F73" s="347"/>
      <c r="G73" s="347"/>
      <c r="H73" s="347"/>
      <c r="I73" s="349">
        <f>W73</f>
        <v>0</v>
      </c>
      <c r="J73" s="347"/>
      <c r="K73" s="347"/>
      <c r="L73" s="347"/>
      <c r="M73" s="347"/>
      <c r="N73" s="347"/>
      <c r="O73" s="347"/>
      <c r="P73" s="347"/>
      <c r="Q73" s="347"/>
      <c r="R73" s="347"/>
      <c r="S73" s="349">
        <f>AA73</f>
        <v>0</v>
      </c>
      <c r="T73" s="347"/>
      <c r="U73" s="347"/>
      <c r="V73" s="341"/>
      <c r="W73" s="341"/>
      <c r="X73" s="341"/>
      <c r="Y73" s="344"/>
      <c r="Z73" s="81"/>
      <c r="AA73" s="81"/>
      <c r="AB73" s="81"/>
      <c r="AC73" s="86"/>
    </row>
    <row r="74" spans="1:29" ht="20.100000000000001" customHeight="1">
      <c r="A74" s="347"/>
      <c r="B74" s="347"/>
      <c r="C74" s="347"/>
      <c r="D74" s="347"/>
      <c r="E74" s="347"/>
      <c r="F74" s="347"/>
      <c r="G74" s="347"/>
      <c r="H74" s="347"/>
      <c r="I74" s="349">
        <f>W72</f>
        <v>0</v>
      </c>
      <c r="J74" s="347"/>
      <c r="K74" s="347"/>
      <c r="L74" s="347"/>
      <c r="M74" s="347"/>
      <c r="N74" s="347"/>
      <c r="O74" s="347"/>
      <c r="P74" s="347"/>
      <c r="Q74" s="347"/>
      <c r="R74" s="347"/>
      <c r="S74" s="349">
        <f>AA72</f>
        <v>0</v>
      </c>
      <c r="T74" s="347"/>
      <c r="U74" s="347"/>
      <c r="V74" s="341"/>
      <c r="W74" s="341"/>
      <c r="X74" s="341"/>
      <c r="Y74" s="344"/>
      <c r="Z74" s="81"/>
      <c r="AA74" s="81"/>
      <c r="AB74" s="81"/>
      <c r="AC74" s="86"/>
    </row>
    <row r="75" spans="1:29" ht="20.100000000000001" customHeight="1">
      <c r="A75" s="347"/>
      <c r="B75" s="347"/>
      <c r="C75" s="347"/>
      <c r="D75" s="347"/>
      <c r="E75" s="347"/>
      <c r="F75" s="347"/>
      <c r="G75" s="347"/>
      <c r="H75" s="347"/>
      <c r="I75" s="349">
        <f>W71</f>
        <v>0</v>
      </c>
      <c r="J75" s="347"/>
      <c r="K75" s="347"/>
      <c r="L75" s="347"/>
      <c r="M75" s="347"/>
      <c r="N75" s="347"/>
      <c r="O75" s="347"/>
      <c r="P75" s="347"/>
      <c r="Q75" s="347"/>
      <c r="R75" s="347"/>
      <c r="S75" s="349">
        <f>AA71</f>
        <v>0</v>
      </c>
      <c r="T75" s="347"/>
      <c r="U75" s="347"/>
      <c r="V75" s="341"/>
      <c r="W75" s="341"/>
      <c r="X75" s="341"/>
      <c r="Y75" s="344"/>
      <c r="Z75" s="81"/>
      <c r="AA75" s="81"/>
      <c r="AB75" s="81"/>
      <c r="AC75" s="86"/>
    </row>
    <row r="76" spans="1:29" ht="20.100000000000001" customHeight="1">
      <c r="A76" s="347"/>
      <c r="B76" s="347"/>
      <c r="C76" s="347"/>
      <c r="D76" s="347"/>
      <c r="E76" s="347"/>
      <c r="F76" s="347"/>
      <c r="G76" s="347"/>
      <c r="H76" s="347"/>
      <c r="I76" s="349">
        <f>W70</f>
        <v>0</v>
      </c>
      <c r="J76" s="347"/>
      <c r="K76" s="347"/>
      <c r="L76" s="347"/>
      <c r="M76" s="347"/>
      <c r="N76" s="347"/>
      <c r="O76" s="347"/>
      <c r="P76" s="347"/>
      <c r="Q76" s="347"/>
      <c r="R76" s="347"/>
      <c r="S76" s="349">
        <f>AA70</f>
        <v>0</v>
      </c>
      <c r="T76" s="347"/>
      <c r="U76" s="347"/>
      <c r="V76" s="341"/>
      <c r="W76" s="341"/>
      <c r="X76" s="341"/>
      <c r="Y76" s="344"/>
      <c r="Z76" s="81"/>
      <c r="AA76" s="81"/>
      <c r="AB76" s="81"/>
      <c r="AC76" s="86"/>
    </row>
    <row r="77" spans="1:29" ht="20.100000000000001" customHeight="1">
      <c r="A77" s="347"/>
      <c r="B77" s="347"/>
      <c r="C77" s="347"/>
      <c r="D77" s="347"/>
      <c r="E77" s="347"/>
      <c r="F77" s="347"/>
      <c r="G77" s="347"/>
      <c r="H77" s="347"/>
      <c r="I77" s="349">
        <f>W69</f>
        <v>0</v>
      </c>
      <c r="J77" s="347"/>
      <c r="K77" s="347"/>
      <c r="L77" s="347"/>
      <c r="M77" s="347"/>
      <c r="N77" s="347"/>
      <c r="O77" s="347"/>
      <c r="P77" s="347"/>
      <c r="Q77" s="347"/>
      <c r="R77" s="347"/>
      <c r="S77" s="349">
        <f>AA69</f>
        <v>0</v>
      </c>
      <c r="T77" s="347"/>
      <c r="U77" s="347"/>
      <c r="V77" s="341"/>
      <c r="W77" s="341"/>
      <c r="X77" s="341"/>
      <c r="Y77" s="344"/>
      <c r="Z77" s="81"/>
      <c r="AA77" s="81"/>
      <c r="AB77" s="81"/>
      <c r="AC77" s="86"/>
    </row>
    <row r="78" spans="1:29" ht="20.100000000000001" customHeight="1">
      <c r="A78" s="347"/>
      <c r="B78" s="347"/>
      <c r="C78" s="347"/>
      <c r="D78" s="347"/>
      <c r="E78" s="347"/>
      <c r="F78" s="347"/>
      <c r="G78" s="347"/>
      <c r="H78" s="347"/>
      <c r="I78" s="349">
        <f>W68</f>
        <v>0</v>
      </c>
      <c r="J78" s="347"/>
      <c r="K78" s="347"/>
      <c r="L78" s="347"/>
      <c r="M78" s="347"/>
      <c r="N78" s="347"/>
      <c r="O78" s="347"/>
      <c r="P78" s="347"/>
      <c r="Q78" s="347"/>
      <c r="R78" s="347"/>
      <c r="S78" s="349">
        <f>AA68</f>
        <v>0</v>
      </c>
      <c r="T78" s="347"/>
      <c r="U78" s="347"/>
      <c r="V78" s="341"/>
      <c r="W78" s="343"/>
      <c r="X78" s="341"/>
      <c r="Y78" s="344"/>
      <c r="Z78" s="81"/>
      <c r="AA78" s="85"/>
      <c r="AB78" s="81"/>
      <c r="AC78" s="86"/>
    </row>
    <row r="79" spans="1:29" ht="20.100000000000001" customHeight="1">
      <c r="A79" s="347"/>
      <c r="B79" s="347"/>
      <c r="C79" s="347"/>
      <c r="D79" s="347"/>
      <c r="E79" s="347"/>
      <c r="F79" s="347"/>
      <c r="G79" s="347"/>
      <c r="H79" s="347"/>
      <c r="I79" s="349">
        <f>W67</f>
        <v>0</v>
      </c>
      <c r="J79" s="347"/>
      <c r="K79" s="347"/>
      <c r="L79" s="347"/>
      <c r="M79" s="347"/>
      <c r="N79" s="347"/>
      <c r="O79" s="347"/>
      <c r="P79" s="347"/>
      <c r="Q79" s="347"/>
      <c r="R79" s="347"/>
      <c r="S79" s="349">
        <f>AA67</f>
        <v>0</v>
      </c>
      <c r="T79" s="347"/>
      <c r="U79" s="347"/>
      <c r="V79" s="341"/>
      <c r="W79" s="341"/>
      <c r="X79" s="341"/>
      <c r="Y79" s="341"/>
    </row>
    <row r="80" spans="1:29" ht="20.100000000000001" customHeight="1">
      <c r="A80" s="347"/>
      <c r="B80" s="347"/>
      <c r="C80" s="347"/>
      <c r="D80" s="347"/>
      <c r="E80" s="347"/>
      <c r="F80" s="347"/>
      <c r="G80" s="347"/>
      <c r="H80" s="347"/>
      <c r="I80" s="347"/>
      <c r="J80" s="347"/>
      <c r="K80" s="347"/>
      <c r="L80" s="347"/>
      <c r="M80" s="347"/>
      <c r="N80" s="347"/>
      <c r="O80" s="347"/>
      <c r="P80" s="347"/>
      <c r="Q80" s="347"/>
      <c r="R80" s="347"/>
      <c r="S80" s="347"/>
      <c r="T80" s="347"/>
      <c r="U80" s="347"/>
      <c r="V80" s="341"/>
      <c r="W80" s="341"/>
      <c r="X80" s="341"/>
      <c r="Y80" s="341"/>
    </row>
    <row r="81" spans="1:25">
      <c r="A81" s="347"/>
      <c r="B81" s="347"/>
      <c r="C81" s="347"/>
      <c r="D81" s="347"/>
      <c r="E81" s="347"/>
      <c r="F81" s="347"/>
      <c r="G81" s="347"/>
      <c r="H81" s="347"/>
      <c r="I81" s="347"/>
      <c r="J81" s="347"/>
      <c r="K81" s="347"/>
      <c r="L81" s="347"/>
      <c r="M81" s="347"/>
      <c r="N81" s="347"/>
      <c r="O81" s="347"/>
      <c r="P81" s="347"/>
      <c r="Q81" s="347"/>
      <c r="R81" s="347"/>
      <c r="S81" s="347"/>
      <c r="T81" s="347"/>
      <c r="U81" s="347"/>
      <c r="V81" s="341"/>
      <c r="W81" s="341"/>
      <c r="X81" s="341"/>
      <c r="Y81" s="341"/>
    </row>
  </sheetData>
  <mergeCells count="24">
    <mergeCell ref="W1:Y1"/>
    <mergeCell ref="AA1:AC1"/>
    <mergeCell ref="C3:I3"/>
    <mergeCell ref="M3:S3"/>
    <mergeCell ref="W14:Y14"/>
    <mergeCell ref="AA14:AC14"/>
    <mergeCell ref="C16:I16"/>
    <mergeCell ref="M16:S16"/>
    <mergeCell ref="W27:Y27"/>
    <mergeCell ref="AA27:AC27"/>
    <mergeCell ref="C29:I29"/>
    <mergeCell ref="M29:S29"/>
    <mergeCell ref="W40:Y40"/>
    <mergeCell ref="AA40:AC40"/>
    <mergeCell ref="C42:I42"/>
    <mergeCell ref="M42:S42"/>
    <mergeCell ref="W53:Y53"/>
    <mergeCell ref="AA53:AC53"/>
    <mergeCell ref="C55:I55"/>
    <mergeCell ref="M55:S55"/>
    <mergeCell ref="W66:Y66"/>
    <mergeCell ref="AA66:AC66"/>
    <mergeCell ref="C68:I68"/>
    <mergeCell ref="M68:S68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6">
    <tabColor theme="9" tint="0.39997558519241921"/>
  </sheetPr>
  <dimension ref="A1:AE81"/>
  <sheetViews>
    <sheetView zoomScaleNormal="100" workbookViewId="0">
      <selection activeCell="D1" sqref="D1"/>
    </sheetView>
  </sheetViews>
  <sheetFormatPr defaultRowHeight="12.75"/>
  <cols>
    <col min="1" max="1" width="6.7109375" style="80" customWidth="1"/>
    <col min="2" max="2" width="0.140625" style="80" customWidth="1"/>
    <col min="3" max="6" width="7.7109375" style="80" customWidth="1"/>
    <col min="7" max="7" width="4.7109375" style="80" customWidth="1"/>
    <col min="8" max="8" width="10.7109375" style="80" customWidth="1"/>
    <col min="9" max="9" width="7.7109375" style="80" customWidth="1"/>
    <col min="10" max="10" width="0.85546875" style="80" customWidth="1"/>
    <col min="11" max="11" width="2.7109375" style="80" customWidth="1"/>
    <col min="12" max="12" width="0.85546875" style="80" customWidth="1"/>
    <col min="13" max="16" width="7.7109375" style="80" customWidth="1"/>
    <col min="17" max="17" width="4.7109375" style="80" customWidth="1"/>
    <col min="18" max="18" width="10.7109375" style="80" customWidth="1"/>
    <col min="19" max="19" width="7.7109375" style="80" customWidth="1"/>
    <col min="20" max="20" width="0.140625" style="80" customWidth="1"/>
    <col min="21" max="21" width="7.7109375" style="80" customWidth="1"/>
    <col min="22" max="22" width="9.140625" style="80"/>
    <col min="23" max="23" width="27.85546875" style="80" bestFit="1" customWidth="1"/>
    <col min="24" max="24" width="5" style="80" bestFit="1" customWidth="1"/>
    <col min="25" max="25" width="5.7109375" style="80" bestFit="1" customWidth="1"/>
    <col min="26" max="26" width="8.5703125" style="80" bestFit="1" customWidth="1"/>
    <col min="27" max="27" width="28.140625" style="80" bestFit="1" customWidth="1"/>
    <col min="28" max="28" width="5" style="80" bestFit="1" customWidth="1"/>
    <col min="29" max="29" width="5.7109375" style="80" bestFit="1" customWidth="1"/>
    <col min="30" max="16384" width="9.140625" style="80"/>
  </cols>
  <sheetData>
    <row r="1" spans="1:31" ht="20.100000000000001" customHeight="1">
      <c r="A1" s="537">
        <v>2014</v>
      </c>
      <c r="B1" s="537"/>
      <c r="C1" s="537" t="s">
        <v>406</v>
      </c>
      <c r="D1" s="79" t="s">
        <v>626</v>
      </c>
      <c r="E1" s="537" t="s">
        <v>422</v>
      </c>
      <c r="F1" s="341"/>
      <c r="G1" s="341"/>
      <c r="H1" s="538" t="s">
        <v>407</v>
      </c>
      <c r="I1" s="341"/>
      <c r="J1" s="341"/>
      <c r="K1" s="341"/>
      <c r="L1" s="341"/>
      <c r="M1" s="341"/>
      <c r="N1" s="341"/>
      <c r="O1" s="341"/>
      <c r="P1" s="341"/>
      <c r="Q1" s="341"/>
      <c r="R1" s="341"/>
      <c r="V1" s="341"/>
      <c r="W1" s="445" t="s">
        <v>466</v>
      </c>
      <c r="X1" s="445"/>
      <c r="Y1" s="445"/>
      <c r="Z1" s="341"/>
      <c r="AA1" s="445" t="s">
        <v>472</v>
      </c>
      <c r="AB1" s="445"/>
      <c r="AC1" s="445"/>
      <c r="AD1" s="341"/>
      <c r="AE1" s="341"/>
    </row>
    <row r="2" spans="1:31" ht="20.100000000000001" customHeight="1">
      <c r="A2" s="82"/>
      <c r="B2" s="82"/>
      <c r="C2" s="82"/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341"/>
      <c r="W2" s="341" t="s">
        <v>26</v>
      </c>
      <c r="X2" s="341">
        <v>987</v>
      </c>
      <c r="Y2" s="342">
        <v>0.21841115290993582</v>
      </c>
      <c r="Z2" s="341"/>
      <c r="AA2" s="341" t="s">
        <v>26</v>
      </c>
      <c r="AB2" s="341">
        <v>988</v>
      </c>
      <c r="AC2" s="342">
        <v>0.28236639039725636</v>
      </c>
      <c r="AD2" s="341"/>
      <c r="AE2" s="341"/>
    </row>
    <row r="3" spans="1:31" ht="24.95" customHeight="1">
      <c r="A3" s="82"/>
      <c r="B3" s="82"/>
      <c r="C3" s="446" t="str">
        <f>W1</f>
        <v>Vyrai, visos amžiaus grupės (4519 atv.)</v>
      </c>
      <c r="D3" s="446"/>
      <c r="E3" s="446"/>
      <c r="F3" s="446"/>
      <c r="G3" s="446"/>
      <c r="H3" s="446"/>
      <c r="I3" s="446"/>
      <c r="J3" s="83"/>
      <c r="K3" s="82"/>
      <c r="L3" s="82"/>
      <c r="M3" s="446" t="str">
        <f>AA1</f>
        <v>Moterys, visos amžiaus grupės (3499 atv.)</v>
      </c>
      <c r="N3" s="446"/>
      <c r="O3" s="446"/>
      <c r="P3" s="446"/>
      <c r="Q3" s="446"/>
      <c r="R3" s="446"/>
      <c r="S3" s="446"/>
      <c r="T3" s="82"/>
      <c r="U3" s="82"/>
      <c r="V3" s="341"/>
      <c r="W3" s="341" t="s">
        <v>423</v>
      </c>
      <c r="X3" s="341">
        <v>173</v>
      </c>
      <c r="Y3" s="342">
        <v>3.8282805930515598E-2</v>
      </c>
      <c r="Z3" s="341"/>
      <c r="AA3" s="341" t="s">
        <v>233</v>
      </c>
      <c r="AB3" s="341">
        <v>154</v>
      </c>
      <c r="AC3" s="342">
        <v>4.4012575021434693E-2</v>
      </c>
      <c r="AD3" s="341"/>
      <c r="AE3" s="341"/>
    </row>
    <row r="4" spans="1:31" ht="20.100000000000001" customHeight="1">
      <c r="A4" s="82"/>
      <c r="B4" s="82"/>
      <c r="C4" s="82"/>
      <c r="D4" s="82"/>
      <c r="E4" s="82"/>
      <c r="F4" s="82"/>
      <c r="G4" s="82"/>
      <c r="H4" s="82"/>
      <c r="I4" s="84" t="str">
        <f>W12</f>
        <v>Plaučių, trachėjos, bronchų</v>
      </c>
      <c r="J4" s="84"/>
      <c r="K4" s="82"/>
      <c r="L4" s="82"/>
      <c r="M4" s="82"/>
      <c r="N4" s="82"/>
      <c r="O4" s="82"/>
      <c r="P4" s="82"/>
      <c r="Q4" s="82"/>
      <c r="R4" s="82"/>
      <c r="S4" s="84" t="str">
        <f>AA12</f>
        <v>Krūties</v>
      </c>
      <c r="T4" s="82"/>
      <c r="U4" s="82"/>
      <c r="V4" s="341"/>
      <c r="W4" s="341" t="s">
        <v>213</v>
      </c>
      <c r="X4" s="341">
        <v>177</v>
      </c>
      <c r="Y4" s="342">
        <v>3.9167957512724054E-2</v>
      </c>
      <c r="Z4" s="341"/>
      <c r="AA4" s="341" t="s">
        <v>237</v>
      </c>
      <c r="AB4" s="341">
        <v>172</v>
      </c>
      <c r="AC4" s="342">
        <v>4.9156901971991997E-2</v>
      </c>
      <c r="AD4" s="341"/>
      <c r="AE4" s="341"/>
    </row>
    <row r="5" spans="1:31" ht="20.100000000000001" customHeight="1">
      <c r="A5" s="82"/>
      <c r="B5" s="82"/>
      <c r="C5" s="82"/>
      <c r="D5" s="82"/>
      <c r="E5" s="82"/>
      <c r="F5" s="82"/>
      <c r="G5" s="82"/>
      <c r="H5" s="82"/>
      <c r="I5" s="84" t="str">
        <f>W11</f>
        <v>Priešinės liaukos</v>
      </c>
      <c r="J5" s="84"/>
      <c r="K5" s="82"/>
      <c r="L5" s="82"/>
      <c r="M5" s="82"/>
      <c r="N5" s="82"/>
      <c r="O5" s="82"/>
      <c r="P5" s="82"/>
      <c r="Q5" s="82"/>
      <c r="R5" s="82"/>
      <c r="S5" s="84" t="str">
        <f>AA11</f>
        <v>Skrandžio</v>
      </c>
      <c r="T5" s="82"/>
      <c r="U5" s="82"/>
      <c r="V5" s="341"/>
      <c r="W5" s="341" t="s">
        <v>211</v>
      </c>
      <c r="X5" s="341">
        <v>217</v>
      </c>
      <c r="Y5" s="342">
        <v>4.8019473334808584E-2</v>
      </c>
      <c r="Z5" s="341"/>
      <c r="AA5" s="341" t="s">
        <v>232</v>
      </c>
      <c r="AB5" s="341">
        <v>180</v>
      </c>
      <c r="AC5" s="342">
        <v>5.1443269505573021E-2</v>
      </c>
      <c r="AD5" s="341"/>
      <c r="AE5" s="341"/>
    </row>
    <row r="6" spans="1:31" ht="20.100000000000001" customHeight="1">
      <c r="A6" s="82"/>
      <c r="B6" s="82"/>
      <c r="C6" s="82"/>
      <c r="D6" s="82"/>
      <c r="E6" s="82"/>
      <c r="F6" s="82"/>
      <c r="G6" s="82"/>
      <c r="H6" s="82"/>
      <c r="I6" s="84" t="str">
        <f>W10</f>
        <v>Skrandžio</v>
      </c>
      <c r="J6" s="84"/>
      <c r="K6" s="82"/>
      <c r="L6" s="82"/>
      <c r="M6" s="82"/>
      <c r="N6" s="82"/>
      <c r="O6" s="82"/>
      <c r="P6" s="82"/>
      <c r="Q6" s="82"/>
      <c r="R6" s="82"/>
      <c r="S6" s="84" t="str">
        <f>AA10</f>
        <v>Kiaušidžių</v>
      </c>
      <c r="T6" s="82"/>
      <c r="U6" s="82"/>
      <c r="V6" s="341"/>
      <c r="W6" s="341" t="s">
        <v>237</v>
      </c>
      <c r="X6" s="341">
        <v>227</v>
      </c>
      <c r="Y6" s="342">
        <v>5.023235229032972E-2</v>
      </c>
      <c r="Z6" s="341"/>
      <c r="AA6" s="341" t="s">
        <v>212</v>
      </c>
      <c r="AB6" s="341">
        <v>184</v>
      </c>
      <c r="AC6" s="342">
        <v>5.2586453272363533E-2</v>
      </c>
      <c r="AD6" s="341"/>
      <c r="AE6" s="341"/>
    </row>
    <row r="7" spans="1:31" ht="20.100000000000001" customHeight="1">
      <c r="A7" s="82"/>
      <c r="B7" s="82"/>
      <c r="C7" s="82"/>
      <c r="D7" s="82"/>
      <c r="E7" s="82"/>
      <c r="F7" s="82"/>
      <c r="G7" s="82"/>
      <c r="H7" s="82"/>
      <c r="I7" s="84" t="str">
        <f>W9</f>
        <v>Gaubtinės žarnos</v>
      </c>
      <c r="J7" s="84"/>
      <c r="K7" s="82"/>
      <c r="L7" s="82"/>
      <c r="M7" s="82"/>
      <c r="N7" s="82"/>
      <c r="O7" s="82"/>
      <c r="P7" s="82"/>
      <c r="Q7" s="82"/>
      <c r="R7" s="82"/>
      <c r="S7" s="84" t="str">
        <f>AA9</f>
        <v>Plaučių, trachėjos, bronchų</v>
      </c>
      <c r="T7" s="82"/>
      <c r="U7" s="82"/>
      <c r="V7" s="341"/>
      <c r="W7" s="341" t="s">
        <v>219</v>
      </c>
      <c r="X7" s="341">
        <v>235</v>
      </c>
      <c r="Y7" s="342">
        <v>5.2002655454746624E-2</v>
      </c>
      <c r="Z7" s="341"/>
      <c r="AA7" s="341" t="s">
        <v>219</v>
      </c>
      <c r="AB7" s="341">
        <v>239</v>
      </c>
      <c r="AC7" s="342">
        <v>6.8305230065733066E-2</v>
      </c>
      <c r="AD7" s="341"/>
      <c r="AE7" s="341"/>
    </row>
    <row r="8" spans="1:31" ht="20.100000000000001" customHeight="1">
      <c r="A8" s="82"/>
      <c r="B8" s="82"/>
      <c r="C8" s="82"/>
      <c r="D8" s="82"/>
      <c r="E8" s="82"/>
      <c r="F8" s="82"/>
      <c r="G8" s="82"/>
      <c r="H8" s="82"/>
      <c r="I8" s="84" t="str">
        <f>W8</f>
        <v>Tiesiosios žarnos, išangės</v>
      </c>
      <c r="J8" s="84"/>
      <c r="K8" s="82"/>
      <c r="L8" s="82"/>
      <c r="M8" s="82"/>
      <c r="N8" s="82"/>
      <c r="O8" s="82"/>
      <c r="P8" s="82"/>
      <c r="Q8" s="82"/>
      <c r="R8" s="82"/>
      <c r="S8" s="84" t="str">
        <f>AA8</f>
        <v>Gaubtinės žarnos</v>
      </c>
      <c r="T8" s="82"/>
      <c r="U8" s="82"/>
      <c r="V8" s="341"/>
      <c r="W8" s="341" t="s">
        <v>212</v>
      </c>
      <c r="X8" s="341">
        <v>247</v>
      </c>
      <c r="Y8" s="342">
        <v>5.4658110201371984E-2</v>
      </c>
      <c r="Z8" s="341"/>
      <c r="AA8" s="341" t="s">
        <v>214</v>
      </c>
      <c r="AB8" s="341">
        <v>252</v>
      </c>
      <c r="AC8" s="342">
        <v>7.202057730780223E-2</v>
      </c>
      <c r="AD8" s="341"/>
      <c r="AE8" s="341"/>
    </row>
    <row r="9" spans="1:31" ht="20.100000000000001" customHeight="1">
      <c r="A9" s="82"/>
      <c r="B9" s="82"/>
      <c r="C9" s="82"/>
      <c r="D9" s="82"/>
      <c r="E9" s="82"/>
      <c r="F9" s="82"/>
      <c r="G9" s="82"/>
      <c r="H9" s="82"/>
      <c r="I9" s="84" t="str">
        <f>W7</f>
        <v>Kasos</v>
      </c>
      <c r="J9" s="84"/>
      <c r="K9" s="82"/>
      <c r="L9" s="82"/>
      <c r="M9" s="82"/>
      <c r="N9" s="82"/>
      <c r="O9" s="82"/>
      <c r="P9" s="82"/>
      <c r="Q9" s="82"/>
      <c r="R9" s="82"/>
      <c r="S9" s="84" t="str">
        <f>AA7</f>
        <v>Kasos</v>
      </c>
      <c r="T9" s="82"/>
      <c r="U9" s="82"/>
      <c r="V9" s="341"/>
      <c r="W9" s="341" t="s">
        <v>214</v>
      </c>
      <c r="X9" s="341">
        <v>248</v>
      </c>
      <c r="Y9" s="342">
        <v>5.4879398096924097E-2</v>
      </c>
      <c r="Z9" s="341"/>
      <c r="AA9" s="341" t="s">
        <v>217</v>
      </c>
      <c r="AB9" s="341">
        <v>261</v>
      </c>
      <c r="AC9" s="342">
        <v>7.4592740783080883E-2</v>
      </c>
      <c r="AD9" s="341"/>
      <c r="AE9" s="341"/>
    </row>
    <row r="10" spans="1:31" ht="20.100000000000001" customHeight="1">
      <c r="A10" s="82"/>
      <c r="B10" s="82"/>
      <c r="C10" s="82"/>
      <c r="D10" s="82"/>
      <c r="E10" s="82"/>
      <c r="F10" s="82"/>
      <c r="G10" s="82"/>
      <c r="H10" s="82"/>
      <c r="I10" s="84" t="str">
        <f>W6</f>
        <v>Nepatikslintos lokalizacijos</v>
      </c>
      <c r="J10" s="84"/>
      <c r="K10" s="82"/>
      <c r="L10" s="82"/>
      <c r="M10" s="82"/>
      <c r="N10" s="82"/>
      <c r="O10" s="82"/>
      <c r="P10" s="82"/>
      <c r="Q10" s="82"/>
      <c r="R10" s="82"/>
      <c r="S10" s="84" t="str">
        <f>AA6</f>
        <v>Tiesiosios žarnos, išangės</v>
      </c>
      <c r="T10" s="82"/>
      <c r="U10" s="82"/>
      <c r="V10" s="341"/>
      <c r="W10" s="341" t="s">
        <v>215</v>
      </c>
      <c r="X10" s="341">
        <v>413</v>
      </c>
      <c r="Y10" s="342">
        <v>9.139190086302279E-2</v>
      </c>
      <c r="Z10" s="341"/>
      <c r="AA10" s="341" t="s">
        <v>231</v>
      </c>
      <c r="AB10" s="341">
        <v>272</v>
      </c>
      <c r="AC10" s="342">
        <v>7.7736496141754791E-2</v>
      </c>
      <c r="AD10" s="341"/>
      <c r="AE10" s="341"/>
    </row>
    <row r="11" spans="1:31" ht="20.100000000000001" customHeight="1">
      <c r="A11" s="82"/>
      <c r="B11" s="82"/>
      <c r="C11" s="82"/>
      <c r="D11" s="82"/>
      <c r="E11" s="82"/>
      <c r="F11" s="82"/>
      <c r="G11" s="82"/>
      <c r="H11" s="82"/>
      <c r="I11" s="84" t="str">
        <f>W5</f>
        <v>Burnos ertmės ir ryklės</v>
      </c>
      <c r="J11" s="84"/>
      <c r="K11" s="82"/>
      <c r="L11" s="82"/>
      <c r="M11" s="82"/>
      <c r="N11" s="82"/>
      <c r="O11" s="82"/>
      <c r="P11" s="82"/>
      <c r="Q11" s="82"/>
      <c r="R11" s="82"/>
      <c r="S11" s="84" t="str">
        <f>AA5</f>
        <v>Gimdos kaklelio</v>
      </c>
      <c r="T11" s="82"/>
      <c r="U11" s="82"/>
      <c r="V11" s="341"/>
      <c r="W11" s="341" t="s">
        <v>218</v>
      </c>
      <c r="X11" s="341">
        <v>520</v>
      </c>
      <c r="Y11" s="342">
        <v>0.11506970568709891</v>
      </c>
      <c r="Z11" s="341"/>
      <c r="AA11" s="341" t="s">
        <v>215</v>
      </c>
      <c r="AB11" s="341">
        <v>285</v>
      </c>
      <c r="AC11" s="342">
        <v>8.1451843383823955E-2</v>
      </c>
      <c r="AD11" s="341"/>
      <c r="AE11" s="341"/>
    </row>
    <row r="12" spans="1:31" ht="20.100000000000001" customHeight="1">
      <c r="A12" s="82"/>
      <c r="B12" s="82"/>
      <c r="C12" s="82"/>
      <c r="D12" s="82"/>
      <c r="E12" s="82"/>
      <c r="F12" s="82"/>
      <c r="G12" s="82"/>
      <c r="H12" s="82"/>
      <c r="I12" s="84" t="str">
        <f>W4</f>
        <v>Inkstų</v>
      </c>
      <c r="J12" s="84"/>
      <c r="K12" s="82"/>
      <c r="L12" s="82"/>
      <c r="M12" s="82"/>
      <c r="N12" s="82"/>
      <c r="O12" s="82"/>
      <c r="P12" s="82"/>
      <c r="Q12" s="82"/>
      <c r="R12" s="82"/>
      <c r="S12" s="84" t="str">
        <f>AA4</f>
        <v>Nepatikslintos lokalizacijos</v>
      </c>
      <c r="T12" s="82"/>
      <c r="U12" s="82"/>
      <c r="V12" s="341"/>
      <c r="W12" s="341" t="s">
        <v>217</v>
      </c>
      <c r="X12" s="341">
        <v>1075</v>
      </c>
      <c r="Y12" s="342">
        <v>0.2378844877185218</v>
      </c>
      <c r="Z12" s="341"/>
      <c r="AA12" s="341" t="s">
        <v>234</v>
      </c>
      <c r="AB12" s="341">
        <v>512</v>
      </c>
      <c r="AC12" s="342">
        <v>0.14632752214918548</v>
      </c>
      <c r="AD12" s="341"/>
      <c r="AE12" s="341"/>
    </row>
    <row r="13" spans="1:31" ht="20.100000000000001" customHeight="1">
      <c r="A13" s="82"/>
      <c r="B13" s="82"/>
      <c r="C13" s="82"/>
      <c r="D13" s="82"/>
      <c r="E13" s="82"/>
      <c r="F13" s="82"/>
      <c r="G13" s="82"/>
      <c r="H13" s="82"/>
      <c r="I13" s="84" t="str">
        <f>W3</f>
        <v>Stemplės</v>
      </c>
      <c r="J13" s="84"/>
      <c r="K13" s="82"/>
      <c r="L13" s="82"/>
      <c r="M13" s="82"/>
      <c r="N13" s="82"/>
      <c r="O13" s="82"/>
      <c r="P13" s="82"/>
      <c r="Q13" s="82"/>
      <c r="R13" s="82"/>
      <c r="S13" s="84" t="str">
        <f>AA3</f>
        <v>Gimdos kūno</v>
      </c>
      <c r="T13" s="82"/>
      <c r="U13" s="82"/>
      <c r="V13" s="341"/>
      <c r="W13" s="343" t="s">
        <v>210</v>
      </c>
      <c r="X13" s="341">
        <v>4519</v>
      </c>
      <c r="Y13" s="342">
        <v>1.0000000000000002</v>
      </c>
      <c r="Z13" s="341"/>
      <c r="AA13" s="343" t="s">
        <v>210</v>
      </c>
      <c r="AB13" s="341">
        <v>3499</v>
      </c>
      <c r="AC13" s="342">
        <v>1</v>
      </c>
      <c r="AD13" s="341"/>
      <c r="AE13" s="341"/>
    </row>
    <row r="14" spans="1:31" ht="20.100000000000001" customHeight="1">
      <c r="A14" s="82"/>
      <c r="B14" s="82"/>
      <c r="C14" s="82"/>
      <c r="D14" s="82"/>
      <c r="E14" s="82"/>
      <c r="F14" s="82"/>
      <c r="G14" s="82"/>
      <c r="H14" s="82"/>
      <c r="I14" s="84" t="str">
        <f>W2</f>
        <v>Kiti</v>
      </c>
      <c r="J14" s="84"/>
      <c r="K14" s="82"/>
      <c r="L14" s="82"/>
      <c r="M14" s="82"/>
      <c r="N14" s="82"/>
      <c r="O14" s="82"/>
      <c r="P14" s="82"/>
      <c r="Q14" s="82"/>
      <c r="R14" s="82"/>
      <c r="S14" s="84" t="str">
        <f>AA2</f>
        <v>Kiti</v>
      </c>
      <c r="T14" s="82"/>
      <c r="U14" s="82"/>
      <c r="V14" s="341"/>
      <c r="W14" s="445" t="s">
        <v>467</v>
      </c>
      <c r="X14" s="445"/>
      <c r="Y14" s="445"/>
      <c r="Z14" s="341"/>
      <c r="AA14" s="445" t="s">
        <v>473</v>
      </c>
      <c r="AB14" s="445"/>
      <c r="AC14" s="445"/>
      <c r="AD14" s="341"/>
      <c r="AE14" s="341"/>
    </row>
    <row r="15" spans="1:31" ht="24.95" customHeight="1">
      <c r="A15" s="82"/>
      <c r="B15" s="82"/>
      <c r="C15" s="82"/>
      <c r="D15" s="82"/>
      <c r="E15" s="82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2"/>
      <c r="T15" s="82"/>
      <c r="U15" s="82"/>
      <c r="V15" s="341"/>
      <c r="W15" s="341"/>
      <c r="X15" s="341"/>
      <c r="Y15" s="344"/>
      <c r="Z15" s="341"/>
      <c r="AA15" s="341"/>
      <c r="AB15" s="341"/>
      <c r="AC15" s="341"/>
      <c r="AD15" s="341"/>
      <c r="AE15" s="341"/>
    </row>
    <row r="16" spans="1:31" ht="24.95" customHeight="1">
      <c r="A16" s="82"/>
      <c r="B16" s="82"/>
      <c r="C16" s="446" t="str">
        <f>W14</f>
        <v>Vyrai, 0-14 metų (7 atv.)</v>
      </c>
      <c r="D16" s="446"/>
      <c r="E16" s="446"/>
      <c r="F16" s="446"/>
      <c r="G16" s="446"/>
      <c r="H16" s="446"/>
      <c r="I16" s="446"/>
      <c r="J16" s="83"/>
      <c r="K16" s="82"/>
      <c r="L16" s="82"/>
      <c r="M16" s="446" t="str">
        <f>AA14</f>
        <v>Moterys, 0-14 metų (5 atv.)</v>
      </c>
      <c r="N16" s="446"/>
      <c r="O16" s="446"/>
      <c r="P16" s="446"/>
      <c r="Q16" s="446"/>
      <c r="R16" s="446"/>
      <c r="S16" s="446"/>
      <c r="T16" s="82"/>
      <c r="U16" s="82"/>
      <c r="V16" s="341"/>
      <c r="W16" s="341"/>
      <c r="X16" s="341"/>
      <c r="Y16" s="344"/>
      <c r="Z16" s="341"/>
      <c r="AA16" s="312"/>
      <c r="AB16" s="345"/>
      <c r="AC16" s="344"/>
      <c r="AD16" s="341"/>
      <c r="AE16" s="341"/>
    </row>
    <row r="17" spans="1:31" ht="20.100000000000001" customHeight="1">
      <c r="A17" s="82"/>
      <c r="B17" s="82"/>
      <c r="C17" s="82"/>
      <c r="D17" s="82"/>
      <c r="E17" s="82"/>
      <c r="F17" s="82"/>
      <c r="G17" s="82"/>
      <c r="H17" s="82"/>
      <c r="I17" s="84" t="str">
        <f>W25</f>
        <v>Smegenų</v>
      </c>
      <c r="J17" s="84"/>
      <c r="K17" s="82"/>
      <c r="L17" s="82"/>
      <c r="M17" s="82"/>
      <c r="N17" s="82"/>
      <c r="O17" s="82"/>
      <c r="P17" s="82"/>
      <c r="Q17" s="82"/>
      <c r="R17" s="82"/>
      <c r="S17" s="84" t="str">
        <f>AA25</f>
        <v>Smegenų</v>
      </c>
      <c r="T17" s="82"/>
      <c r="U17" s="82"/>
      <c r="V17" s="341"/>
      <c r="W17" s="341"/>
      <c r="X17" s="341"/>
      <c r="Y17" s="344"/>
      <c r="Z17" s="341"/>
      <c r="AA17" s="312"/>
      <c r="AB17" s="345"/>
      <c r="AC17" s="344"/>
      <c r="AD17" s="341"/>
      <c r="AE17" s="341"/>
    </row>
    <row r="18" spans="1:31" ht="20.100000000000001" customHeight="1">
      <c r="A18" s="82"/>
      <c r="B18" s="82"/>
      <c r="C18" s="82"/>
      <c r="D18" s="82"/>
      <c r="E18" s="82"/>
      <c r="F18" s="82"/>
      <c r="G18" s="82"/>
      <c r="H18" s="82"/>
      <c r="I18" s="84" t="str">
        <f>W24</f>
        <v>Leukemijos</v>
      </c>
      <c r="J18" s="84"/>
      <c r="K18" s="82"/>
      <c r="L18" s="82"/>
      <c r="M18" s="82"/>
      <c r="N18" s="82"/>
      <c r="O18" s="82"/>
      <c r="P18" s="82"/>
      <c r="Q18" s="82"/>
      <c r="R18" s="82"/>
      <c r="S18" s="84" t="str">
        <f>AA24</f>
        <v>Leukemijos</v>
      </c>
      <c r="T18" s="82"/>
      <c r="U18" s="82"/>
      <c r="V18" s="341"/>
      <c r="W18" s="341"/>
      <c r="X18" s="341"/>
      <c r="Y18" s="344"/>
      <c r="Z18" s="341"/>
      <c r="AA18" s="312"/>
      <c r="AB18" s="345"/>
      <c r="AC18" s="344"/>
      <c r="AD18" s="341"/>
      <c r="AE18" s="341"/>
    </row>
    <row r="19" spans="1:31" ht="20.100000000000001" customHeight="1">
      <c r="A19" s="82"/>
      <c r="B19" s="82"/>
      <c r="C19" s="82"/>
      <c r="D19" s="82"/>
      <c r="E19" s="82"/>
      <c r="F19" s="82"/>
      <c r="G19" s="82"/>
      <c r="H19" s="82"/>
      <c r="I19" s="84" t="str">
        <f>W23</f>
        <v>Inkstų</v>
      </c>
      <c r="J19" s="84"/>
      <c r="K19" s="82"/>
      <c r="L19" s="82"/>
      <c r="M19" s="82"/>
      <c r="N19" s="82"/>
      <c r="O19" s="82"/>
      <c r="P19" s="82"/>
      <c r="Q19" s="82"/>
      <c r="R19" s="82"/>
      <c r="S19" s="84" t="str">
        <f>AA23</f>
        <v>Kitų virškinimo sistemos organų</v>
      </c>
      <c r="T19" s="82"/>
      <c r="U19" s="82"/>
      <c r="V19" s="341"/>
      <c r="W19" s="341"/>
      <c r="X19" s="341"/>
      <c r="Y19" s="344"/>
      <c r="Z19" s="341"/>
      <c r="AA19" s="312"/>
      <c r="AB19" s="345"/>
      <c r="AC19" s="344"/>
      <c r="AD19" s="341"/>
      <c r="AE19" s="341"/>
    </row>
    <row r="20" spans="1:31" ht="20.100000000000001" customHeight="1">
      <c r="A20" s="82"/>
      <c r="B20" s="82"/>
      <c r="C20" s="82"/>
      <c r="D20" s="82"/>
      <c r="E20" s="82"/>
      <c r="F20" s="82"/>
      <c r="G20" s="82"/>
      <c r="H20" s="82"/>
      <c r="I20" s="84" t="str">
        <f>W22</f>
        <v>Kaulų ir jungiamojo audinio</v>
      </c>
      <c r="J20" s="84"/>
      <c r="K20" s="82"/>
      <c r="L20" s="82"/>
      <c r="M20" s="82"/>
      <c r="N20" s="82"/>
      <c r="O20" s="82"/>
      <c r="P20" s="82"/>
      <c r="Q20" s="82"/>
      <c r="R20" s="82"/>
      <c r="S20" s="84" t="str">
        <f t="shared" ref="S20:S21" si="0">TEXT(AA18,)</f>
        <v/>
      </c>
      <c r="T20" s="82"/>
      <c r="U20" s="82"/>
      <c r="V20" s="341"/>
      <c r="W20" s="341"/>
      <c r="X20" s="341"/>
      <c r="Y20" s="344"/>
      <c r="Z20" s="341"/>
      <c r="AA20" s="312"/>
      <c r="AB20" s="345"/>
      <c r="AC20" s="344"/>
      <c r="AD20" s="341"/>
      <c r="AE20" s="341"/>
    </row>
    <row r="21" spans="1:31" ht="20.100000000000001" customHeight="1">
      <c r="A21" s="82"/>
      <c r="B21" s="82"/>
      <c r="C21" s="82"/>
      <c r="D21" s="82"/>
      <c r="E21" s="82"/>
      <c r="F21" s="82"/>
      <c r="G21" s="82"/>
      <c r="H21" s="82"/>
      <c r="I21" s="84"/>
      <c r="J21" s="84"/>
      <c r="K21" s="82"/>
      <c r="L21" s="82"/>
      <c r="M21" s="82"/>
      <c r="N21" s="82"/>
      <c r="O21" s="82"/>
      <c r="P21" s="82"/>
      <c r="Q21" s="82"/>
      <c r="R21" s="82"/>
      <c r="S21" s="84" t="str">
        <f t="shared" si="0"/>
        <v/>
      </c>
      <c r="T21" s="82"/>
      <c r="U21" s="82"/>
      <c r="V21" s="341"/>
      <c r="W21" s="341" t="s">
        <v>26</v>
      </c>
      <c r="X21" s="341">
        <v>0</v>
      </c>
      <c r="Y21" s="342">
        <f>VALUE(0.001%)</f>
        <v>1.0000000000000001E-5</v>
      </c>
      <c r="Z21" s="341"/>
      <c r="AA21" s="312"/>
      <c r="AB21" s="312"/>
      <c r="AC21" s="344"/>
      <c r="AD21" s="341"/>
      <c r="AE21" s="341"/>
    </row>
    <row r="22" spans="1:31" ht="20.100000000000001" customHeight="1">
      <c r="A22" s="82"/>
      <c r="B22" s="82"/>
      <c r="C22" s="82"/>
      <c r="D22" s="82"/>
      <c r="E22" s="82"/>
      <c r="F22" s="82"/>
      <c r="G22" s="82"/>
      <c r="H22" s="82"/>
      <c r="I22" s="84" t="str">
        <f>TEXT(W20,)</f>
        <v/>
      </c>
      <c r="J22" s="84"/>
      <c r="K22" s="82"/>
      <c r="L22" s="82"/>
      <c r="M22" s="82"/>
      <c r="N22" s="82"/>
      <c r="O22" s="82"/>
      <c r="P22" s="82"/>
      <c r="Q22" s="82"/>
      <c r="R22" s="82"/>
      <c r="S22" s="84" t="str">
        <f>TEXT(AA20,)</f>
        <v/>
      </c>
      <c r="T22" s="82"/>
      <c r="U22" s="82"/>
      <c r="V22" s="341"/>
      <c r="W22" s="341" t="s">
        <v>228</v>
      </c>
      <c r="X22" s="341">
        <v>1</v>
      </c>
      <c r="Y22" s="342">
        <v>0.14285714285714285</v>
      </c>
      <c r="Z22" s="341"/>
      <c r="AA22" s="312" t="s">
        <v>26</v>
      </c>
      <c r="AB22" s="312">
        <v>0</v>
      </c>
      <c r="AC22" s="342">
        <f>VALUE(0.001%)</f>
        <v>1.0000000000000001E-5</v>
      </c>
      <c r="AD22" s="341"/>
      <c r="AE22" s="341"/>
    </row>
    <row r="23" spans="1:31" ht="20.100000000000001" customHeight="1">
      <c r="A23" s="82"/>
      <c r="B23" s="82"/>
      <c r="C23" s="82"/>
      <c r="D23" s="82"/>
      <c r="E23" s="82"/>
      <c r="F23" s="82"/>
      <c r="G23" s="82"/>
      <c r="H23" s="82"/>
      <c r="I23" s="84" t="str">
        <f>TEXT(W19,)</f>
        <v/>
      </c>
      <c r="J23" s="84"/>
      <c r="K23" s="82"/>
      <c r="L23" s="82"/>
      <c r="M23" s="82"/>
      <c r="N23" s="82"/>
      <c r="O23" s="82"/>
      <c r="P23" s="82"/>
      <c r="Q23" s="82"/>
      <c r="R23" s="82"/>
      <c r="S23" s="84" t="str">
        <f>TEXT(AA19,)</f>
        <v/>
      </c>
      <c r="T23" s="82"/>
      <c r="U23" s="82"/>
      <c r="V23" s="341"/>
      <c r="W23" s="341" t="s">
        <v>213</v>
      </c>
      <c r="X23" s="341">
        <v>1</v>
      </c>
      <c r="Y23" s="342">
        <v>0.14285714285714285</v>
      </c>
      <c r="Z23" s="341"/>
      <c r="AA23" s="312" t="s">
        <v>224</v>
      </c>
      <c r="AB23" s="312">
        <v>1</v>
      </c>
      <c r="AC23" s="342">
        <v>0.2</v>
      </c>
      <c r="AD23" s="341"/>
      <c r="AE23" s="341"/>
    </row>
    <row r="24" spans="1:31" ht="20.100000000000001" customHeight="1">
      <c r="A24" s="82"/>
      <c r="B24" s="82"/>
      <c r="C24" s="82"/>
      <c r="D24" s="82"/>
      <c r="E24" s="82"/>
      <c r="F24" s="82"/>
      <c r="G24" s="82"/>
      <c r="H24" s="82"/>
      <c r="I24" s="84" t="str">
        <f>TEXT(W18,)</f>
        <v/>
      </c>
      <c r="J24" s="84"/>
      <c r="K24" s="82"/>
      <c r="L24" s="82"/>
      <c r="M24" s="82"/>
      <c r="N24" s="82"/>
      <c r="O24" s="82"/>
      <c r="P24" s="82"/>
      <c r="Q24" s="82"/>
      <c r="R24" s="82"/>
      <c r="S24" s="84" t="str">
        <f>TEXT(AA18,)</f>
        <v/>
      </c>
      <c r="T24" s="82"/>
      <c r="U24" s="82"/>
      <c r="V24" s="341"/>
      <c r="W24" s="341" t="s">
        <v>227</v>
      </c>
      <c r="X24" s="341">
        <v>2</v>
      </c>
      <c r="Y24" s="342">
        <v>0.2857142857142857</v>
      </c>
      <c r="Z24" s="341"/>
      <c r="AA24" s="312" t="s">
        <v>227</v>
      </c>
      <c r="AB24" s="312">
        <v>1</v>
      </c>
      <c r="AC24" s="342">
        <v>0.2</v>
      </c>
      <c r="AD24" s="341"/>
      <c r="AE24" s="341"/>
    </row>
    <row r="25" spans="1:31" ht="20.100000000000001" customHeight="1">
      <c r="A25" s="82"/>
      <c r="B25" s="82"/>
      <c r="C25" s="82"/>
      <c r="D25" s="82"/>
      <c r="E25" s="82"/>
      <c r="F25" s="82"/>
      <c r="G25" s="82"/>
      <c r="H25" s="82"/>
      <c r="I25" s="84" t="str">
        <f>TEXT(W17,)</f>
        <v/>
      </c>
      <c r="J25" s="84"/>
      <c r="K25" s="82"/>
      <c r="L25" s="82"/>
      <c r="M25" s="82"/>
      <c r="N25" s="82"/>
      <c r="O25" s="82"/>
      <c r="P25" s="82"/>
      <c r="Q25" s="82"/>
      <c r="R25" s="82"/>
      <c r="S25" s="84" t="str">
        <f>TEXT(AA17,)</f>
        <v/>
      </c>
      <c r="T25" s="82"/>
      <c r="U25" s="82"/>
      <c r="V25" s="341"/>
      <c r="W25" s="341" t="s">
        <v>225</v>
      </c>
      <c r="X25" s="341">
        <v>3</v>
      </c>
      <c r="Y25" s="342">
        <v>0.42857142857142855</v>
      </c>
      <c r="Z25" s="341"/>
      <c r="AA25" s="312" t="s">
        <v>225</v>
      </c>
      <c r="AB25" s="312">
        <v>3</v>
      </c>
      <c r="AC25" s="342">
        <v>0.6</v>
      </c>
      <c r="AD25" s="341"/>
      <c r="AE25" s="341"/>
    </row>
    <row r="26" spans="1:31" ht="20.100000000000001" customHeight="1">
      <c r="A26" s="82"/>
      <c r="B26" s="82"/>
      <c r="C26" s="82"/>
      <c r="D26" s="82"/>
      <c r="E26" s="82"/>
      <c r="F26" s="82"/>
      <c r="G26" s="82"/>
      <c r="H26" s="82"/>
      <c r="I26" s="84" t="str">
        <f>TEXT(W16,)</f>
        <v/>
      </c>
      <c r="J26" s="84"/>
      <c r="K26" s="82"/>
      <c r="L26" s="82"/>
      <c r="M26" s="82"/>
      <c r="N26" s="82"/>
      <c r="O26" s="82"/>
      <c r="P26" s="82"/>
      <c r="Q26" s="82"/>
      <c r="R26" s="82"/>
      <c r="S26" s="84" t="str">
        <f>TEXT(AA16,)</f>
        <v/>
      </c>
      <c r="T26" s="82"/>
      <c r="U26" s="82"/>
      <c r="V26" s="341"/>
      <c r="W26" s="343" t="s">
        <v>210</v>
      </c>
      <c r="X26" s="341">
        <v>7</v>
      </c>
      <c r="Y26" s="342">
        <v>1</v>
      </c>
      <c r="Z26" s="341"/>
      <c r="AA26" s="314" t="s">
        <v>210</v>
      </c>
      <c r="AB26" s="312">
        <v>5</v>
      </c>
      <c r="AC26" s="342">
        <v>1</v>
      </c>
      <c r="AD26" s="341"/>
      <c r="AE26" s="341"/>
    </row>
    <row r="27" spans="1:31" ht="20.100000000000001" customHeight="1">
      <c r="A27" s="82"/>
      <c r="B27" s="82"/>
      <c r="C27" s="82"/>
      <c r="D27" s="82"/>
      <c r="E27" s="82"/>
      <c r="F27" s="82"/>
      <c r="G27" s="82"/>
      <c r="H27" s="82"/>
      <c r="I27" s="84" t="str">
        <f>TEXT(W15,)</f>
        <v/>
      </c>
      <c r="J27" s="84"/>
      <c r="K27" s="82"/>
      <c r="L27" s="82"/>
      <c r="M27" s="82"/>
      <c r="N27" s="82"/>
      <c r="O27" s="82"/>
      <c r="P27" s="82"/>
      <c r="Q27" s="82"/>
      <c r="R27" s="82"/>
      <c r="S27" s="84" t="str">
        <f>TEXT(AA15,)</f>
        <v/>
      </c>
      <c r="T27" s="82"/>
      <c r="U27" s="82"/>
      <c r="V27" s="341"/>
      <c r="W27" s="445" t="s">
        <v>468</v>
      </c>
      <c r="X27" s="445"/>
      <c r="Y27" s="445"/>
      <c r="Z27" s="341"/>
      <c r="AA27" s="445" t="s">
        <v>474</v>
      </c>
      <c r="AB27" s="445"/>
      <c r="AC27" s="445"/>
      <c r="AD27" s="341"/>
      <c r="AE27" s="341"/>
    </row>
    <row r="28" spans="1:31" ht="24.95" customHeight="1">
      <c r="A28" s="82"/>
      <c r="B28" s="82"/>
      <c r="C28" s="82"/>
      <c r="D28" s="82"/>
      <c r="E28" s="82"/>
      <c r="F28" s="82"/>
      <c r="G28" s="82"/>
      <c r="H28" s="82"/>
      <c r="I28" s="82"/>
      <c r="J28" s="82"/>
      <c r="K28" s="82"/>
      <c r="L28" s="82"/>
      <c r="M28" s="82"/>
      <c r="N28" s="82"/>
      <c r="O28" s="82"/>
      <c r="P28" s="82"/>
      <c r="Q28" s="82"/>
      <c r="R28" s="82"/>
      <c r="S28" s="82"/>
      <c r="T28" s="82"/>
      <c r="U28" s="82"/>
      <c r="V28" s="341"/>
      <c r="W28" s="341" t="s">
        <v>26</v>
      </c>
      <c r="X28" s="341">
        <v>0</v>
      </c>
      <c r="Y28" s="342">
        <v>0</v>
      </c>
      <c r="Z28" s="341"/>
      <c r="AA28" s="341" t="s">
        <v>26</v>
      </c>
      <c r="AB28" s="341">
        <v>0</v>
      </c>
      <c r="AC28" s="342">
        <v>0</v>
      </c>
      <c r="AD28" s="341"/>
      <c r="AE28" s="341"/>
    </row>
    <row r="29" spans="1:31" ht="24.95" customHeight="1">
      <c r="A29" s="82"/>
      <c r="B29" s="82"/>
      <c r="C29" s="446" t="str">
        <f>W27</f>
        <v>Vyrai, 15-29 metų (14 atv.)</v>
      </c>
      <c r="D29" s="446"/>
      <c r="E29" s="446"/>
      <c r="F29" s="446"/>
      <c r="G29" s="446"/>
      <c r="H29" s="446"/>
      <c r="I29" s="446"/>
      <c r="J29" s="83"/>
      <c r="K29" s="82"/>
      <c r="L29" s="82"/>
      <c r="M29" s="446" t="str">
        <f>AA27</f>
        <v>Moterys, 15-29 metų (12 atv.)</v>
      </c>
      <c r="N29" s="446"/>
      <c r="O29" s="446"/>
      <c r="P29" s="446"/>
      <c r="Q29" s="446"/>
      <c r="R29" s="446"/>
      <c r="S29" s="446"/>
      <c r="T29" s="82"/>
      <c r="U29" s="82"/>
      <c r="V29" s="341"/>
      <c r="W29" s="341" t="s">
        <v>443</v>
      </c>
      <c r="X29" s="341">
        <v>0</v>
      </c>
      <c r="Y29" s="342">
        <v>0</v>
      </c>
      <c r="Z29" s="341"/>
      <c r="AA29" s="341" t="s">
        <v>443</v>
      </c>
      <c r="AB29" s="341">
        <v>0</v>
      </c>
      <c r="AC29" s="342">
        <v>0</v>
      </c>
      <c r="AD29" s="341"/>
      <c r="AE29" s="341"/>
    </row>
    <row r="30" spans="1:31" ht="20.100000000000001" customHeight="1">
      <c r="A30" s="82"/>
      <c r="B30" s="82"/>
      <c r="C30" s="82"/>
      <c r="D30" s="82"/>
      <c r="E30" s="82"/>
      <c r="F30" s="82"/>
      <c r="G30" s="82"/>
      <c r="H30" s="82"/>
      <c r="I30" s="84" t="str">
        <f>W38</f>
        <v>Leukemijos</v>
      </c>
      <c r="J30" s="82"/>
      <c r="K30" s="82"/>
      <c r="L30" s="82"/>
      <c r="M30" s="82"/>
      <c r="N30" s="82"/>
      <c r="O30" s="82"/>
      <c r="P30" s="82"/>
      <c r="Q30" s="82"/>
      <c r="R30" s="82"/>
      <c r="S30" s="84" t="str">
        <f>AA38</f>
        <v>Leukemijos</v>
      </c>
      <c r="T30" s="82"/>
      <c r="U30" s="82"/>
      <c r="V30" s="341"/>
      <c r="W30" s="341" t="s">
        <v>423</v>
      </c>
      <c r="X30" s="341">
        <v>0</v>
      </c>
      <c r="Y30" s="342">
        <v>0</v>
      </c>
      <c r="Z30" s="341"/>
      <c r="AA30" s="341" t="s">
        <v>214</v>
      </c>
      <c r="AB30" s="341">
        <v>1</v>
      </c>
      <c r="AC30" s="342">
        <v>8.3333333333333329E-2</v>
      </c>
      <c r="AD30" s="341"/>
      <c r="AE30" s="341"/>
    </row>
    <row r="31" spans="1:31" ht="20.100000000000001" customHeight="1">
      <c r="A31" s="82"/>
      <c r="B31" s="82"/>
      <c r="C31" s="82"/>
      <c r="D31" s="82"/>
      <c r="E31" s="82"/>
      <c r="F31" s="82"/>
      <c r="G31" s="82"/>
      <c r="H31" s="82"/>
      <c r="I31" s="84" t="str">
        <f>W37</f>
        <v>Smegenų</v>
      </c>
      <c r="J31" s="82"/>
      <c r="K31" s="82"/>
      <c r="L31" s="82"/>
      <c r="M31" s="82"/>
      <c r="N31" s="82"/>
      <c r="O31" s="82"/>
      <c r="P31" s="82"/>
      <c r="Q31" s="82"/>
      <c r="R31" s="82"/>
      <c r="S31" s="84" t="str">
        <f>AA37</f>
        <v>Kaulų ir jungiamojo audinio</v>
      </c>
      <c r="T31" s="82"/>
      <c r="U31" s="82"/>
      <c r="V31" s="341"/>
      <c r="W31" s="341" t="s">
        <v>211</v>
      </c>
      <c r="X31" s="341">
        <v>1</v>
      </c>
      <c r="Y31" s="342">
        <v>7.1428571428571425E-2</v>
      </c>
      <c r="Z31" s="341"/>
      <c r="AA31" s="341" t="s">
        <v>444</v>
      </c>
      <c r="AB31" s="341">
        <v>1</v>
      </c>
      <c r="AC31" s="342">
        <v>8.3333333333333329E-2</v>
      </c>
      <c r="AD31" s="341"/>
      <c r="AE31" s="341"/>
    </row>
    <row r="32" spans="1:31" ht="20.100000000000001" customHeight="1">
      <c r="A32" s="82"/>
      <c r="B32" s="82"/>
      <c r="C32" s="82"/>
      <c r="D32" s="82"/>
      <c r="E32" s="82"/>
      <c r="F32" s="82"/>
      <c r="G32" s="82"/>
      <c r="H32" s="82"/>
      <c r="I32" s="84" t="str">
        <f>W36</f>
        <v>Ne Hodžkino limfomos</v>
      </c>
      <c r="J32" s="82"/>
      <c r="K32" s="82"/>
      <c r="L32" s="82"/>
      <c r="M32" s="82"/>
      <c r="N32" s="82"/>
      <c r="O32" s="82"/>
      <c r="P32" s="82"/>
      <c r="Q32" s="82"/>
      <c r="R32" s="82"/>
      <c r="S32" s="84" t="str">
        <f>AA36</f>
        <v>Skrandžio</v>
      </c>
      <c r="T32" s="82"/>
      <c r="U32" s="82"/>
      <c r="V32" s="341"/>
      <c r="W32" s="341" t="s">
        <v>215</v>
      </c>
      <c r="X32" s="341">
        <v>1</v>
      </c>
      <c r="Y32" s="342">
        <v>7.1428571428571425E-2</v>
      </c>
      <c r="Z32" s="341"/>
      <c r="AA32" s="341" t="s">
        <v>445</v>
      </c>
      <c r="AB32" s="341">
        <v>1</v>
      </c>
      <c r="AC32" s="342">
        <v>8.3333333333333329E-2</v>
      </c>
      <c r="AD32" s="341"/>
      <c r="AE32" s="341"/>
    </row>
    <row r="33" spans="1:31" ht="20.100000000000001" customHeight="1">
      <c r="A33" s="82"/>
      <c r="B33" s="82"/>
      <c r="C33" s="82"/>
      <c r="D33" s="82"/>
      <c r="E33" s="82"/>
      <c r="F33" s="82"/>
      <c r="G33" s="82"/>
      <c r="H33" s="82"/>
      <c r="I33" s="84" t="str">
        <f>W35</f>
        <v>Kaulų ir jungiamojo audinio</v>
      </c>
      <c r="J33" s="82"/>
      <c r="K33" s="82"/>
      <c r="L33" s="82"/>
      <c r="M33" s="82"/>
      <c r="N33" s="82"/>
      <c r="O33" s="82"/>
      <c r="P33" s="82"/>
      <c r="Q33" s="82"/>
      <c r="R33" s="82"/>
      <c r="S33" s="84" t="str">
        <f>AA35</f>
        <v>Mielominės ligos</v>
      </c>
      <c r="T33" s="82"/>
      <c r="U33" s="82"/>
      <c r="V33" s="341"/>
      <c r="W33" s="341" t="s">
        <v>224</v>
      </c>
      <c r="X33" s="341">
        <v>1</v>
      </c>
      <c r="Y33" s="342">
        <v>7.1428571428571425E-2</v>
      </c>
      <c r="Z33" s="341"/>
      <c r="AA33" s="341" t="s">
        <v>234</v>
      </c>
      <c r="AB33" s="341">
        <v>1</v>
      </c>
      <c r="AC33" s="342">
        <v>8.3333333333333329E-2</v>
      </c>
      <c r="AD33" s="341"/>
      <c r="AE33" s="341"/>
    </row>
    <row r="34" spans="1:31" ht="20.100000000000001" customHeight="1">
      <c r="A34" s="82"/>
      <c r="B34" s="82"/>
      <c r="C34" s="82"/>
      <c r="D34" s="82"/>
      <c r="E34" s="82"/>
      <c r="F34" s="82"/>
      <c r="G34" s="82"/>
      <c r="H34" s="82"/>
      <c r="I34" s="84" t="str">
        <f>W34</f>
        <v>Odos melanoma</v>
      </c>
      <c r="J34" s="82"/>
      <c r="K34" s="82"/>
      <c r="L34" s="82"/>
      <c r="M34" s="82"/>
      <c r="N34" s="82"/>
      <c r="O34" s="82"/>
      <c r="P34" s="82"/>
      <c r="Q34" s="82"/>
      <c r="R34" s="82"/>
      <c r="S34" s="84" t="str">
        <f>AA34</f>
        <v>Gimdos kaklelio</v>
      </c>
      <c r="T34" s="82"/>
      <c r="U34" s="82"/>
      <c r="V34" s="341"/>
      <c r="W34" s="341" t="s">
        <v>229</v>
      </c>
      <c r="X34" s="341">
        <v>1</v>
      </c>
      <c r="Y34" s="342">
        <v>7.1428571428571425E-2</v>
      </c>
      <c r="Z34" s="341"/>
      <c r="AA34" s="341" t="s">
        <v>232</v>
      </c>
      <c r="AB34" s="341">
        <v>1</v>
      </c>
      <c r="AC34" s="342">
        <v>8.3333333333333329E-2</v>
      </c>
      <c r="AD34" s="341"/>
      <c r="AE34" s="341"/>
    </row>
    <row r="35" spans="1:31" ht="20.100000000000001" customHeight="1">
      <c r="A35" s="82"/>
      <c r="B35" s="82"/>
      <c r="C35" s="82"/>
      <c r="D35" s="82"/>
      <c r="E35" s="82"/>
      <c r="F35" s="82"/>
      <c r="G35" s="82"/>
      <c r="H35" s="82"/>
      <c r="I35" s="84" t="str">
        <f>W33</f>
        <v>Kitų virškinimo sistemos organų</v>
      </c>
      <c r="J35" s="82"/>
      <c r="K35" s="82"/>
      <c r="L35" s="82"/>
      <c r="M35" s="82"/>
      <c r="N35" s="82"/>
      <c r="O35" s="82"/>
      <c r="P35" s="82"/>
      <c r="Q35" s="82"/>
      <c r="R35" s="82"/>
      <c r="S35" s="84" t="str">
        <f>AA33</f>
        <v>Krūties</v>
      </c>
      <c r="T35" s="82"/>
      <c r="U35" s="82"/>
      <c r="V35" s="341"/>
      <c r="W35" s="341" t="s">
        <v>228</v>
      </c>
      <c r="X35" s="341">
        <v>2</v>
      </c>
      <c r="Y35" s="342">
        <v>0.14285714285714285</v>
      </c>
      <c r="Z35" s="341"/>
      <c r="AA35" s="341" t="s">
        <v>475</v>
      </c>
      <c r="AB35" s="341">
        <v>1</v>
      </c>
      <c r="AC35" s="342">
        <v>8.3333333333333329E-2</v>
      </c>
      <c r="AD35" s="341"/>
      <c r="AE35" s="341"/>
    </row>
    <row r="36" spans="1:31" ht="20.100000000000001" customHeight="1">
      <c r="A36" s="82"/>
      <c r="B36" s="82"/>
      <c r="C36" s="82"/>
      <c r="D36" s="82"/>
      <c r="E36" s="82"/>
      <c r="F36" s="82"/>
      <c r="G36" s="82"/>
      <c r="H36" s="82"/>
      <c r="I36" s="84" t="str">
        <f>W32</f>
        <v>Skrandžio</v>
      </c>
      <c r="J36" s="82"/>
      <c r="K36" s="82"/>
      <c r="L36" s="82"/>
      <c r="M36" s="82"/>
      <c r="N36" s="82"/>
      <c r="O36" s="82"/>
      <c r="P36" s="82"/>
      <c r="Q36" s="82"/>
      <c r="R36" s="82"/>
      <c r="S36" s="84" t="str">
        <f>AA32</f>
        <v>Kitų kvėpavimo sistemos organų</v>
      </c>
      <c r="T36" s="82"/>
      <c r="U36" s="82"/>
      <c r="V36" s="341"/>
      <c r="W36" s="341" t="s">
        <v>226</v>
      </c>
      <c r="X36" s="341">
        <v>2</v>
      </c>
      <c r="Y36" s="342">
        <v>0.14285714285714285</v>
      </c>
      <c r="Z36" s="341"/>
      <c r="AA36" s="341" t="s">
        <v>215</v>
      </c>
      <c r="AB36" s="341">
        <v>2</v>
      </c>
      <c r="AC36" s="342">
        <v>0.16666666666666666</v>
      </c>
      <c r="AD36" s="341"/>
      <c r="AE36" s="341"/>
    </row>
    <row r="37" spans="1:31" ht="20.100000000000001" customHeight="1">
      <c r="A37" s="82"/>
      <c r="B37" s="82"/>
      <c r="C37" s="82"/>
      <c r="D37" s="82"/>
      <c r="E37" s="82"/>
      <c r="F37" s="82"/>
      <c r="G37" s="82"/>
      <c r="H37" s="82"/>
      <c r="I37" s="84" t="str">
        <f>W31</f>
        <v>Burnos ertmės ir ryklės</v>
      </c>
      <c r="J37" s="82"/>
      <c r="K37" s="82"/>
      <c r="L37" s="82"/>
      <c r="M37" s="82"/>
      <c r="N37" s="82"/>
      <c r="O37" s="82"/>
      <c r="P37" s="82"/>
      <c r="Q37" s="82"/>
      <c r="R37" s="82"/>
      <c r="S37" s="84" t="str">
        <f>AA31</f>
        <v>Kepenų</v>
      </c>
      <c r="T37" s="82"/>
      <c r="U37" s="82"/>
      <c r="V37" s="341"/>
      <c r="W37" s="341" t="s">
        <v>225</v>
      </c>
      <c r="X37" s="341">
        <v>3</v>
      </c>
      <c r="Y37" s="342">
        <v>0.21428571428571427</v>
      </c>
      <c r="Z37" s="341"/>
      <c r="AA37" s="341" t="s">
        <v>228</v>
      </c>
      <c r="AB37" s="341">
        <v>2</v>
      </c>
      <c r="AC37" s="342">
        <v>0.16666666666666666</v>
      </c>
      <c r="AD37" s="341"/>
      <c r="AE37" s="341"/>
    </row>
    <row r="38" spans="1:31" ht="20.100000000000001" customHeight="1">
      <c r="A38" s="82"/>
      <c r="B38" s="82"/>
      <c r="C38" s="82"/>
      <c r="D38" s="82"/>
      <c r="E38" s="82"/>
      <c r="F38" s="82"/>
      <c r="G38" s="82"/>
      <c r="H38" s="82"/>
      <c r="I38" s="84" t="str">
        <f>W30</f>
        <v>Stemplės</v>
      </c>
      <c r="J38" s="82"/>
      <c r="K38" s="82"/>
      <c r="L38" s="82"/>
      <c r="M38" s="82"/>
      <c r="N38" s="82"/>
      <c r="O38" s="82"/>
      <c r="P38" s="82"/>
      <c r="Q38" s="82"/>
      <c r="R38" s="82"/>
      <c r="S38" s="84" t="str">
        <f>AA30</f>
        <v>Gaubtinės žarnos</v>
      </c>
      <c r="T38" s="82"/>
      <c r="U38" s="82"/>
      <c r="V38" s="341"/>
      <c r="W38" s="341" t="s">
        <v>227</v>
      </c>
      <c r="X38" s="341">
        <v>3</v>
      </c>
      <c r="Y38" s="342">
        <v>0.21428571428571427</v>
      </c>
      <c r="Z38" s="341"/>
      <c r="AA38" s="341" t="s">
        <v>227</v>
      </c>
      <c r="AB38" s="341">
        <v>2</v>
      </c>
      <c r="AC38" s="342">
        <v>0.16666666666666666</v>
      </c>
      <c r="AD38" s="341"/>
      <c r="AE38" s="341"/>
    </row>
    <row r="39" spans="1:31" ht="20.100000000000001" customHeight="1">
      <c r="A39" s="82"/>
      <c r="B39" s="82"/>
      <c r="C39" s="82"/>
      <c r="D39" s="82"/>
      <c r="E39" s="82"/>
      <c r="F39" s="82"/>
      <c r="G39" s="82"/>
      <c r="H39" s="82"/>
      <c r="I39" s="84" t="str">
        <f>W29</f>
        <v>Lūpos</v>
      </c>
      <c r="J39" s="82"/>
      <c r="K39" s="82"/>
      <c r="L39" s="82"/>
      <c r="M39" s="82"/>
      <c r="N39" s="82"/>
      <c r="O39" s="82"/>
      <c r="P39" s="82"/>
      <c r="Q39" s="82"/>
      <c r="R39" s="82"/>
      <c r="S39" s="84" t="str">
        <f>AA29</f>
        <v>Lūpos</v>
      </c>
      <c r="T39" s="82"/>
      <c r="U39" s="82"/>
      <c r="V39" s="341"/>
      <c r="W39" s="343" t="s">
        <v>210</v>
      </c>
      <c r="X39" s="341">
        <v>14</v>
      </c>
      <c r="Y39" s="342">
        <v>1</v>
      </c>
      <c r="Z39" s="341"/>
      <c r="AA39" s="343" t="s">
        <v>210</v>
      </c>
      <c r="AB39" s="341">
        <v>12</v>
      </c>
      <c r="AC39" s="342">
        <v>0.99999999999999989</v>
      </c>
      <c r="AD39" s="341"/>
      <c r="AE39" s="341"/>
    </row>
    <row r="40" spans="1:31" ht="20.100000000000001" customHeight="1">
      <c r="A40" s="82"/>
      <c r="B40" s="82"/>
      <c r="C40" s="82"/>
      <c r="D40" s="82"/>
      <c r="E40" s="82"/>
      <c r="F40" s="82"/>
      <c r="G40" s="82"/>
      <c r="H40" s="82"/>
      <c r="I40" s="84" t="str">
        <f>W28</f>
        <v>Kiti</v>
      </c>
      <c r="J40" s="82"/>
      <c r="K40" s="82"/>
      <c r="L40" s="82"/>
      <c r="M40" s="82"/>
      <c r="N40" s="82"/>
      <c r="O40" s="82"/>
      <c r="P40" s="82"/>
      <c r="Q40" s="82"/>
      <c r="R40" s="82"/>
      <c r="S40" s="84" t="str">
        <f>TEXT(AA28,)</f>
        <v>Kiti</v>
      </c>
      <c r="T40" s="82"/>
      <c r="U40" s="82"/>
      <c r="V40" s="341"/>
      <c r="W40" s="445" t="s">
        <v>469</v>
      </c>
      <c r="X40" s="445"/>
      <c r="Y40" s="445"/>
      <c r="Z40" s="341"/>
      <c r="AA40" s="445" t="s">
        <v>476</v>
      </c>
      <c r="AB40" s="445"/>
      <c r="AC40" s="445"/>
      <c r="AD40" s="341"/>
      <c r="AE40" s="341"/>
    </row>
    <row r="41" spans="1:31" ht="24.95" customHeight="1">
      <c r="A41" s="82"/>
      <c r="B41" s="82"/>
      <c r="C41" s="82"/>
      <c r="D41" s="82"/>
      <c r="E41" s="82"/>
      <c r="F41" s="82"/>
      <c r="G41" s="82"/>
      <c r="H41" s="82"/>
      <c r="I41" s="82"/>
      <c r="J41" s="82"/>
      <c r="K41" s="82"/>
      <c r="L41" s="82"/>
      <c r="M41" s="82"/>
      <c r="N41" s="82"/>
      <c r="O41" s="82"/>
      <c r="P41" s="82"/>
      <c r="Q41" s="82"/>
      <c r="R41" s="82"/>
      <c r="S41" s="82"/>
      <c r="T41" s="82"/>
      <c r="U41" s="82"/>
      <c r="V41" s="341"/>
      <c r="W41" s="341" t="s">
        <v>26</v>
      </c>
      <c r="X41" s="341">
        <v>102</v>
      </c>
      <c r="Y41" s="342">
        <v>0.21249999999999999</v>
      </c>
      <c r="Z41" s="341"/>
      <c r="AA41" s="341" t="s">
        <v>26</v>
      </c>
      <c r="AB41" s="341">
        <v>80</v>
      </c>
      <c r="AC41" s="342">
        <v>0.19900497512437812</v>
      </c>
      <c r="AD41" s="341"/>
      <c r="AE41" s="341"/>
    </row>
    <row r="42" spans="1:31" ht="24.95" customHeight="1">
      <c r="A42" s="82"/>
      <c r="B42" s="82"/>
      <c r="C42" s="446" t="str">
        <f>W40</f>
        <v>Vyrai, 30-54 metų (480 atv.)</v>
      </c>
      <c r="D42" s="446"/>
      <c r="E42" s="446"/>
      <c r="F42" s="446"/>
      <c r="G42" s="446"/>
      <c r="H42" s="446"/>
      <c r="I42" s="446"/>
      <c r="J42" s="87"/>
      <c r="K42" s="82"/>
      <c r="L42" s="82"/>
      <c r="M42" s="446" t="str">
        <f>AA40</f>
        <v>Moterys, 30-54 metų (402 atv.)</v>
      </c>
      <c r="N42" s="446"/>
      <c r="O42" s="446"/>
      <c r="P42" s="446"/>
      <c r="Q42" s="446"/>
      <c r="R42" s="446"/>
      <c r="S42" s="446"/>
      <c r="T42" s="82"/>
      <c r="U42" s="82"/>
      <c r="V42" s="341"/>
      <c r="W42" s="341" t="s">
        <v>444</v>
      </c>
      <c r="X42" s="341">
        <v>16</v>
      </c>
      <c r="Y42" s="342">
        <v>3.3333333333333333E-2</v>
      </c>
      <c r="Z42" s="341"/>
      <c r="AA42" s="341" t="s">
        <v>219</v>
      </c>
      <c r="AB42" s="341">
        <v>15</v>
      </c>
      <c r="AC42" s="342">
        <v>3.7313432835820892E-2</v>
      </c>
      <c r="AD42" s="341"/>
      <c r="AE42" s="341"/>
    </row>
    <row r="43" spans="1:31" ht="20.100000000000001" customHeight="1">
      <c r="A43" s="82"/>
      <c r="B43" s="82"/>
      <c r="C43" s="82"/>
      <c r="D43" s="82"/>
      <c r="E43" s="82"/>
      <c r="F43" s="82"/>
      <c r="G43" s="82"/>
      <c r="H43" s="82"/>
      <c r="I43" s="84" t="str">
        <f>W51</f>
        <v>Plaučių, trachėjos, bronchų</v>
      </c>
      <c r="J43" s="82"/>
      <c r="K43" s="82"/>
      <c r="L43" s="82"/>
      <c r="M43" s="82"/>
      <c r="N43" s="82"/>
      <c r="O43" s="82"/>
      <c r="P43" s="82"/>
      <c r="Q43" s="82"/>
      <c r="R43" s="82"/>
      <c r="S43" s="84" t="str">
        <f>AA51</f>
        <v>Krūties</v>
      </c>
      <c r="T43" s="82"/>
      <c r="U43" s="82"/>
      <c r="V43" s="341"/>
      <c r="W43" s="341" t="s">
        <v>212</v>
      </c>
      <c r="X43" s="341">
        <v>18</v>
      </c>
      <c r="Y43" s="342">
        <v>3.7499999999999999E-2</v>
      </c>
      <c r="Z43" s="341"/>
      <c r="AA43" s="341" t="s">
        <v>225</v>
      </c>
      <c r="AB43" s="341">
        <v>15</v>
      </c>
      <c r="AC43" s="342">
        <v>3.7313432835820892E-2</v>
      </c>
      <c r="AD43" s="341"/>
      <c r="AE43" s="341"/>
    </row>
    <row r="44" spans="1:31" ht="20.100000000000001" customHeight="1">
      <c r="A44" s="82"/>
      <c r="B44" s="82"/>
      <c r="C44" s="82"/>
      <c r="D44" s="82"/>
      <c r="E44" s="82"/>
      <c r="F44" s="82"/>
      <c r="G44" s="82"/>
      <c r="H44" s="82"/>
      <c r="I44" s="84" t="str">
        <f>W50</f>
        <v>Skrandžio</v>
      </c>
      <c r="J44" s="82"/>
      <c r="K44" s="82"/>
      <c r="L44" s="82"/>
      <c r="M44" s="82"/>
      <c r="N44" s="82"/>
      <c r="O44" s="82"/>
      <c r="P44" s="82"/>
      <c r="Q44" s="82"/>
      <c r="R44" s="82"/>
      <c r="S44" s="84" t="str">
        <f>AA50</f>
        <v>Gimdos kaklelio</v>
      </c>
      <c r="T44" s="82"/>
      <c r="U44" s="82"/>
      <c r="V44" s="341"/>
      <c r="W44" s="341" t="s">
        <v>237</v>
      </c>
      <c r="X44" s="341">
        <v>18</v>
      </c>
      <c r="Y44" s="342">
        <v>3.7499999999999999E-2</v>
      </c>
      <c r="Z44" s="341"/>
      <c r="AA44" s="341" t="s">
        <v>233</v>
      </c>
      <c r="AB44" s="341">
        <v>16</v>
      </c>
      <c r="AC44" s="342">
        <v>3.9800995024875621E-2</v>
      </c>
      <c r="AD44" s="341"/>
      <c r="AE44" s="341"/>
    </row>
    <row r="45" spans="1:31" ht="20.100000000000001" customHeight="1">
      <c r="A45" s="82"/>
      <c r="B45" s="82"/>
      <c r="C45" s="82"/>
      <c r="D45" s="82"/>
      <c r="E45" s="82"/>
      <c r="F45" s="82"/>
      <c r="G45" s="82"/>
      <c r="H45" s="82"/>
      <c r="I45" s="84" t="str">
        <f>W49</f>
        <v>Burnos ertmės ir ryklės</v>
      </c>
      <c r="J45" s="82"/>
      <c r="K45" s="82"/>
      <c r="L45" s="82"/>
      <c r="M45" s="82"/>
      <c r="N45" s="82"/>
      <c r="O45" s="82"/>
      <c r="P45" s="82"/>
      <c r="Q45" s="82"/>
      <c r="R45" s="82"/>
      <c r="S45" s="84" t="str">
        <f>AA49</f>
        <v>Kiaušidžių</v>
      </c>
      <c r="T45" s="82"/>
      <c r="U45" s="82"/>
      <c r="V45" s="341"/>
      <c r="W45" s="341" t="s">
        <v>213</v>
      </c>
      <c r="X45" s="341">
        <v>21</v>
      </c>
      <c r="Y45" s="342">
        <v>4.3749999999999997E-2</v>
      </c>
      <c r="Z45" s="341"/>
      <c r="AA45" s="341" t="s">
        <v>237</v>
      </c>
      <c r="AB45" s="341">
        <v>17</v>
      </c>
      <c r="AC45" s="342">
        <v>4.228855721393035E-2</v>
      </c>
      <c r="AD45" s="341"/>
      <c r="AE45" s="341"/>
    </row>
    <row r="46" spans="1:31" ht="20.100000000000001" customHeight="1">
      <c r="A46" s="82"/>
      <c r="B46" s="82"/>
      <c r="C46" s="82"/>
      <c r="D46" s="82"/>
      <c r="E46" s="82"/>
      <c r="F46" s="82"/>
      <c r="G46" s="82"/>
      <c r="H46" s="82"/>
      <c r="I46" s="84" t="str">
        <f>W48</f>
        <v>Kasos</v>
      </c>
      <c r="J46" s="82"/>
      <c r="K46" s="82"/>
      <c r="L46" s="82"/>
      <c r="M46" s="82"/>
      <c r="N46" s="82"/>
      <c r="O46" s="82"/>
      <c r="P46" s="82"/>
      <c r="Q46" s="82"/>
      <c r="R46" s="82"/>
      <c r="S46" s="84" t="str">
        <f>AA48</f>
        <v>Skrandžio</v>
      </c>
      <c r="T46" s="82"/>
      <c r="U46" s="82"/>
      <c r="V46" s="341"/>
      <c r="W46" s="341" t="s">
        <v>423</v>
      </c>
      <c r="X46" s="341">
        <v>31</v>
      </c>
      <c r="Y46" s="342">
        <v>6.458333333333334E-2</v>
      </c>
      <c r="Z46" s="341"/>
      <c r="AA46" s="341" t="s">
        <v>214</v>
      </c>
      <c r="AB46" s="341">
        <v>18</v>
      </c>
      <c r="AC46" s="342">
        <v>4.4776119402985072E-2</v>
      </c>
      <c r="AD46" s="341"/>
      <c r="AE46" s="341"/>
    </row>
    <row r="47" spans="1:31" ht="20.100000000000001" customHeight="1">
      <c r="A47" s="82"/>
      <c r="B47" s="82"/>
      <c r="C47" s="82"/>
      <c r="D47" s="82"/>
      <c r="E47" s="82"/>
      <c r="F47" s="82"/>
      <c r="G47" s="82"/>
      <c r="H47" s="82"/>
      <c r="I47" s="84" t="str">
        <f>W47</f>
        <v>Smegenų</v>
      </c>
      <c r="J47" s="82"/>
      <c r="K47" s="82"/>
      <c r="L47" s="82"/>
      <c r="M47" s="82"/>
      <c r="N47" s="82"/>
      <c r="O47" s="82"/>
      <c r="P47" s="82"/>
      <c r="Q47" s="82"/>
      <c r="R47" s="82"/>
      <c r="S47" s="84" t="str">
        <f>AA47</f>
        <v>Plaučių, trachėjos, bronchų</v>
      </c>
      <c r="T47" s="82"/>
      <c r="U47" s="82"/>
      <c r="V47" s="341"/>
      <c r="W47" s="341" t="s">
        <v>225</v>
      </c>
      <c r="X47" s="341">
        <v>31</v>
      </c>
      <c r="Y47" s="342">
        <v>6.458333333333334E-2</v>
      </c>
      <c r="Z47" s="341"/>
      <c r="AA47" s="341" t="s">
        <v>217</v>
      </c>
      <c r="AB47" s="341">
        <v>23</v>
      </c>
      <c r="AC47" s="342">
        <v>5.721393034825871E-2</v>
      </c>
      <c r="AD47" s="341"/>
      <c r="AE47" s="341"/>
    </row>
    <row r="48" spans="1:31" ht="20.100000000000001" customHeight="1">
      <c r="A48" s="82"/>
      <c r="B48" s="82"/>
      <c r="C48" s="82"/>
      <c r="D48" s="82"/>
      <c r="E48" s="82"/>
      <c r="F48" s="82"/>
      <c r="G48" s="82"/>
      <c r="H48" s="82"/>
      <c r="I48" s="84" t="str">
        <f>W46</f>
        <v>Stemplės</v>
      </c>
      <c r="J48" s="82"/>
      <c r="K48" s="82"/>
      <c r="L48" s="82"/>
      <c r="M48" s="82"/>
      <c r="N48" s="82"/>
      <c r="O48" s="82"/>
      <c r="P48" s="82"/>
      <c r="Q48" s="82"/>
      <c r="R48" s="82"/>
      <c r="S48" s="84" t="str">
        <f>AA46</f>
        <v>Gaubtinės žarnos</v>
      </c>
      <c r="T48" s="82"/>
      <c r="U48" s="82"/>
      <c r="V48" s="341"/>
      <c r="W48" s="341" t="s">
        <v>219</v>
      </c>
      <c r="X48" s="341">
        <v>41</v>
      </c>
      <c r="Y48" s="342">
        <v>8.5416666666666669E-2</v>
      </c>
      <c r="Z48" s="341"/>
      <c r="AA48" s="341" t="s">
        <v>215</v>
      </c>
      <c r="AB48" s="341">
        <v>34</v>
      </c>
      <c r="AC48" s="342">
        <v>8.45771144278607E-2</v>
      </c>
      <c r="AD48" s="341"/>
      <c r="AE48" s="341"/>
    </row>
    <row r="49" spans="1:31" ht="20.100000000000001" customHeight="1">
      <c r="A49" s="82"/>
      <c r="B49" s="82"/>
      <c r="C49" s="82"/>
      <c r="D49" s="82"/>
      <c r="E49" s="82"/>
      <c r="F49" s="82"/>
      <c r="G49" s="82"/>
      <c r="H49" s="82"/>
      <c r="I49" s="84" t="str">
        <f>W45</f>
        <v>Inkstų</v>
      </c>
      <c r="J49" s="82"/>
      <c r="K49" s="82"/>
      <c r="L49" s="82"/>
      <c r="M49" s="82"/>
      <c r="N49" s="82"/>
      <c r="O49" s="82"/>
      <c r="P49" s="82"/>
      <c r="Q49" s="82"/>
      <c r="R49" s="82"/>
      <c r="S49" s="84" t="str">
        <f>AA45</f>
        <v>Nepatikslintos lokalizacijos</v>
      </c>
      <c r="T49" s="82"/>
      <c r="U49" s="82"/>
      <c r="V49" s="341"/>
      <c r="W49" s="341" t="s">
        <v>211</v>
      </c>
      <c r="X49" s="341">
        <v>53</v>
      </c>
      <c r="Y49" s="342">
        <v>0.11041666666666666</v>
      </c>
      <c r="Z49" s="341"/>
      <c r="AA49" s="341" t="s">
        <v>231</v>
      </c>
      <c r="AB49" s="341">
        <v>44</v>
      </c>
      <c r="AC49" s="342">
        <v>0.10945273631840796</v>
      </c>
      <c r="AD49" s="341"/>
      <c r="AE49" s="341"/>
    </row>
    <row r="50" spans="1:31" ht="20.100000000000001" customHeight="1">
      <c r="A50" s="82"/>
      <c r="B50" s="82"/>
      <c r="C50" s="82"/>
      <c r="D50" s="82"/>
      <c r="E50" s="82"/>
      <c r="F50" s="82"/>
      <c r="G50" s="82"/>
      <c r="H50" s="82"/>
      <c r="I50" s="84" t="str">
        <f>W44</f>
        <v>Nepatikslintos lokalizacijos</v>
      </c>
      <c r="J50" s="82"/>
      <c r="K50" s="82"/>
      <c r="L50" s="82"/>
      <c r="M50" s="82"/>
      <c r="N50" s="82"/>
      <c r="O50" s="82"/>
      <c r="P50" s="82"/>
      <c r="Q50" s="82"/>
      <c r="R50" s="82"/>
      <c r="S50" s="84" t="str">
        <f>AA44</f>
        <v>Gimdos kūno</v>
      </c>
      <c r="T50" s="82"/>
      <c r="U50" s="82"/>
      <c r="V50" s="341"/>
      <c r="W50" s="341" t="s">
        <v>215</v>
      </c>
      <c r="X50" s="341">
        <v>54</v>
      </c>
      <c r="Y50" s="342">
        <v>0.1125</v>
      </c>
      <c r="Z50" s="341"/>
      <c r="AA50" s="341" t="s">
        <v>232</v>
      </c>
      <c r="AB50" s="341">
        <v>58</v>
      </c>
      <c r="AC50" s="342">
        <v>0.14427860696517414</v>
      </c>
      <c r="AD50" s="341"/>
      <c r="AE50" s="341"/>
    </row>
    <row r="51" spans="1:31" ht="20.100000000000001" customHeight="1">
      <c r="A51" s="82"/>
      <c r="B51" s="82"/>
      <c r="C51" s="82"/>
      <c r="D51" s="82"/>
      <c r="E51" s="82"/>
      <c r="F51" s="82"/>
      <c r="G51" s="82"/>
      <c r="H51" s="82"/>
      <c r="I51" s="84" t="str">
        <f>W43</f>
        <v>Tiesiosios žarnos, išangės</v>
      </c>
      <c r="J51" s="82"/>
      <c r="K51" s="82"/>
      <c r="L51" s="82"/>
      <c r="M51" s="82"/>
      <c r="N51" s="82"/>
      <c r="O51" s="82"/>
      <c r="P51" s="82"/>
      <c r="Q51" s="82"/>
      <c r="R51" s="82"/>
      <c r="S51" s="84" t="str">
        <f>AA43</f>
        <v>Smegenų</v>
      </c>
      <c r="T51" s="82"/>
      <c r="U51" s="82"/>
      <c r="V51" s="341"/>
      <c r="W51" s="341" t="s">
        <v>217</v>
      </c>
      <c r="X51" s="341">
        <v>95</v>
      </c>
      <c r="Y51" s="342">
        <v>0.19791666666666666</v>
      </c>
      <c r="Z51" s="341"/>
      <c r="AA51" s="341" t="s">
        <v>234</v>
      </c>
      <c r="AB51" s="341">
        <v>82</v>
      </c>
      <c r="AC51" s="342">
        <v>0.20398009950248755</v>
      </c>
      <c r="AD51" s="341"/>
      <c r="AE51" s="341"/>
    </row>
    <row r="52" spans="1:31" ht="20.100000000000001" customHeight="1">
      <c r="A52" s="82"/>
      <c r="B52" s="82"/>
      <c r="C52" s="82"/>
      <c r="D52" s="82"/>
      <c r="E52" s="82"/>
      <c r="F52" s="82"/>
      <c r="G52" s="82"/>
      <c r="H52" s="82"/>
      <c r="I52" s="84" t="str">
        <f>W42</f>
        <v>Kepenų</v>
      </c>
      <c r="J52" s="82"/>
      <c r="K52" s="82"/>
      <c r="L52" s="82"/>
      <c r="M52" s="82"/>
      <c r="N52" s="82"/>
      <c r="O52" s="82"/>
      <c r="P52" s="82"/>
      <c r="Q52" s="82"/>
      <c r="R52" s="82"/>
      <c r="S52" s="84" t="str">
        <f>AA42</f>
        <v>Kasos</v>
      </c>
      <c r="T52" s="82"/>
      <c r="U52" s="82"/>
      <c r="V52" s="341"/>
      <c r="W52" s="343" t="s">
        <v>210</v>
      </c>
      <c r="X52" s="341">
        <v>480</v>
      </c>
      <c r="Y52" s="342">
        <v>0.99999999999999989</v>
      </c>
      <c r="Z52" s="341"/>
      <c r="AA52" s="343" t="s">
        <v>210</v>
      </c>
      <c r="AB52" s="341">
        <v>402</v>
      </c>
      <c r="AC52" s="342">
        <v>1</v>
      </c>
      <c r="AD52" s="341"/>
      <c r="AE52" s="341"/>
    </row>
    <row r="53" spans="1:31" ht="20.100000000000001" customHeight="1">
      <c r="A53" s="82"/>
      <c r="B53" s="82"/>
      <c r="C53" s="82"/>
      <c r="D53" s="82"/>
      <c r="E53" s="82"/>
      <c r="F53" s="82"/>
      <c r="G53" s="82"/>
      <c r="H53" s="82"/>
      <c r="I53" s="84" t="str">
        <f>W41</f>
        <v>Kiti</v>
      </c>
      <c r="J53" s="82"/>
      <c r="K53" s="82"/>
      <c r="L53" s="82"/>
      <c r="M53" s="82"/>
      <c r="N53" s="82"/>
      <c r="O53" s="82"/>
      <c r="P53" s="82"/>
      <c r="Q53" s="82"/>
      <c r="R53" s="82"/>
      <c r="S53" s="84" t="str">
        <f>AA41</f>
        <v>Kiti</v>
      </c>
      <c r="T53" s="82"/>
      <c r="U53" s="82"/>
      <c r="V53" s="341"/>
      <c r="W53" s="445" t="s">
        <v>470</v>
      </c>
      <c r="X53" s="445"/>
      <c r="Y53" s="445"/>
      <c r="Z53" s="341"/>
      <c r="AA53" s="445" t="s">
        <v>477</v>
      </c>
      <c r="AB53" s="445"/>
      <c r="AC53" s="445"/>
      <c r="AD53" s="341"/>
      <c r="AE53" s="341"/>
    </row>
    <row r="54" spans="1:31" ht="24.95" customHeight="1">
      <c r="A54" s="82"/>
      <c r="B54" s="82"/>
      <c r="C54" s="82"/>
      <c r="D54" s="82"/>
      <c r="E54" s="82"/>
      <c r="F54" s="82"/>
      <c r="G54" s="82"/>
      <c r="H54" s="82"/>
      <c r="I54" s="82"/>
      <c r="J54" s="82"/>
      <c r="K54" s="82"/>
      <c r="L54" s="82"/>
      <c r="M54" s="82"/>
      <c r="N54" s="82"/>
      <c r="O54" s="82"/>
      <c r="P54" s="82"/>
      <c r="Q54" s="82"/>
      <c r="R54" s="82"/>
      <c r="S54" s="82"/>
      <c r="T54" s="82"/>
      <c r="U54" s="82"/>
      <c r="V54" s="341"/>
      <c r="W54" s="341" t="s">
        <v>26</v>
      </c>
      <c r="X54" s="341">
        <v>453</v>
      </c>
      <c r="Y54" s="342">
        <v>0.1935897435897436</v>
      </c>
      <c r="Z54" s="341"/>
      <c r="AA54" s="341" t="s">
        <v>26</v>
      </c>
      <c r="AB54" s="341">
        <v>369</v>
      </c>
      <c r="AC54" s="342">
        <v>0.25840336134453784</v>
      </c>
      <c r="AD54" s="341"/>
      <c r="AE54" s="341"/>
    </row>
    <row r="55" spans="1:31" ht="24.95" customHeight="1">
      <c r="A55" s="82"/>
      <c r="B55" s="82"/>
      <c r="C55" s="446" t="str">
        <f>W53</f>
        <v>Vyrai, 55-74 metų (2340 atv.)</v>
      </c>
      <c r="D55" s="446"/>
      <c r="E55" s="446"/>
      <c r="F55" s="446"/>
      <c r="G55" s="446"/>
      <c r="H55" s="446"/>
      <c r="I55" s="446"/>
      <c r="J55" s="82"/>
      <c r="K55" s="82"/>
      <c r="L55" s="82"/>
      <c r="M55" s="446" t="str">
        <f>AA53</f>
        <v>Moterys, 55-74 metų (1428 atv.)</v>
      </c>
      <c r="N55" s="446"/>
      <c r="O55" s="446"/>
      <c r="P55" s="446"/>
      <c r="Q55" s="446"/>
      <c r="R55" s="446"/>
      <c r="S55" s="446"/>
      <c r="T55" s="82"/>
      <c r="U55" s="82"/>
      <c r="V55" s="341"/>
      <c r="W55" s="341" t="s">
        <v>213</v>
      </c>
      <c r="X55" s="341">
        <v>93</v>
      </c>
      <c r="Y55" s="342">
        <v>3.9743589743589741E-2</v>
      </c>
      <c r="Z55" s="341"/>
      <c r="AA55" s="341" t="s">
        <v>225</v>
      </c>
      <c r="AB55" s="341">
        <v>54</v>
      </c>
      <c r="AC55" s="342">
        <v>3.7815126050420166E-2</v>
      </c>
      <c r="AD55" s="341"/>
      <c r="AE55" s="341"/>
    </row>
    <row r="56" spans="1:31" ht="20.100000000000001" customHeight="1">
      <c r="A56" s="82"/>
      <c r="B56" s="82"/>
      <c r="C56" s="82"/>
      <c r="D56" s="82"/>
      <c r="E56" s="82"/>
      <c r="F56" s="82"/>
      <c r="G56" s="82"/>
      <c r="H56" s="82"/>
      <c r="I56" s="84" t="str">
        <f>W64</f>
        <v>Plaučių, trachėjos, bronchų</v>
      </c>
      <c r="J56" s="82"/>
      <c r="K56" s="82"/>
      <c r="L56" s="82"/>
      <c r="M56" s="82"/>
      <c r="N56" s="82"/>
      <c r="O56" s="82"/>
      <c r="P56" s="82"/>
      <c r="Q56" s="82"/>
      <c r="R56" s="82"/>
      <c r="S56" s="84" t="str">
        <f>AA64</f>
        <v>Krūties</v>
      </c>
      <c r="T56" s="82"/>
      <c r="U56" s="82"/>
      <c r="V56" s="341"/>
      <c r="W56" s="341" t="s">
        <v>423</v>
      </c>
      <c r="X56" s="341">
        <v>110</v>
      </c>
      <c r="Y56" s="342">
        <v>4.7008547008547008E-2</v>
      </c>
      <c r="Z56" s="341"/>
      <c r="AA56" s="341" t="s">
        <v>212</v>
      </c>
      <c r="AB56" s="341">
        <v>64</v>
      </c>
      <c r="AC56" s="342">
        <v>4.4817927170868348E-2</v>
      </c>
      <c r="AD56" s="341"/>
      <c r="AE56" s="341"/>
    </row>
    <row r="57" spans="1:31" ht="20.100000000000001" customHeight="1">
      <c r="A57" s="82"/>
      <c r="B57" s="82"/>
      <c r="C57" s="82"/>
      <c r="D57" s="82"/>
      <c r="E57" s="82"/>
      <c r="F57" s="82"/>
      <c r="G57" s="82"/>
      <c r="H57" s="82"/>
      <c r="I57" s="84" t="str">
        <f>W63</f>
        <v>Skrandžio</v>
      </c>
      <c r="J57" s="82"/>
      <c r="K57" s="82"/>
      <c r="L57" s="82"/>
      <c r="M57" s="82"/>
      <c r="N57" s="82"/>
      <c r="O57" s="82"/>
      <c r="P57" s="82"/>
      <c r="Q57" s="82"/>
      <c r="R57" s="82"/>
      <c r="S57" s="84" t="str">
        <f>AA63</f>
        <v>Plaučių, trachėjos, bronchų</v>
      </c>
      <c r="T57" s="82"/>
      <c r="U57" s="82"/>
      <c r="V57" s="341"/>
      <c r="W57" s="341" t="s">
        <v>212</v>
      </c>
      <c r="X57" s="341">
        <v>117</v>
      </c>
      <c r="Y57" s="342">
        <v>0.05</v>
      </c>
      <c r="Z57" s="341"/>
      <c r="AA57" s="341" t="s">
        <v>232</v>
      </c>
      <c r="AB57" s="341">
        <v>73</v>
      </c>
      <c r="AC57" s="342">
        <v>5.1120448179271707E-2</v>
      </c>
      <c r="AD57" s="341"/>
      <c r="AE57" s="341"/>
    </row>
    <row r="58" spans="1:31" ht="20.100000000000001" customHeight="1">
      <c r="A58" s="82"/>
      <c r="B58" s="82"/>
      <c r="C58" s="82"/>
      <c r="D58" s="82"/>
      <c r="E58" s="82"/>
      <c r="F58" s="82"/>
      <c r="G58" s="82"/>
      <c r="H58" s="82"/>
      <c r="I58" s="84" t="str">
        <f>W62</f>
        <v>Priešinės liaukos</v>
      </c>
      <c r="J58" s="82"/>
      <c r="K58" s="82"/>
      <c r="L58" s="82"/>
      <c r="M58" s="82"/>
      <c r="N58" s="82"/>
      <c r="O58" s="82"/>
      <c r="P58" s="82"/>
      <c r="Q58" s="82"/>
      <c r="R58" s="82"/>
      <c r="S58" s="84" t="str">
        <f>AA62</f>
        <v>Kiaušidžių</v>
      </c>
      <c r="T58" s="82"/>
      <c r="U58" s="82"/>
      <c r="V58" s="341"/>
      <c r="W58" s="341" t="s">
        <v>214</v>
      </c>
      <c r="X58" s="341">
        <v>120</v>
      </c>
      <c r="Y58" s="342">
        <v>5.128205128205128E-2</v>
      </c>
      <c r="Z58" s="341"/>
      <c r="AA58" s="341" t="s">
        <v>233</v>
      </c>
      <c r="AB58" s="341">
        <v>73</v>
      </c>
      <c r="AC58" s="342">
        <v>5.1120448179271707E-2</v>
      </c>
      <c r="AD58" s="341"/>
      <c r="AE58" s="341"/>
    </row>
    <row r="59" spans="1:31" ht="20.100000000000001" customHeight="1">
      <c r="A59" s="82"/>
      <c r="B59" s="82"/>
      <c r="C59" s="82"/>
      <c r="D59" s="82"/>
      <c r="E59" s="82"/>
      <c r="F59" s="82"/>
      <c r="G59" s="82"/>
      <c r="H59" s="82"/>
      <c r="I59" s="84" t="str">
        <f>W61</f>
        <v>Burnos ertmės ir ryklės</v>
      </c>
      <c r="J59" s="82"/>
      <c r="K59" s="82"/>
      <c r="L59" s="82"/>
      <c r="M59" s="82"/>
      <c r="N59" s="82"/>
      <c r="O59" s="82"/>
      <c r="P59" s="82"/>
      <c r="Q59" s="82"/>
      <c r="R59" s="82"/>
      <c r="S59" s="84" t="str">
        <f>AA61</f>
        <v>Skrandžio</v>
      </c>
      <c r="T59" s="82"/>
      <c r="U59" s="82"/>
      <c r="V59" s="341"/>
      <c r="W59" s="341" t="s">
        <v>237</v>
      </c>
      <c r="X59" s="341">
        <v>122</v>
      </c>
      <c r="Y59" s="342">
        <v>5.2136752136752139E-2</v>
      </c>
      <c r="Z59" s="341"/>
      <c r="AA59" s="341" t="s">
        <v>214</v>
      </c>
      <c r="AB59" s="341">
        <v>78</v>
      </c>
      <c r="AC59" s="342">
        <v>5.4621848739495799E-2</v>
      </c>
      <c r="AD59" s="341"/>
      <c r="AE59" s="341"/>
    </row>
    <row r="60" spans="1:31" ht="20.100000000000001" customHeight="1">
      <c r="A60" s="82"/>
      <c r="B60" s="82"/>
      <c r="C60" s="82"/>
      <c r="D60" s="82"/>
      <c r="E60" s="82"/>
      <c r="F60" s="82"/>
      <c r="G60" s="82"/>
      <c r="H60" s="82"/>
      <c r="I60" s="84" t="str">
        <f>W60</f>
        <v>Kasos</v>
      </c>
      <c r="J60" s="82"/>
      <c r="K60" s="82"/>
      <c r="L60" s="82"/>
      <c r="M60" s="82"/>
      <c r="N60" s="82"/>
      <c r="O60" s="82"/>
      <c r="P60" s="82"/>
      <c r="Q60" s="82"/>
      <c r="R60" s="82"/>
      <c r="S60" s="84" t="str">
        <f>AA60</f>
        <v>Kasos</v>
      </c>
      <c r="T60" s="82"/>
      <c r="U60" s="82"/>
      <c r="V60" s="341"/>
      <c r="W60" s="341" t="s">
        <v>219</v>
      </c>
      <c r="X60" s="341">
        <v>128</v>
      </c>
      <c r="Y60" s="342">
        <v>5.4700854700854701E-2</v>
      </c>
      <c r="Z60" s="341"/>
      <c r="AA60" s="341" t="s">
        <v>219</v>
      </c>
      <c r="AB60" s="341">
        <v>105</v>
      </c>
      <c r="AC60" s="342">
        <v>7.3529411764705885E-2</v>
      </c>
      <c r="AD60" s="341"/>
      <c r="AE60" s="341"/>
    </row>
    <row r="61" spans="1:31" ht="20.100000000000001" customHeight="1">
      <c r="A61" s="82"/>
      <c r="B61" s="82"/>
      <c r="C61" s="82"/>
      <c r="D61" s="82"/>
      <c r="E61" s="82"/>
      <c r="F61" s="82"/>
      <c r="G61" s="82"/>
      <c r="H61" s="82"/>
      <c r="I61" s="84" t="str">
        <f>W59</f>
        <v>Nepatikslintos lokalizacijos</v>
      </c>
      <c r="J61" s="82"/>
      <c r="K61" s="82"/>
      <c r="L61" s="82"/>
      <c r="M61" s="82"/>
      <c r="N61" s="82"/>
      <c r="O61" s="82"/>
      <c r="P61" s="82"/>
      <c r="Q61" s="82"/>
      <c r="R61" s="82"/>
      <c r="S61" s="84" t="str">
        <f>AA59</f>
        <v>Gaubtinės žarnos</v>
      </c>
      <c r="T61" s="82"/>
      <c r="U61" s="82"/>
      <c r="V61" s="341"/>
      <c r="W61" s="341" t="s">
        <v>211</v>
      </c>
      <c r="X61" s="341">
        <v>134</v>
      </c>
      <c r="Y61" s="342">
        <v>5.7264957264957263E-2</v>
      </c>
      <c r="Z61" s="341"/>
      <c r="AA61" s="341" t="s">
        <v>215</v>
      </c>
      <c r="AB61" s="341">
        <v>119</v>
      </c>
      <c r="AC61" s="342">
        <v>8.3333333333333329E-2</v>
      </c>
      <c r="AD61" s="341"/>
      <c r="AE61" s="341"/>
    </row>
    <row r="62" spans="1:31" ht="20.100000000000001" customHeight="1">
      <c r="A62" s="82"/>
      <c r="B62" s="82"/>
      <c r="C62" s="82"/>
      <c r="D62" s="82"/>
      <c r="E62" s="82"/>
      <c r="F62" s="82"/>
      <c r="G62" s="82"/>
      <c r="H62" s="82"/>
      <c r="I62" s="84" t="str">
        <f>W58</f>
        <v>Gaubtinės žarnos</v>
      </c>
      <c r="J62" s="82"/>
      <c r="K62" s="82"/>
      <c r="L62" s="82"/>
      <c r="M62" s="82"/>
      <c r="N62" s="82"/>
      <c r="O62" s="82"/>
      <c r="P62" s="82"/>
      <c r="Q62" s="82"/>
      <c r="R62" s="82"/>
      <c r="S62" s="84" t="str">
        <f>AA58</f>
        <v>Gimdos kūno</v>
      </c>
      <c r="T62" s="82"/>
      <c r="U62" s="82"/>
      <c r="V62" s="341"/>
      <c r="W62" s="341" t="s">
        <v>218</v>
      </c>
      <c r="X62" s="341">
        <v>180</v>
      </c>
      <c r="Y62" s="342">
        <v>7.6923076923076927E-2</v>
      </c>
      <c r="Z62" s="341"/>
      <c r="AA62" s="341" t="s">
        <v>231</v>
      </c>
      <c r="AB62" s="341">
        <v>124</v>
      </c>
      <c r="AC62" s="342">
        <v>8.683473389355742E-2</v>
      </c>
      <c r="AD62" s="341"/>
      <c r="AE62" s="341"/>
    </row>
    <row r="63" spans="1:31" ht="20.100000000000001" customHeight="1">
      <c r="A63" s="82"/>
      <c r="B63" s="82"/>
      <c r="C63" s="82"/>
      <c r="D63" s="82"/>
      <c r="E63" s="82"/>
      <c r="F63" s="82"/>
      <c r="G63" s="82"/>
      <c r="H63" s="82"/>
      <c r="I63" s="84" t="str">
        <f>W57</f>
        <v>Tiesiosios žarnos, išangės</v>
      </c>
      <c r="J63" s="82"/>
      <c r="K63" s="82"/>
      <c r="L63" s="82"/>
      <c r="M63" s="82"/>
      <c r="N63" s="82"/>
      <c r="O63" s="82"/>
      <c r="P63" s="82"/>
      <c r="Q63" s="82"/>
      <c r="R63" s="82"/>
      <c r="S63" s="84" t="str">
        <f>AA57</f>
        <v>Gimdos kaklelio</v>
      </c>
      <c r="T63" s="82"/>
      <c r="U63" s="82"/>
      <c r="V63" s="341"/>
      <c r="W63" s="341" t="s">
        <v>215</v>
      </c>
      <c r="X63" s="341">
        <v>212</v>
      </c>
      <c r="Y63" s="342">
        <v>9.0598290598290596E-2</v>
      </c>
      <c r="Z63" s="341"/>
      <c r="AA63" s="341" t="s">
        <v>217</v>
      </c>
      <c r="AB63" s="341">
        <v>126</v>
      </c>
      <c r="AC63" s="342">
        <v>8.8235294117647065E-2</v>
      </c>
      <c r="AD63" s="341"/>
      <c r="AE63" s="341"/>
    </row>
    <row r="64" spans="1:31" ht="20.100000000000001" customHeight="1">
      <c r="A64" s="82"/>
      <c r="B64" s="82"/>
      <c r="C64" s="82"/>
      <c r="D64" s="82"/>
      <c r="E64" s="82"/>
      <c r="F64" s="82"/>
      <c r="G64" s="82"/>
      <c r="H64" s="82"/>
      <c r="I64" s="84" t="str">
        <f>W56</f>
        <v>Stemplės</v>
      </c>
      <c r="J64" s="82"/>
      <c r="K64" s="82"/>
      <c r="L64" s="82"/>
      <c r="M64" s="82"/>
      <c r="N64" s="82"/>
      <c r="O64" s="82"/>
      <c r="P64" s="82"/>
      <c r="Q64" s="82"/>
      <c r="R64" s="82"/>
      <c r="S64" s="84" t="str">
        <f>AA56</f>
        <v>Tiesiosios žarnos, išangės</v>
      </c>
      <c r="T64" s="82"/>
      <c r="U64" s="82"/>
      <c r="V64" s="341"/>
      <c r="W64" s="341" t="s">
        <v>217</v>
      </c>
      <c r="X64" s="341">
        <v>671</v>
      </c>
      <c r="Y64" s="342">
        <v>0.28675213675213673</v>
      </c>
      <c r="Z64" s="341"/>
      <c r="AA64" s="341" t="s">
        <v>234</v>
      </c>
      <c r="AB64" s="341">
        <v>243</v>
      </c>
      <c r="AC64" s="342">
        <v>0.17016806722689076</v>
      </c>
      <c r="AD64" s="341"/>
      <c r="AE64" s="341"/>
    </row>
    <row r="65" spans="1:31" ht="20.100000000000001" customHeight="1">
      <c r="A65" s="82"/>
      <c r="B65" s="82"/>
      <c r="C65" s="82"/>
      <c r="D65" s="82"/>
      <c r="E65" s="82"/>
      <c r="F65" s="82"/>
      <c r="G65" s="82"/>
      <c r="H65" s="82"/>
      <c r="I65" s="84" t="str">
        <f>W55</f>
        <v>Inkstų</v>
      </c>
      <c r="J65" s="82"/>
      <c r="K65" s="82"/>
      <c r="L65" s="82"/>
      <c r="M65" s="82"/>
      <c r="N65" s="82"/>
      <c r="O65" s="82"/>
      <c r="P65" s="82"/>
      <c r="Q65" s="82"/>
      <c r="R65" s="82"/>
      <c r="S65" s="84" t="str">
        <f>AA55</f>
        <v>Smegenų</v>
      </c>
      <c r="T65" s="82"/>
      <c r="U65" s="82"/>
      <c r="V65" s="341"/>
      <c r="W65" s="343" t="s">
        <v>210</v>
      </c>
      <c r="X65" s="341">
        <v>2340</v>
      </c>
      <c r="Y65" s="342">
        <v>1</v>
      </c>
      <c r="Z65" s="341"/>
      <c r="AA65" s="343" t="s">
        <v>210</v>
      </c>
      <c r="AB65" s="341">
        <v>1428</v>
      </c>
      <c r="AC65" s="342">
        <v>1</v>
      </c>
      <c r="AD65" s="341"/>
      <c r="AE65" s="341"/>
    </row>
    <row r="66" spans="1:31" ht="20.100000000000001" customHeight="1">
      <c r="A66" s="82"/>
      <c r="B66" s="82"/>
      <c r="C66" s="82"/>
      <c r="D66" s="82"/>
      <c r="E66" s="82"/>
      <c r="F66" s="82"/>
      <c r="G66" s="82"/>
      <c r="H66" s="82"/>
      <c r="I66" s="84" t="str">
        <f>W54</f>
        <v>Kiti</v>
      </c>
      <c r="J66" s="82"/>
      <c r="K66" s="82"/>
      <c r="L66" s="82"/>
      <c r="M66" s="82"/>
      <c r="N66" s="82"/>
      <c r="O66" s="82"/>
      <c r="P66" s="82"/>
      <c r="Q66" s="82"/>
      <c r="R66" s="82"/>
      <c r="S66" s="84" t="str">
        <f>AA54</f>
        <v>Kiti</v>
      </c>
      <c r="T66" s="82"/>
      <c r="U66" s="82"/>
      <c r="V66" s="341"/>
      <c r="W66" s="445" t="s">
        <v>471</v>
      </c>
      <c r="X66" s="445"/>
      <c r="Y66" s="445"/>
      <c r="Z66" s="341"/>
      <c r="AA66" s="445" t="s">
        <v>478</v>
      </c>
      <c r="AB66" s="445"/>
      <c r="AC66" s="445"/>
      <c r="AD66" s="341"/>
      <c r="AE66" s="341"/>
    </row>
    <row r="67" spans="1:31" ht="24.95" customHeight="1">
      <c r="A67" s="82"/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341"/>
      <c r="W67" s="341" t="s">
        <v>26</v>
      </c>
      <c r="X67" s="341">
        <v>287</v>
      </c>
      <c r="Y67" s="342">
        <v>0.17103694874851014</v>
      </c>
      <c r="Z67" s="341"/>
      <c r="AA67" s="341" t="s">
        <v>26</v>
      </c>
      <c r="AB67" s="341">
        <v>478</v>
      </c>
      <c r="AC67" s="342">
        <v>0.28934624697336564</v>
      </c>
      <c r="AD67" s="341"/>
      <c r="AE67" s="341"/>
    </row>
    <row r="68" spans="1:31" ht="24.95" customHeight="1">
      <c r="A68" s="82"/>
      <c r="B68" s="82"/>
      <c r="C68" s="446" t="str">
        <f>W66</f>
        <v>Vyrai, 75 ir daugiau metų (1678 atv.)</v>
      </c>
      <c r="D68" s="446"/>
      <c r="E68" s="446"/>
      <c r="F68" s="446"/>
      <c r="G68" s="446"/>
      <c r="H68" s="446"/>
      <c r="I68" s="446"/>
      <c r="J68" s="82"/>
      <c r="K68" s="82"/>
      <c r="L68" s="82"/>
      <c r="M68" s="446" t="str">
        <f>AA66</f>
        <v>Moterys, 75 ir daugiau metų (1652 atv.)</v>
      </c>
      <c r="N68" s="446"/>
      <c r="O68" s="446"/>
      <c r="P68" s="446"/>
      <c r="Q68" s="446"/>
      <c r="R68" s="446"/>
      <c r="S68" s="446"/>
      <c r="T68" s="82"/>
      <c r="U68" s="82"/>
      <c r="V68" s="341"/>
      <c r="W68" s="341" t="s">
        <v>227</v>
      </c>
      <c r="X68" s="341">
        <v>57</v>
      </c>
      <c r="Y68" s="342">
        <v>3.396901072705602E-2</v>
      </c>
      <c r="Z68" s="341"/>
      <c r="AA68" s="341" t="s">
        <v>233</v>
      </c>
      <c r="AB68" s="341">
        <v>65</v>
      </c>
      <c r="AC68" s="342">
        <v>3.9346246973365619E-2</v>
      </c>
      <c r="AD68" s="341"/>
      <c r="AE68" s="341"/>
    </row>
    <row r="69" spans="1:31" ht="20.100000000000001" customHeight="1">
      <c r="A69" s="82"/>
      <c r="B69" s="82"/>
      <c r="C69" s="82"/>
      <c r="D69" s="82"/>
      <c r="E69" s="82"/>
      <c r="F69" s="82"/>
      <c r="G69" s="82"/>
      <c r="H69" s="82"/>
      <c r="I69" s="84" t="str">
        <f>W77</f>
        <v>Priešinės liaukos</v>
      </c>
      <c r="J69" s="82"/>
      <c r="K69" s="82"/>
      <c r="L69" s="82"/>
      <c r="M69" s="82"/>
      <c r="N69" s="82"/>
      <c r="O69" s="82"/>
      <c r="P69" s="82"/>
      <c r="Q69" s="82"/>
      <c r="R69" s="82"/>
      <c r="S69" s="84" t="str">
        <f>AA77</f>
        <v>Krūties</v>
      </c>
      <c r="T69" s="82"/>
      <c r="U69" s="82"/>
      <c r="V69" s="341"/>
      <c r="W69" s="341" t="s">
        <v>213</v>
      </c>
      <c r="X69" s="341">
        <v>62</v>
      </c>
      <c r="Y69" s="342">
        <v>3.6948748510131108E-2</v>
      </c>
      <c r="Z69" s="341"/>
      <c r="AA69" s="341" t="s">
        <v>227</v>
      </c>
      <c r="AB69" s="341">
        <v>89</v>
      </c>
      <c r="AC69" s="342">
        <v>5.387409200968523E-2</v>
      </c>
      <c r="AD69" s="341"/>
      <c r="AE69" s="341"/>
    </row>
    <row r="70" spans="1:31" ht="20.100000000000001" customHeight="1">
      <c r="A70" s="82"/>
      <c r="B70" s="82"/>
      <c r="C70" s="82"/>
      <c r="D70" s="82"/>
      <c r="E70" s="82"/>
      <c r="F70" s="82"/>
      <c r="G70" s="82"/>
      <c r="H70" s="82"/>
      <c r="I70" s="84" t="str">
        <f>W76</f>
        <v>Plaučių, trachėjos, bronchų</v>
      </c>
      <c r="J70" s="82"/>
      <c r="K70" s="82"/>
      <c r="L70" s="82"/>
      <c r="M70" s="82"/>
      <c r="N70" s="82"/>
      <c r="O70" s="82"/>
      <c r="P70" s="82"/>
      <c r="Q70" s="82"/>
      <c r="R70" s="82"/>
      <c r="S70" s="84" t="str">
        <f>AA76</f>
        <v>Gaubtinės žarnos</v>
      </c>
      <c r="T70" s="82"/>
      <c r="U70" s="82"/>
      <c r="V70" s="341"/>
      <c r="W70" s="341" t="s">
        <v>219</v>
      </c>
      <c r="X70" s="341">
        <v>66</v>
      </c>
      <c r="Y70" s="342">
        <v>3.9332538736591177E-2</v>
      </c>
      <c r="Z70" s="341"/>
      <c r="AA70" s="341" t="s">
        <v>231</v>
      </c>
      <c r="AB70" s="341">
        <v>104</v>
      </c>
      <c r="AC70" s="342">
        <v>6.2953995157384993E-2</v>
      </c>
      <c r="AD70" s="341"/>
      <c r="AE70" s="341"/>
    </row>
    <row r="71" spans="1:31" ht="20.100000000000001" customHeight="1">
      <c r="A71" s="82"/>
      <c r="B71" s="82"/>
      <c r="C71" s="82"/>
      <c r="D71" s="82"/>
      <c r="E71" s="82"/>
      <c r="F71" s="82"/>
      <c r="G71" s="82"/>
      <c r="H71" s="82"/>
      <c r="I71" s="84" t="str">
        <f>W75</f>
        <v>Skrandžio</v>
      </c>
      <c r="J71" s="82"/>
      <c r="K71" s="82"/>
      <c r="L71" s="82"/>
      <c r="M71" s="82"/>
      <c r="N71" s="82"/>
      <c r="O71" s="82"/>
      <c r="P71" s="82"/>
      <c r="Q71" s="82"/>
      <c r="R71" s="82"/>
      <c r="S71" s="84" t="str">
        <f>AA75</f>
        <v>Skrandžio</v>
      </c>
      <c r="T71" s="82"/>
      <c r="U71" s="82"/>
      <c r="V71" s="341"/>
      <c r="W71" s="341" t="s">
        <v>237</v>
      </c>
      <c r="X71" s="341">
        <v>87</v>
      </c>
      <c r="Y71" s="342">
        <v>5.1847437425506557E-2</v>
      </c>
      <c r="Z71" s="341"/>
      <c r="AA71" s="341" t="s">
        <v>237</v>
      </c>
      <c r="AB71" s="341">
        <v>104</v>
      </c>
      <c r="AC71" s="342">
        <v>6.2953995157384993E-2</v>
      </c>
      <c r="AD71" s="341"/>
      <c r="AE71" s="341"/>
    </row>
    <row r="72" spans="1:31" ht="20.100000000000001" customHeight="1">
      <c r="A72" s="82"/>
      <c r="B72" s="82"/>
      <c r="C72" s="82"/>
      <c r="D72" s="82"/>
      <c r="E72" s="82"/>
      <c r="F72" s="82"/>
      <c r="G72" s="82"/>
      <c r="H72" s="82"/>
      <c r="I72" s="84" t="str">
        <f>W74</f>
        <v>Gaubtinės žarnos</v>
      </c>
      <c r="J72" s="82"/>
      <c r="K72" s="82"/>
      <c r="L72" s="82"/>
      <c r="M72" s="82"/>
      <c r="N72" s="82"/>
      <c r="O72" s="82"/>
      <c r="P72" s="82"/>
      <c r="Q72" s="82"/>
      <c r="R72" s="82"/>
      <c r="S72" s="84" t="str">
        <f>AA74</f>
        <v>Kasos</v>
      </c>
      <c r="T72" s="82"/>
      <c r="U72" s="82"/>
      <c r="V72" s="341"/>
      <c r="W72" s="341" t="s">
        <v>220</v>
      </c>
      <c r="X72" s="341">
        <v>102</v>
      </c>
      <c r="Y72" s="342">
        <v>6.0786650774731825E-2</v>
      </c>
      <c r="Z72" s="341"/>
      <c r="AA72" s="341" t="s">
        <v>212</v>
      </c>
      <c r="AB72" s="341">
        <v>110</v>
      </c>
      <c r="AC72" s="342">
        <v>6.6585956416464892E-2</v>
      </c>
      <c r="AD72" s="341"/>
      <c r="AE72" s="341"/>
    </row>
    <row r="73" spans="1:31" ht="20.100000000000001" customHeight="1">
      <c r="A73" s="82"/>
      <c r="B73" s="82"/>
      <c r="C73" s="82"/>
      <c r="D73" s="82"/>
      <c r="E73" s="82"/>
      <c r="F73" s="82"/>
      <c r="G73" s="82"/>
      <c r="H73" s="82"/>
      <c r="I73" s="84" t="str">
        <f>W73</f>
        <v>Tiesiosios žarnos, išangės</v>
      </c>
      <c r="J73" s="82"/>
      <c r="K73" s="82"/>
      <c r="L73" s="82"/>
      <c r="M73" s="82"/>
      <c r="N73" s="82"/>
      <c r="O73" s="82"/>
      <c r="P73" s="82"/>
      <c r="Q73" s="82"/>
      <c r="R73" s="82"/>
      <c r="S73" s="84" t="str">
        <f>AA73</f>
        <v>Plaučių, trachėjos, bronchų</v>
      </c>
      <c r="T73" s="82"/>
      <c r="U73" s="82"/>
      <c r="V73" s="341"/>
      <c r="W73" s="341" t="s">
        <v>212</v>
      </c>
      <c r="X73" s="341">
        <v>112</v>
      </c>
      <c r="Y73" s="342">
        <v>6.6746126340882006E-2</v>
      </c>
      <c r="Z73" s="341"/>
      <c r="AA73" s="341" t="s">
        <v>217</v>
      </c>
      <c r="AB73" s="341">
        <v>112</v>
      </c>
      <c r="AC73" s="342">
        <v>6.7796610169491525E-2</v>
      </c>
      <c r="AD73" s="341"/>
      <c r="AE73" s="341"/>
    </row>
    <row r="74" spans="1:31" ht="20.100000000000001" customHeight="1">
      <c r="A74" s="82"/>
      <c r="B74" s="82"/>
      <c r="C74" s="82"/>
      <c r="D74" s="82"/>
      <c r="E74" s="82"/>
      <c r="F74" s="82"/>
      <c r="G74" s="82"/>
      <c r="H74" s="82"/>
      <c r="I74" s="84" t="str">
        <f>W72</f>
        <v>Šlapimo pūslės</v>
      </c>
      <c r="J74" s="82"/>
      <c r="K74" s="82"/>
      <c r="L74" s="82"/>
      <c r="M74" s="82"/>
      <c r="N74" s="82"/>
      <c r="O74" s="82"/>
      <c r="P74" s="82"/>
      <c r="Q74" s="82"/>
      <c r="R74" s="82"/>
      <c r="S74" s="84" t="str">
        <f>AA72</f>
        <v>Tiesiosios žarnos, išangės</v>
      </c>
      <c r="T74" s="82"/>
      <c r="U74" s="82"/>
      <c r="V74" s="341"/>
      <c r="W74" s="341" t="s">
        <v>214</v>
      </c>
      <c r="X74" s="341">
        <v>116</v>
      </c>
      <c r="Y74" s="342">
        <v>6.9129916567342076E-2</v>
      </c>
      <c r="Z74" s="341"/>
      <c r="AA74" s="341" t="s">
        <v>219</v>
      </c>
      <c r="AB74" s="341">
        <v>119</v>
      </c>
      <c r="AC74" s="342">
        <v>7.2033898305084748E-2</v>
      </c>
      <c r="AD74" s="341"/>
      <c r="AE74" s="341"/>
    </row>
    <row r="75" spans="1:31" ht="20.100000000000001" customHeight="1">
      <c r="A75" s="82"/>
      <c r="B75" s="82"/>
      <c r="C75" s="82"/>
      <c r="D75" s="82"/>
      <c r="E75" s="82"/>
      <c r="F75" s="82"/>
      <c r="G75" s="82"/>
      <c r="H75" s="82"/>
      <c r="I75" s="84" t="str">
        <f>W71</f>
        <v>Nepatikslintos lokalizacijos</v>
      </c>
      <c r="J75" s="82"/>
      <c r="K75" s="82"/>
      <c r="L75" s="82"/>
      <c r="M75" s="82"/>
      <c r="N75" s="82"/>
      <c r="O75" s="82"/>
      <c r="P75" s="82"/>
      <c r="Q75" s="82"/>
      <c r="R75" s="82"/>
      <c r="S75" s="84" t="str">
        <f>AA71</f>
        <v>Nepatikslintos lokalizacijos</v>
      </c>
      <c r="T75" s="82"/>
      <c r="U75" s="82"/>
      <c r="V75" s="341"/>
      <c r="W75" s="341" t="s">
        <v>215</v>
      </c>
      <c r="X75" s="341">
        <v>146</v>
      </c>
      <c r="Y75" s="342">
        <v>8.7008343265792612E-2</v>
      </c>
      <c r="Z75" s="341"/>
      <c r="AA75" s="341" t="s">
        <v>215</v>
      </c>
      <c r="AB75" s="341">
        <v>130</v>
      </c>
      <c r="AC75" s="342">
        <v>7.8692493946731237E-2</v>
      </c>
      <c r="AD75" s="341"/>
      <c r="AE75" s="341"/>
    </row>
    <row r="76" spans="1:31" ht="20.100000000000001" customHeight="1">
      <c r="A76" s="82"/>
      <c r="B76" s="82"/>
      <c r="C76" s="82"/>
      <c r="D76" s="82"/>
      <c r="E76" s="82"/>
      <c r="F76" s="82"/>
      <c r="G76" s="82"/>
      <c r="H76" s="82"/>
      <c r="I76" s="84" t="str">
        <f>W70</f>
        <v>Kasos</v>
      </c>
      <c r="J76" s="82"/>
      <c r="K76" s="82"/>
      <c r="L76" s="82"/>
      <c r="M76" s="82"/>
      <c r="N76" s="82"/>
      <c r="O76" s="82"/>
      <c r="P76" s="82"/>
      <c r="Q76" s="82"/>
      <c r="R76" s="82"/>
      <c r="S76" s="84" t="str">
        <f>AA70</f>
        <v>Kiaušidžių</v>
      </c>
      <c r="T76" s="82"/>
      <c r="U76" s="82"/>
      <c r="V76" s="341"/>
      <c r="W76" s="341" t="s">
        <v>217</v>
      </c>
      <c r="X76" s="341">
        <v>309</v>
      </c>
      <c r="Y76" s="342">
        <v>0.18414779499404052</v>
      </c>
      <c r="Z76" s="341"/>
      <c r="AA76" s="341" t="s">
        <v>214</v>
      </c>
      <c r="AB76" s="341">
        <v>155</v>
      </c>
      <c r="AC76" s="342">
        <v>9.3825665859564158E-2</v>
      </c>
      <c r="AD76" s="341"/>
      <c r="AE76" s="341"/>
    </row>
    <row r="77" spans="1:31" ht="20.100000000000001" customHeight="1">
      <c r="A77" s="82"/>
      <c r="B77" s="82"/>
      <c r="C77" s="82"/>
      <c r="D77" s="82"/>
      <c r="E77" s="82"/>
      <c r="F77" s="82"/>
      <c r="G77" s="82"/>
      <c r="H77" s="82"/>
      <c r="I77" s="84" t="str">
        <f>W69</f>
        <v>Inkstų</v>
      </c>
      <c r="J77" s="82"/>
      <c r="K77" s="82"/>
      <c r="L77" s="82"/>
      <c r="M77" s="82"/>
      <c r="N77" s="82"/>
      <c r="O77" s="82"/>
      <c r="P77" s="82"/>
      <c r="Q77" s="82"/>
      <c r="R77" s="82"/>
      <c r="S77" s="84" t="str">
        <f>AA69</f>
        <v>Leukemijos</v>
      </c>
      <c r="T77" s="82"/>
      <c r="U77" s="82"/>
      <c r="V77" s="341"/>
      <c r="W77" s="341" t="s">
        <v>218</v>
      </c>
      <c r="X77" s="341">
        <v>334</v>
      </c>
      <c r="Y77" s="342">
        <v>0.19904648390941598</v>
      </c>
      <c r="Z77" s="341"/>
      <c r="AA77" s="341" t="s">
        <v>234</v>
      </c>
      <c r="AB77" s="341">
        <v>186</v>
      </c>
      <c r="AC77" s="342">
        <v>0.11259079903147699</v>
      </c>
      <c r="AD77" s="341"/>
      <c r="AE77" s="341"/>
    </row>
    <row r="78" spans="1:31" ht="20.100000000000001" customHeight="1">
      <c r="A78" s="82"/>
      <c r="B78" s="82"/>
      <c r="C78" s="82"/>
      <c r="D78" s="82"/>
      <c r="E78" s="82"/>
      <c r="F78" s="82"/>
      <c r="G78" s="82"/>
      <c r="H78" s="82"/>
      <c r="I78" s="84" t="str">
        <f>W68</f>
        <v>Leukemijos</v>
      </c>
      <c r="J78" s="82"/>
      <c r="K78" s="82"/>
      <c r="L78" s="82"/>
      <c r="M78" s="82"/>
      <c r="N78" s="82"/>
      <c r="O78" s="82"/>
      <c r="P78" s="82"/>
      <c r="Q78" s="82"/>
      <c r="R78" s="82"/>
      <c r="S78" s="84" t="str">
        <f>AA68</f>
        <v>Gimdos kūno</v>
      </c>
      <c r="T78" s="82"/>
      <c r="U78" s="82"/>
      <c r="V78" s="341"/>
      <c r="W78" s="343" t="s">
        <v>210</v>
      </c>
      <c r="X78" s="341">
        <v>1678</v>
      </c>
      <c r="Y78" s="342">
        <v>1.0000000000000002</v>
      </c>
      <c r="Z78" s="341"/>
      <c r="AA78" s="343" t="s">
        <v>210</v>
      </c>
      <c r="AB78" s="341">
        <v>1652</v>
      </c>
      <c r="AC78" s="342">
        <v>1.0000000000000002</v>
      </c>
      <c r="AD78" s="341"/>
      <c r="AE78" s="341"/>
    </row>
    <row r="79" spans="1:31" ht="20.100000000000001" customHeight="1">
      <c r="A79" s="82"/>
      <c r="B79" s="82"/>
      <c r="C79" s="82"/>
      <c r="D79" s="82"/>
      <c r="E79" s="82"/>
      <c r="F79" s="82"/>
      <c r="G79" s="82"/>
      <c r="H79" s="82"/>
      <c r="I79" s="84" t="str">
        <f>W67</f>
        <v>Kiti</v>
      </c>
      <c r="J79" s="82"/>
      <c r="K79" s="82"/>
      <c r="L79" s="82"/>
      <c r="M79" s="82"/>
      <c r="N79" s="82"/>
      <c r="O79" s="82"/>
      <c r="P79" s="82"/>
      <c r="Q79" s="82"/>
      <c r="R79" s="82"/>
      <c r="S79" s="84" t="str">
        <f>AA67</f>
        <v>Kiti</v>
      </c>
      <c r="T79" s="82"/>
      <c r="U79" s="82"/>
      <c r="V79" s="341"/>
      <c r="W79" s="341"/>
      <c r="X79" s="341"/>
      <c r="Y79" s="341"/>
      <c r="Z79" s="341"/>
      <c r="AA79" s="341"/>
      <c r="AB79" s="341"/>
      <c r="AC79" s="341"/>
      <c r="AD79" s="341"/>
      <c r="AE79" s="341"/>
    </row>
    <row r="80" spans="1:31" ht="20.100000000000001" customHeight="1">
      <c r="A80" s="82"/>
      <c r="B80" s="82"/>
      <c r="C80" s="82"/>
      <c r="D80" s="82"/>
      <c r="E80" s="82"/>
      <c r="F80" s="82"/>
      <c r="G80" s="82"/>
      <c r="H80" s="82"/>
      <c r="I80" s="82"/>
      <c r="J80" s="82"/>
      <c r="K80" s="82"/>
      <c r="L80" s="82"/>
      <c r="M80" s="82"/>
      <c r="N80" s="82"/>
      <c r="O80" s="82"/>
      <c r="P80" s="82"/>
      <c r="Q80" s="82"/>
      <c r="R80" s="82"/>
      <c r="S80" s="82"/>
      <c r="T80" s="82"/>
      <c r="U80" s="82"/>
      <c r="V80" s="341"/>
      <c r="W80" s="341"/>
      <c r="X80" s="341"/>
      <c r="Y80" s="341"/>
      <c r="Z80" s="341"/>
      <c r="AA80" s="341"/>
      <c r="AB80" s="341"/>
      <c r="AC80" s="341"/>
      <c r="AD80" s="341"/>
      <c r="AE80" s="341"/>
    </row>
    <row r="81" spans="1:31">
      <c r="A81" s="82"/>
      <c r="B81" s="82"/>
      <c r="C81" s="82"/>
      <c r="D81" s="82"/>
      <c r="E81" s="82"/>
      <c r="F81" s="82"/>
      <c r="G81" s="82"/>
      <c r="H81" s="82"/>
      <c r="I81" s="82"/>
      <c r="J81" s="82"/>
      <c r="K81" s="82"/>
      <c r="L81" s="82"/>
      <c r="M81" s="82"/>
      <c r="N81" s="82"/>
      <c r="O81" s="82"/>
      <c r="P81" s="82"/>
      <c r="Q81" s="82"/>
      <c r="R81" s="82"/>
      <c r="S81" s="82"/>
      <c r="T81" s="82"/>
      <c r="U81" s="82"/>
      <c r="V81" s="341"/>
      <c r="W81" s="341"/>
      <c r="X81" s="341"/>
      <c r="Y81" s="341"/>
      <c r="Z81" s="341"/>
      <c r="AA81" s="341"/>
      <c r="AB81" s="341"/>
      <c r="AC81" s="341"/>
      <c r="AD81" s="341"/>
      <c r="AE81" s="341"/>
    </row>
  </sheetData>
  <mergeCells count="24">
    <mergeCell ref="C55:I55"/>
    <mergeCell ref="M55:S55"/>
    <mergeCell ref="W66:Y66"/>
    <mergeCell ref="AA66:AC66"/>
    <mergeCell ref="C68:I68"/>
    <mergeCell ref="M68:S68"/>
    <mergeCell ref="W40:Y40"/>
    <mergeCell ref="AA40:AC40"/>
    <mergeCell ref="C42:I42"/>
    <mergeCell ref="M42:S42"/>
    <mergeCell ref="W53:Y53"/>
    <mergeCell ref="AA53:AC53"/>
    <mergeCell ref="C16:I16"/>
    <mergeCell ref="M16:S16"/>
    <mergeCell ref="W27:Y27"/>
    <mergeCell ref="AA27:AC27"/>
    <mergeCell ref="C29:I29"/>
    <mergeCell ref="M29:S29"/>
    <mergeCell ref="W1:Y1"/>
    <mergeCell ref="AA1:AC1"/>
    <mergeCell ref="C3:I3"/>
    <mergeCell ref="M3:S3"/>
    <mergeCell ref="W14:Y14"/>
    <mergeCell ref="AA14:AC14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3">
    <tabColor rgb="FFFFC000"/>
  </sheetPr>
  <dimension ref="A1:NX145"/>
  <sheetViews>
    <sheetView workbookViewId="0">
      <selection activeCell="B4" sqref="B4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207" customWidth="1"/>
    <col min="9" max="16" width="0.85546875" style="207" customWidth="1"/>
    <col min="17" max="17" width="9.42578125" style="207" customWidth="1"/>
    <col min="18" max="18" width="32.42578125" bestFit="1" customWidth="1"/>
    <col min="19" max="19" width="7.85546875" bestFit="1" customWidth="1"/>
    <col min="20" max="23" width="6.140625" bestFit="1" customWidth="1"/>
    <col min="24" max="24" width="6.85546875" bestFit="1" customWidth="1"/>
    <col min="25" max="25" width="6.42578125" bestFit="1" customWidth="1"/>
    <col min="26" max="29" width="6.140625" bestFit="1" customWidth="1"/>
    <col min="30" max="37" width="7" bestFit="1" customWidth="1"/>
    <col min="38" max="38" width="32.42578125" bestFit="1" customWidth="1"/>
    <col min="39" max="39" width="7.85546875" bestFit="1" customWidth="1"/>
    <col min="40" max="43" width="6.140625" bestFit="1" customWidth="1"/>
    <col min="44" max="44" width="6.85546875" bestFit="1" customWidth="1"/>
    <col min="45" max="45" width="7.5703125" bestFit="1" customWidth="1"/>
    <col min="46" max="49" width="6.140625" bestFit="1" customWidth="1"/>
    <col min="50" max="55" width="7" bestFit="1" customWidth="1"/>
    <col min="56" max="57" width="6.140625" bestFit="1" customWidth="1"/>
  </cols>
  <sheetData>
    <row r="1" spans="1:57" ht="15">
      <c r="A1" s="30"/>
      <c r="B1" s="539" t="s">
        <v>402</v>
      </c>
      <c r="C1" s="539"/>
      <c r="D1" s="539"/>
      <c r="E1" s="519"/>
      <c r="F1" s="516"/>
      <c r="G1" s="30"/>
      <c r="H1" s="58"/>
      <c r="I1" s="58"/>
      <c r="J1" s="58"/>
      <c r="K1" s="58"/>
      <c r="L1" s="58"/>
      <c r="M1" s="58"/>
      <c r="N1" s="58"/>
      <c r="O1" s="58"/>
      <c r="P1" s="58"/>
      <c r="Q1" s="311"/>
      <c r="R1" s="447" t="s">
        <v>414</v>
      </c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447" t="s">
        <v>415</v>
      </c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</row>
    <row r="2" spans="1:57" ht="12.6" customHeight="1">
      <c r="A2" s="30"/>
      <c r="B2" s="516" t="str">
        <f>"Mirtingumas nuo piktybinių navikų Lietuvoje  " &amp; GrafikaiSerg!A1 &amp; " metais. Vyrai ir moterys"</f>
        <v>Mirtingumas nuo piktybinių navikų Lietuvoje  2014 metais. Vyrai ir moterys</v>
      </c>
      <c r="C2" s="516"/>
      <c r="D2" s="516"/>
      <c r="E2" s="517"/>
      <c r="F2" s="516"/>
      <c r="G2" s="30"/>
      <c r="H2" s="58"/>
      <c r="I2" s="58"/>
      <c r="J2" s="58"/>
      <c r="K2" s="58"/>
      <c r="L2" s="58"/>
      <c r="M2" s="58"/>
      <c r="N2" s="58"/>
      <c r="O2" s="58"/>
      <c r="P2" s="58"/>
      <c r="Q2" s="311"/>
      <c r="R2" s="447"/>
      <c r="S2" s="313" t="s">
        <v>354</v>
      </c>
      <c r="T2" s="448" t="s">
        <v>358</v>
      </c>
      <c r="U2" s="448"/>
      <c r="V2" s="448"/>
      <c r="W2" s="315">
        <f>GrafikaiSerg!A1</f>
        <v>2014</v>
      </c>
      <c r="X2" s="312" t="s">
        <v>357</v>
      </c>
      <c r="Y2" s="328" t="str">
        <f>CONCATENATE("pop",RIGHT(W2,2),"m")</f>
        <v>pop14m</v>
      </c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447"/>
      <c r="AM2" s="313" t="s">
        <v>354</v>
      </c>
      <c r="AN2" s="448" t="s">
        <v>358</v>
      </c>
      <c r="AO2" s="448"/>
      <c r="AP2" s="448"/>
      <c r="AQ2" s="315">
        <f>W2</f>
        <v>2014</v>
      </c>
      <c r="AR2" s="312" t="s">
        <v>357</v>
      </c>
      <c r="AS2" s="312" t="str">
        <f>CONCATENATE("pop",RIGHT(AQ2,2),"m")</f>
        <v>pop14m</v>
      </c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</row>
    <row r="3" spans="1:57" ht="12.6" customHeight="1">
      <c r="A3" s="30"/>
      <c r="B3" s="30"/>
      <c r="C3" s="30"/>
      <c r="D3" s="30"/>
      <c r="E3" s="30"/>
      <c r="F3" s="57"/>
      <c r="G3" s="57"/>
      <c r="H3" s="58"/>
      <c r="I3" s="58"/>
      <c r="J3" s="58"/>
      <c r="K3" s="58"/>
      <c r="L3" s="58"/>
      <c r="M3" s="58"/>
      <c r="N3" s="58"/>
      <c r="O3" s="58"/>
      <c r="P3" s="58"/>
      <c r="Q3" s="317"/>
      <c r="R3" s="329" t="s">
        <v>408</v>
      </c>
      <c r="S3" s="330">
        <f>SUM(T3:AK3)</f>
        <v>100000</v>
      </c>
      <c r="T3" s="331">
        <v>8000</v>
      </c>
      <c r="U3" s="331">
        <v>7000</v>
      </c>
      <c r="V3" s="331">
        <v>7000</v>
      </c>
      <c r="W3" s="331">
        <v>7000</v>
      </c>
      <c r="X3" s="331">
        <v>7000</v>
      </c>
      <c r="Y3" s="331">
        <v>7000</v>
      </c>
      <c r="Z3" s="331">
        <v>7000</v>
      </c>
      <c r="AA3" s="331">
        <v>7000</v>
      </c>
      <c r="AB3" s="331">
        <v>7000</v>
      </c>
      <c r="AC3" s="331">
        <v>7000</v>
      </c>
      <c r="AD3" s="331">
        <v>7000</v>
      </c>
      <c r="AE3" s="331">
        <v>6000</v>
      </c>
      <c r="AF3" s="331">
        <v>5000</v>
      </c>
      <c r="AG3" s="331">
        <v>4000</v>
      </c>
      <c r="AH3" s="331">
        <v>3000</v>
      </c>
      <c r="AI3" s="331">
        <v>2000</v>
      </c>
      <c r="AJ3" s="331">
        <v>1000</v>
      </c>
      <c r="AK3" s="331">
        <v>1000</v>
      </c>
      <c r="AL3" s="329" t="s">
        <v>409</v>
      </c>
      <c r="AM3" s="330">
        <f>SUM(AN3:BE3)</f>
        <v>100000</v>
      </c>
      <c r="AN3" s="328">
        <v>12000</v>
      </c>
      <c r="AO3" s="328">
        <v>10000</v>
      </c>
      <c r="AP3" s="328">
        <v>9000</v>
      </c>
      <c r="AQ3" s="328">
        <v>9000</v>
      </c>
      <c r="AR3" s="328">
        <v>8000</v>
      </c>
      <c r="AS3" s="328">
        <v>8000</v>
      </c>
      <c r="AT3" s="328">
        <v>6000</v>
      </c>
      <c r="AU3" s="328">
        <v>6000</v>
      </c>
      <c r="AV3" s="328">
        <v>6000</v>
      </c>
      <c r="AW3" s="328">
        <v>6000</v>
      </c>
      <c r="AX3" s="328">
        <v>5000</v>
      </c>
      <c r="AY3" s="328">
        <v>4000</v>
      </c>
      <c r="AZ3" s="328">
        <v>4000</v>
      </c>
      <c r="BA3" s="328">
        <v>3000</v>
      </c>
      <c r="BB3" s="328">
        <v>2000</v>
      </c>
      <c r="BC3" s="328">
        <v>1000</v>
      </c>
      <c r="BD3" s="328">
        <v>500</v>
      </c>
      <c r="BE3" s="328">
        <v>500</v>
      </c>
    </row>
    <row r="4" spans="1:57" ht="12.6" customHeight="1">
      <c r="A4" s="30"/>
      <c r="B4" s="63" t="s">
        <v>627</v>
      </c>
      <c r="C4" s="30"/>
      <c r="D4" s="30"/>
      <c r="E4" s="30"/>
      <c r="F4" s="57"/>
      <c r="G4" s="57"/>
      <c r="H4" s="58"/>
      <c r="I4" s="58"/>
      <c r="J4" s="58"/>
      <c r="K4" s="58"/>
      <c r="L4" s="58"/>
      <c r="M4" s="58"/>
      <c r="N4" s="58"/>
      <c r="O4" s="58"/>
      <c r="P4" s="58"/>
      <c r="Q4" s="317"/>
      <c r="R4" s="329" t="s">
        <v>416</v>
      </c>
      <c r="S4" s="330">
        <f>SUM(T4:AK4)</f>
        <v>1351126</v>
      </c>
      <c r="T4" s="331">
        <f>HLOOKUP($Y$2,Populiacija!$B$1:$BB$20,2,FALSE)</f>
        <v>77249</v>
      </c>
      <c r="U4" s="331">
        <f>HLOOKUP($Y$2,Populiacija!$B$1:$BB$20,3,FALSE)</f>
        <v>69932</v>
      </c>
      <c r="V4" s="331">
        <f>HLOOKUP($Y$2,Populiacija!$B$1:$BB$20,4,FALSE)</f>
        <v>72002</v>
      </c>
      <c r="W4" s="331">
        <f>HLOOKUP($Y$2,Populiacija!$B$1:$BB$20,5,FALSE)</f>
        <v>89285</v>
      </c>
      <c r="X4" s="331">
        <f>HLOOKUP($Y$2,Populiacija!$B$1:$BB$20,6,FALSE)</f>
        <v>108219</v>
      </c>
      <c r="Y4" s="331">
        <f>HLOOKUP($Y$2,Populiacija!$B$1:$BB$20,7,FALSE)</f>
        <v>99919</v>
      </c>
      <c r="Z4" s="331">
        <f>HLOOKUP($Y$2,Populiacija!$B$1:$BB$20,8,FALSE)</f>
        <v>89381</v>
      </c>
      <c r="AA4" s="331">
        <f>HLOOKUP($Y$2,Populiacija!$B$1:$BB$20,9,FALSE)</f>
        <v>89203</v>
      </c>
      <c r="AB4" s="331">
        <f>HLOOKUP($Y$2,Populiacija!$B$1:$BB$20,10,FALSE)</f>
        <v>98505</v>
      </c>
      <c r="AC4" s="331">
        <f>HLOOKUP($Y$2,Populiacija!$B$1:$BB$20,11,FALSE)</f>
        <v>100503</v>
      </c>
      <c r="AD4" s="331">
        <f>HLOOKUP($Y$2,Populiacija!$B$1:$BB$20,12,FALSE)</f>
        <v>108547</v>
      </c>
      <c r="AE4" s="331">
        <f>HLOOKUP($Y$2,Populiacija!$B$1:$BB$20,13,FALSE)</f>
        <v>92698</v>
      </c>
      <c r="AF4" s="331">
        <f>HLOOKUP($Y$2,Populiacija!$B$1:$BB$20,14,FALSE)</f>
        <v>72507</v>
      </c>
      <c r="AG4" s="331">
        <f>HLOOKUP($Y$2,Populiacija!$B$1:$BB$20,15,FALSE)</f>
        <v>55181</v>
      </c>
      <c r="AH4" s="331">
        <f>HLOOKUP($Y$2,Populiacija!$B$1:$BB$20,16,FALSE)</f>
        <v>49232</v>
      </c>
      <c r="AI4" s="331">
        <f>HLOOKUP($Y$2,Populiacija!$B$1:$BB$20,17,FALSE)</f>
        <v>39442</v>
      </c>
      <c r="AJ4" s="331">
        <f>HLOOKUP($Y$2,Populiacija!$B$1:$BB$20,18,FALSE)</f>
        <v>24969</v>
      </c>
      <c r="AK4" s="331">
        <f>HLOOKUP($Y$2,Populiacija!$B$1:$BB$20,19,FALSE)</f>
        <v>14352</v>
      </c>
      <c r="AL4" s="329" t="s">
        <v>416</v>
      </c>
      <c r="AM4" s="330">
        <f>SUM(AN4:BE4)</f>
        <v>1351126</v>
      </c>
      <c r="AN4" s="328">
        <f>HLOOKUP($Y$2,Populiacija!$B$1:$BB$20,2,FALSE)</f>
        <v>77249</v>
      </c>
      <c r="AO4" s="328">
        <f>HLOOKUP($Y$2,Populiacija!$B$1:$BB$20,3,FALSE)</f>
        <v>69932</v>
      </c>
      <c r="AP4" s="328">
        <f>HLOOKUP($Y$2,Populiacija!$B$1:$BB$20,4,FALSE)</f>
        <v>72002</v>
      </c>
      <c r="AQ4" s="328">
        <f>HLOOKUP($Y$2,Populiacija!$B$1:$BB$20,5,FALSE)</f>
        <v>89285</v>
      </c>
      <c r="AR4" s="328">
        <f>HLOOKUP($Y$2,Populiacija!$B$1:$BB$20,6,FALSE)</f>
        <v>108219</v>
      </c>
      <c r="AS4" s="328">
        <f>HLOOKUP($Y$2,Populiacija!$B$1:$BB$20,7,FALSE)</f>
        <v>99919</v>
      </c>
      <c r="AT4" s="328">
        <f>HLOOKUP($Y$2,Populiacija!$B$1:$BB$20,8,FALSE)</f>
        <v>89381</v>
      </c>
      <c r="AU4" s="328">
        <f>HLOOKUP($Y$2,Populiacija!$B$1:$BB$20,9,FALSE)</f>
        <v>89203</v>
      </c>
      <c r="AV4" s="328">
        <f>HLOOKUP($Y$2,Populiacija!$B$1:$BB$20,10,FALSE)</f>
        <v>98505</v>
      </c>
      <c r="AW4" s="328">
        <f>HLOOKUP($Y$2,Populiacija!$B$1:$BB$20,11,FALSE)</f>
        <v>100503</v>
      </c>
      <c r="AX4" s="328">
        <f>HLOOKUP($Y$2,Populiacija!$B$1:$BB$20,12,FALSE)</f>
        <v>108547</v>
      </c>
      <c r="AY4" s="328">
        <f>HLOOKUP($Y$2,Populiacija!$B$1:$BB$20,13,FALSE)</f>
        <v>92698</v>
      </c>
      <c r="AZ4" s="328">
        <f>HLOOKUP($Y$2,Populiacija!$B$1:$BB$20,14,FALSE)</f>
        <v>72507</v>
      </c>
      <c r="BA4" s="328">
        <f>HLOOKUP($Y$2,Populiacija!$B$1:$BB$20,15,FALSE)</f>
        <v>55181</v>
      </c>
      <c r="BB4" s="328">
        <f>HLOOKUP($Y$2,Populiacija!$B$1:$BB$20,16,FALSE)</f>
        <v>49232</v>
      </c>
      <c r="BC4" s="328">
        <f>HLOOKUP($Y$2,Populiacija!$B$1:$BB$20,17,FALSE)</f>
        <v>39442</v>
      </c>
      <c r="BD4" s="328">
        <f>HLOOKUP($Y$2,Populiacija!$B$1:$BB$20,18,FALSE)</f>
        <v>24969</v>
      </c>
      <c r="BE4" s="328">
        <f>HLOOKUP($Y$2,Populiacija!$B$1:$BB$20,19,FALSE)</f>
        <v>14352</v>
      </c>
    </row>
    <row r="5" spans="1:57" ht="12.6" customHeight="1">
      <c r="A5" s="30"/>
      <c r="B5" s="30"/>
      <c r="C5" s="30"/>
      <c r="D5" s="30"/>
      <c r="E5" s="30"/>
      <c r="F5" s="57"/>
      <c r="G5" s="57"/>
      <c r="H5" s="58"/>
      <c r="I5" s="58"/>
      <c r="J5" s="58"/>
      <c r="K5" s="58"/>
      <c r="L5" s="58"/>
      <c r="M5" s="58"/>
      <c r="N5" s="58"/>
      <c r="O5" s="58"/>
      <c r="P5" s="58"/>
      <c r="Q5" s="317"/>
      <c r="R5" s="329" t="s">
        <v>450</v>
      </c>
      <c r="S5" s="330">
        <f>SUM(T5:AK5)</f>
        <v>1581241</v>
      </c>
      <c r="T5" s="331">
        <f>HLOOKUP($Y$2,Populiacija!$B$1:$BB$40,23,FALSE)</f>
        <v>73541</v>
      </c>
      <c r="U5" s="331">
        <f>HLOOKUP($Y$2,Populiacija!$B$1:$BB$40,24,FALSE)</f>
        <v>66902</v>
      </c>
      <c r="V5" s="331">
        <f>HLOOKUP($Y$2,Populiacija!$B$1:$BB$40,25,FALSE)</f>
        <v>68149</v>
      </c>
      <c r="W5" s="331">
        <f>HLOOKUP($Y$2,Populiacija!$B$1:$BB$40,26,FALSE)</f>
        <v>84512</v>
      </c>
      <c r="X5" s="331">
        <f>HLOOKUP($Y$2,Populiacija!$B$1:$BB$40,27,FALSE)</f>
        <v>101894</v>
      </c>
      <c r="Y5" s="331">
        <f>HLOOKUP($Y$2,Populiacija!$B$1:$BB$40,28,FALSE)</f>
        <v>94972</v>
      </c>
      <c r="Z5" s="331">
        <f>HLOOKUP($Y$2,Populiacija!$B$1:$BB$40,29,FALSE)</f>
        <v>87211</v>
      </c>
      <c r="AA5" s="331">
        <f>HLOOKUP($Y$2,Populiacija!$B$1:$BB$40,30,FALSE)</f>
        <v>92351</v>
      </c>
      <c r="AB5" s="331">
        <f>HLOOKUP($Y$2,Populiacija!$B$1:$BB$40,31,FALSE)</f>
        <v>105582</v>
      </c>
      <c r="AC5" s="331">
        <f>HLOOKUP($Y$2,Populiacija!$B$1:$BB$40,32,FALSE)</f>
        <v>110249</v>
      </c>
      <c r="AD5" s="331">
        <f>HLOOKUP($Y$2,Populiacija!$B$1:$BB$40,33,FALSE)</f>
        <v>123313</v>
      </c>
      <c r="AE5" s="331">
        <f>HLOOKUP($Y$2,Populiacija!$B$1:$BB$40,34,FALSE)</f>
        <v>112753</v>
      </c>
      <c r="AF5" s="331">
        <f>HLOOKUP($Y$2,Populiacija!$B$1:$BB$40,35,FALSE)</f>
        <v>98061</v>
      </c>
      <c r="AG5" s="331">
        <f>HLOOKUP($Y$2,Populiacija!$B$1:$BB$40,36,FALSE)</f>
        <v>85261</v>
      </c>
      <c r="AH5" s="331">
        <f>HLOOKUP($Y$2,Populiacija!$B$1:$BB$40,37,FALSE)</f>
        <v>87053</v>
      </c>
      <c r="AI5" s="331">
        <f>HLOOKUP($Y$2,Populiacija!$B$1:$BB$40,38,FALSE)</f>
        <v>81043</v>
      </c>
      <c r="AJ5" s="331">
        <f>HLOOKUP($Y$2,Populiacija!$B$1:$BB$40,39,FALSE)</f>
        <v>60746</v>
      </c>
      <c r="AK5" s="331">
        <f>HLOOKUP($Y$2,Populiacija!$B$1:$BB$40,40,FALSE)</f>
        <v>47648</v>
      </c>
      <c r="AL5" s="329" t="s">
        <v>450</v>
      </c>
      <c r="AM5" s="330">
        <f>SUM(AN5:BE5)</f>
        <v>1581241</v>
      </c>
      <c r="AN5" s="328">
        <f>HLOOKUP($Y$2,Populiacija!$B$1:$BB$40,23,FALSE)</f>
        <v>73541</v>
      </c>
      <c r="AO5" s="328">
        <f>HLOOKUP($Y$2,Populiacija!$B$1:$BB$40,24,FALSE)</f>
        <v>66902</v>
      </c>
      <c r="AP5" s="328">
        <f>HLOOKUP($Y$2,Populiacija!$B$1:$BB$40,25,FALSE)</f>
        <v>68149</v>
      </c>
      <c r="AQ5" s="328">
        <f>HLOOKUP($Y$2,Populiacija!$B$1:$BB$40,26,FALSE)</f>
        <v>84512</v>
      </c>
      <c r="AR5" s="328">
        <f>HLOOKUP($Y$2,Populiacija!$B$1:$BB$40,27,FALSE)</f>
        <v>101894</v>
      </c>
      <c r="AS5" s="328">
        <f>HLOOKUP($Y$2,Populiacija!$B$1:$BB$40,28,FALSE)</f>
        <v>94972</v>
      </c>
      <c r="AT5" s="328">
        <f>HLOOKUP($Y$2,Populiacija!$B$1:$BB$40,29,FALSE)</f>
        <v>87211</v>
      </c>
      <c r="AU5" s="328">
        <f>HLOOKUP($Y$2,Populiacija!$B$1:$BB$40,30,FALSE)</f>
        <v>92351</v>
      </c>
      <c r="AV5" s="328">
        <f>HLOOKUP($Y$2,Populiacija!$B$1:$BB$40,31,FALSE)</f>
        <v>105582</v>
      </c>
      <c r="AW5" s="328">
        <f>HLOOKUP($Y$2,Populiacija!$B$1:$BB$40,32,FALSE)</f>
        <v>110249</v>
      </c>
      <c r="AX5" s="328">
        <f>HLOOKUP($Y$2,Populiacija!$B$1:$BB$40,33,FALSE)</f>
        <v>123313</v>
      </c>
      <c r="AY5" s="328">
        <f>HLOOKUP($Y$2,Populiacija!$B$1:$BB$40,34,FALSE)</f>
        <v>112753</v>
      </c>
      <c r="AZ5" s="328">
        <f>HLOOKUP($Y$2,Populiacija!$B$1:$BB$40,35,FALSE)</f>
        <v>98061</v>
      </c>
      <c r="BA5" s="328">
        <f>HLOOKUP($Y$2,Populiacija!$B$1:$BB$40,36,FALSE)</f>
        <v>85261</v>
      </c>
      <c r="BB5" s="328">
        <f>HLOOKUP($Y$2,Populiacija!$B$1:$BB$40,37,FALSE)</f>
        <v>87053</v>
      </c>
      <c r="BC5" s="328">
        <f>HLOOKUP($Y$2,Populiacija!$B$1:$BB$40,38,FALSE)</f>
        <v>81043</v>
      </c>
      <c r="BD5" s="328">
        <f>HLOOKUP($Y$2,Populiacija!$B$1:$BB$40,39,FALSE)</f>
        <v>60746</v>
      </c>
      <c r="BE5" s="328">
        <f>HLOOKUP($Y$2,Populiacija!$B$1:$BB$40,40,FALSE)</f>
        <v>47648</v>
      </c>
    </row>
    <row r="6" spans="1:57" ht="12.95" customHeight="1">
      <c r="A6" s="30"/>
      <c r="B6" s="449" t="s">
        <v>351</v>
      </c>
      <c r="C6" s="449" t="s">
        <v>244</v>
      </c>
      <c r="D6" s="451" t="s">
        <v>268</v>
      </c>
      <c r="E6" s="453" t="s">
        <v>355</v>
      </c>
      <c r="F6" s="432" t="s">
        <v>359</v>
      </c>
      <c r="G6" s="432"/>
      <c r="H6" s="58"/>
      <c r="I6" s="58"/>
      <c r="J6" s="58"/>
      <c r="K6" s="58"/>
      <c r="L6" s="58"/>
      <c r="M6" s="58"/>
      <c r="N6" s="58"/>
      <c r="O6" s="58"/>
      <c r="P6" s="58"/>
      <c r="Q6" s="321"/>
      <c r="R6" s="328" t="s">
        <v>451</v>
      </c>
      <c r="S6" s="330">
        <f>SUM(T6:AK6)</f>
        <v>2932367</v>
      </c>
      <c r="T6" s="332">
        <f>SUM(T4:T5)</f>
        <v>150790</v>
      </c>
      <c r="U6" s="332">
        <f t="shared" ref="U6:AK6" si="0">SUM(U4:U5)</f>
        <v>136834</v>
      </c>
      <c r="V6" s="332">
        <f t="shared" si="0"/>
        <v>140151</v>
      </c>
      <c r="W6" s="332">
        <f t="shared" si="0"/>
        <v>173797</v>
      </c>
      <c r="X6" s="332">
        <f t="shared" si="0"/>
        <v>210113</v>
      </c>
      <c r="Y6" s="332">
        <f t="shared" si="0"/>
        <v>194891</v>
      </c>
      <c r="Z6" s="332">
        <f t="shared" si="0"/>
        <v>176592</v>
      </c>
      <c r="AA6" s="332">
        <f t="shared" si="0"/>
        <v>181554</v>
      </c>
      <c r="AB6" s="332">
        <f t="shared" si="0"/>
        <v>204087</v>
      </c>
      <c r="AC6" s="332">
        <f t="shared" si="0"/>
        <v>210752</v>
      </c>
      <c r="AD6" s="332">
        <f t="shared" si="0"/>
        <v>231860</v>
      </c>
      <c r="AE6" s="332">
        <f t="shared" si="0"/>
        <v>205451</v>
      </c>
      <c r="AF6" s="332">
        <f t="shared" si="0"/>
        <v>170568</v>
      </c>
      <c r="AG6" s="332">
        <f t="shared" si="0"/>
        <v>140442</v>
      </c>
      <c r="AH6" s="332">
        <f t="shared" si="0"/>
        <v>136285</v>
      </c>
      <c r="AI6" s="332">
        <f t="shared" si="0"/>
        <v>120485</v>
      </c>
      <c r="AJ6" s="332">
        <f t="shared" si="0"/>
        <v>85715</v>
      </c>
      <c r="AK6" s="332">
        <f t="shared" si="0"/>
        <v>62000</v>
      </c>
      <c r="AL6" s="328" t="s">
        <v>451</v>
      </c>
      <c r="AM6" s="330">
        <f>SUM(AN6:BE6)</f>
        <v>2932367</v>
      </c>
      <c r="AN6" s="332">
        <f>SUM(AN4:AN5)</f>
        <v>150790</v>
      </c>
      <c r="AO6" s="332">
        <f t="shared" ref="AO6:BE6" si="1">SUM(AO4:AO5)</f>
        <v>136834</v>
      </c>
      <c r="AP6" s="332">
        <f t="shared" si="1"/>
        <v>140151</v>
      </c>
      <c r="AQ6" s="332">
        <f t="shared" si="1"/>
        <v>173797</v>
      </c>
      <c r="AR6" s="332">
        <f t="shared" si="1"/>
        <v>210113</v>
      </c>
      <c r="AS6" s="332">
        <f t="shared" si="1"/>
        <v>194891</v>
      </c>
      <c r="AT6" s="332">
        <f t="shared" si="1"/>
        <v>176592</v>
      </c>
      <c r="AU6" s="332">
        <f t="shared" si="1"/>
        <v>181554</v>
      </c>
      <c r="AV6" s="332">
        <f t="shared" si="1"/>
        <v>204087</v>
      </c>
      <c r="AW6" s="332">
        <f t="shared" si="1"/>
        <v>210752</v>
      </c>
      <c r="AX6" s="332">
        <f t="shared" si="1"/>
        <v>231860</v>
      </c>
      <c r="AY6" s="332">
        <f t="shared" si="1"/>
        <v>205451</v>
      </c>
      <c r="AZ6" s="332">
        <f t="shared" si="1"/>
        <v>170568</v>
      </c>
      <c r="BA6" s="332">
        <f t="shared" si="1"/>
        <v>140442</v>
      </c>
      <c r="BB6" s="332">
        <f t="shared" si="1"/>
        <v>136285</v>
      </c>
      <c r="BC6" s="332">
        <f t="shared" si="1"/>
        <v>120485</v>
      </c>
      <c r="BD6" s="332">
        <f t="shared" si="1"/>
        <v>85715</v>
      </c>
      <c r="BE6" s="332">
        <f t="shared" si="1"/>
        <v>62000</v>
      </c>
    </row>
    <row r="7" spans="1:57" ht="12.95" customHeight="1" thickBot="1">
      <c r="A7" s="30"/>
      <c r="B7" s="450"/>
      <c r="C7" s="450"/>
      <c r="D7" s="452"/>
      <c r="E7" s="454"/>
      <c r="F7" s="140" t="s">
        <v>427</v>
      </c>
      <c r="G7" s="140" t="s">
        <v>428</v>
      </c>
      <c r="H7" s="59"/>
      <c r="I7" s="59"/>
      <c r="J7" s="59"/>
      <c r="K7" s="59"/>
      <c r="L7" s="59"/>
      <c r="M7" s="59"/>
      <c r="N7" s="59"/>
      <c r="O7" s="59"/>
      <c r="P7" s="60"/>
      <c r="Q7" s="323"/>
      <c r="R7" s="328" t="s">
        <v>352</v>
      </c>
      <c r="S7" s="333"/>
      <c r="T7" s="334" t="s">
        <v>13</v>
      </c>
      <c r="U7" s="335" t="s">
        <v>11</v>
      </c>
      <c r="V7" s="335" t="s">
        <v>12</v>
      </c>
      <c r="W7" s="334" t="s">
        <v>14</v>
      </c>
      <c r="X7" s="334" t="s">
        <v>15</v>
      </c>
      <c r="Y7" s="334" t="s">
        <v>16</v>
      </c>
      <c r="Z7" s="334" t="s">
        <v>158</v>
      </c>
      <c r="AA7" s="334" t="s">
        <v>17</v>
      </c>
      <c r="AB7" s="334" t="s">
        <v>18</v>
      </c>
      <c r="AC7" s="334" t="s">
        <v>19</v>
      </c>
      <c r="AD7" s="334" t="s">
        <v>20</v>
      </c>
      <c r="AE7" s="334" t="s">
        <v>21</v>
      </c>
      <c r="AF7" s="334" t="s">
        <v>159</v>
      </c>
      <c r="AG7" s="334" t="s">
        <v>160</v>
      </c>
      <c r="AH7" s="334" t="s">
        <v>161</v>
      </c>
      <c r="AI7" s="334" t="s">
        <v>162</v>
      </c>
      <c r="AJ7" s="334" t="s">
        <v>22</v>
      </c>
      <c r="AK7" s="334" t="s">
        <v>23</v>
      </c>
      <c r="AL7" s="328" t="s">
        <v>352</v>
      </c>
      <c r="AM7" s="333"/>
      <c r="AN7" s="334" t="s">
        <v>13</v>
      </c>
      <c r="AO7" s="335" t="s">
        <v>11</v>
      </c>
      <c r="AP7" s="335" t="s">
        <v>12</v>
      </c>
      <c r="AQ7" s="334" t="s">
        <v>14</v>
      </c>
      <c r="AR7" s="334" t="s">
        <v>15</v>
      </c>
      <c r="AS7" s="334" t="s">
        <v>16</v>
      </c>
      <c r="AT7" s="334" t="s">
        <v>158</v>
      </c>
      <c r="AU7" s="334" t="s">
        <v>17</v>
      </c>
      <c r="AV7" s="334" t="s">
        <v>18</v>
      </c>
      <c r="AW7" s="334" t="s">
        <v>19</v>
      </c>
      <c r="AX7" s="334" t="s">
        <v>20</v>
      </c>
      <c r="AY7" s="334" t="s">
        <v>21</v>
      </c>
      <c r="AZ7" s="334" t="s">
        <v>159</v>
      </c>
      <c r="BA7" s="334" t="s">
        <v>160</v>
      </c>
      <c r="BB7" s="334" t="s">
        <v>161</v>
      </c>
      <c r="BC7" s="334" t="s">
        <v>162</v>
      </c>
      <c r="BD7" s="334" t="s">
        <v>22</v>
      </c>
      <c r="BE7" s="334" t="s">
        <v>23</v>
      </c>
    </row>
    <row r="8" spans="1:57" ht="12" customHeight="1" thickTop="1">
      <c r="A8" s="30"/>
      <c r="B8" s="146" t="str">
        <f>UPPER(LEFT(TRIM(Data!B5),1)) &amp; MID(TRIM(Data!B5),2,50)</f>
        <v>Piktybiniai navikai</v>
      </c>
      <c r="C8" s="125" t="str">
        <f>Data!C5</f>
        <v>C00-C96</v>
      </c>
      <c r="D8" s="138">
        <f>Data!E5+Data!BR5</f>
        <v>8018</v>
      </c>
      <c r="E8" s="127">
        <f t="shared" ref="E8:E48" si="2">D8/$S$6*100000</f>
        <v>273.43098595776041</v>
      </c>
      <c r="F8" s="128">
        <f t="shared" ref="F8:F48" si="3">S8/$S$3</f>
        <v>180.10979557143281</v>
      </c>
      <c r="G8" s="129">
        <f>AM8/$AM$3</f>
        <v>122.10555043671046</v>
      </c>
      <c r="H8" s="59"/>
      <c r="I8" s="59"/>
      <c r="J8" s="59"/>
      <c r="K8" s="59"/>
      <c r="L8" s="59"/>
      <c r="M8" s="59"/>
      <c r="N8" s="59"/>
      <c r="O8" s="59"/>
      <c r="P8" s="60"/>
      <c r="Q8" s="326"/>
      <c r="R8" s="336" t="s">
        <v>353</v>
      </c>
      <c r="S8" s="330">
        <f t="shared" ref="S8:S55" si="4">SUM(T8:AK8)</f>
        <v>18010979.557143282</v>
      </c>
      <c r="T8" s="330">
        <f>(Data!AN5+Data!DA5)/T$6*100000*T$3</f>
        <v>15916.17481265336</v>
      </c>
      <c r="U8" s="330">
        <f>(Data!AO5+Data!DB5)/U$6*100000*U$3</f>
        <v>30694.125728985484</v>
      </c>
      <c r="V8" s="330">
        <f>(Data!AP5+Data!DC5)/V$6*100000*V$3</f>
        <v>14983.838859515807</v>
      </c>
      <c r="W8" s="330">
        <f>(Data!AQ5+Data!DD5)/W$6*100000*W$3</f>
        <v>24166.124846804032</v>
      </c>
      <c r="X8" s="330">
        <f>(Data!AR5+Data!DE5)/X$6*100000*X$3</f>
        <v>33315.406471755676</v>
      </c>
      <c r="Y8" s="330">
        <f>(Data!AS5+Data!DF5)/Y$6*100000*Y$3</f>
        <v>35917.512866166209</v>
      </c>
      <c r="Z8" s="330">
        <f>(Data!AT5+Data!DG5)/Z$6*100000*Z$3</f>
        <v>114954.24481290208</v>
      </c>
      <c r="AA8" s="330">
        <f>(Data!AU5+Data!DH5)/AA$6*100000*AA$3</f>
        <v>181213.30292915608</v>
      </c>
      <c r="AB8" s="330">
        <f>(Data!AV5+Data!DI5)/AB$6*100000*AB$3</f>
        <v>408159.26541131973</v>
      </c>
      <c r="AC8" s="330">
        <f>(Data!AW5+Data!DJ5)/AC$6*100000*AC$3</f>
        <v>823716.9754023687</v>
      </c>
      <c r="AD8" s="330">
        <f>(Data!AX5+Data!DK5)/AD$6*100000*AD$3</f>
        <v>1325368.7570085397</v>
      </c>
      <c r="AE8" s="330">
        <f>(Data!AY5+Data!DL5)/AE$6*100000*AE$3</f>
        <v>2009238.2125178268</v>
      </c>
      <c r="AF8" s="330">
        <f>(Data!AZ5+Data!DM5)/AF$6*100000*AF$3</f>
        <v>2611861.5449556774</v>
      </c>
      <c r="AG8" s="330">
        <f>(Data!BA5+Data!DN5)/AG$6*100000*AG$3</f>
        <v>2757010.011250196</v>
      </c>
      <c r="AH8" s="330">
        <f>(Data!BB5+Data!DO5)/AH$6*100000*AH$3</f>
        <v>2687749.9357963097</v>
      </c>
      <c r="AI8" s="330">
        <f>(Data!BC5+Data!DP5)/AI$6*100000*AI$3</f>
        <v>2217703.4485620619</v>
      </c>
      <c r="AJ8" s="330">
        <f>(Data!BD5+Data!DQ5)/AJ$6*100000*AJ$3</f>
        <v>1299655.8362013651</v>
      </c>
      <c r="AK8" s="330">
        <f>(Data!BE5+Data!DR5)/AK$6*100000*AK$3</f>
        <v>1419354.8387096776</v>
      </c>
      <c r="AL8" s="336" t="s">
        <v>353</v>
      </c>
      <c r="AM8" s="330">
        <f t="shared" ref="AM8:AM55" si="5">SUM(AN8:BE8)</f>
        <v>12210555.043671045</v>
      </c>
      <c r="AN8" s="330">
        <f>(Data!AN5+Data!DA5)/AN$6*100000*AN$3</f>
        <v>23874.262218980039</v>
      </c>
      <c r="AO8" s="330">
        <f>(Data!AO5+Data!DB5)/AO$6*100000*AO$3</f>
        <v>43848.751041407835</v>
      </c>
      <c r="AP8" s="330">
        <f>(Data!AP5+Data!DC5)/AP$6*100000*AP$3</f>
        <v>19264.935676520323</v>
      </c>
      <c r="AQ8" s="330">
        <f>(Data!AQ5+Data!DD5)/AQ$6*100000*AQ$3</f>
        <v>31070.731945890897</v>
      </c>
      <c r="AR8" s="330">
        <f>(Data!AR5+Data!DE5)/AR$6*100000*AR$3</f>
        <v>38074.750253435057</v>
      </c>
      <c r="AS8" s="330">
        <f>(Data!AS5+Data!DF5)/AS$6*100000*AS$3</f>
        <v>41048.586132761389</v>
      </c>
      <c r="AT8" s="330">
        <f>(Data!AT5+Data!DG5)/AT$6*100000*AT$3</f>
        <v>98532.209839630348</v>
      </c>
      <c r="AU8" s="330">
        <f>(Data!AU5+Data!DH5)/AU$6*100000*AU$3</f>
        <v>155325.68822499094</v>
      </c>
      <c r="AV8" s="330">
        <f>(Data!AV5+Data!DI5)/AV$6*100000*AV$3</f>
        <v>349850.7989239883</v>
      </c>
      <c r="AW8" s="330">
        <f>(Data!AW5+Data!DJ5)/AW$6*100000*AW$3</f>
        <v>706043.1217734589</v>
      </c>
      <c r="AX8" s="330">
        <f>(Data!AX5+Data!DK5)/AX$6*100000*AX$3</f>
        <v>946691.96929181414</v>
      </c>
      <c r="AY8" s="330">
        <f>(Data!AY5+Data!DL5)/AY$6*100000*AY$3</f>
        <v>1339492.1416785512</v>
      </c>
      <c r="AZ8" s="330">
        <f>(Data!AZ5+Data!DM5)/AZ$6*100000*AZ$3</f>
        <v>2089489.2359645418</v>
      </c>
      <c r="BA8" s="330">
        <f>(Data!BA5+Data!DN5)/BA$6*100000*BA$3</f>
        <v>2067757.508437647</v>
      </c>
      <c r="BB8" s="330">
        <f>(Data!BB5+Data!DO5)/BB$6*100000*BB$3</f>
        <v>1791833.290530873</v>
      </c>
      <c r="BC8" s="330">
        <f>(Data!BC5+Data!DP5)/BC$6*100000*BC$3</f>
        <v>1108851.7242810309</v>
      </c>
      <c r="BD8" s="330">
        <f>(Data!BD5+Data!DQ5)/BD$6*100000*BD$3</f>
        <v>649827.91810068255</v>
      </c>
      <c r="BE8" s="330">
        <f>(Data!BE5+Data!DR5)/BE$6*100000*BE$3</f>
        <v>709677.41935483878</v>
      </c>
    </row>
    <row r="9" spans="1:57" ht="12" customHeight="1">
      <c r="A9" s="30"/>
      <c r="B9" s="146" t="str">
        <f>UPPER(LEFT(TRIM(Data!B6),1)) &amp; MID(TRIM(Data!B6),2,50)</f>
        <v>Lūpos</v>
      </c>
      <c r="C9" s="125" t="str">
        <f>Data!C6</f>
        <v>C00</v>
      </c>
      <c r="D9" s="138">
        <f>Data!E6+Data!BR6</f>
        <v>1</v>
      </c>
      <c r="E9" s="127">
        <f t="shared" ref="E9:E46" si="6">D9/$S$6*100000</f>
        <v>3.4102143422020503E-2</v>
      </c>
      <c r="F9" s="128">
        <f t="shared" ref="F9:F46" si="7">S9/$S$3</f>
        <v>1.6599576710793873E-2</v>
      </c>
      <c r="G9" s="129">
        <f t="shared" ref="G9:G46" si="8">AM9/$AM$3</f>
        <v>8.2997883553969365E-3</v>
      </c>
      <c r="H9" s="59"/>
      <c r="I9" s="59"/>
      <c r="J9" s="59"/>
      <c r="K9" s="59"/>
      <c r="L9" s="59"/>
      <c r="M9" s="59"/>
      <c r="N9" s="59"/>
      <c r="O9" s="59"/>
      <c r="P9" s="60"/>
      <c r="Q9" s="326"/>
      <c r="R9" s="336" t="s">
        <v>353</v>
      </c>
      <c r="S9" s="330">
        <f t="shared" si="4"/>
        <v>1659.9576710793874</v>
      </c>
      <c r="T9" s="330">
        <f>(Data!AN6+Data!DA6)/T$6*100000*T$3</f>
        <v>0</v>
      </c>
      <c r="U9" s="330">
        <f>(Data!AO6+Data!DB6)/U$6*100000*U$3</f>
        <v>0</v>
      </c>
      <c r="V9" s="330">
        <f>(Data!AP6+Data!DC6)/V$6*100000*V$3</f>
        <v>0</v>
      </c>
      <c r="W9" s="330">
        <f>(Data!AQ6+Data!DD6)/W$6*100000*W$3</f>
        <v>0</v>
      </c>
      <c r="X9" s="330">
        <f>(Data!AR6+Data!DE6)/X$6*100000*X$3</f>
        <v>0</v>
      </c>
      <c r="Y9" s="330">
        <f>(Data!AS6+Data!DF6)/Y$6*100000*Y$3</f>
        <v>0</v>
      </c>
      <c r="Z9" s="330">
        <f>(Data!AT6+Data!DG6)/Z$6*100000*Z$3</f>
        <v>0</v>
      </c>
      <c r="AA9" s="330">
        <f>(Data!AU6+Data!DH6)/AA$6*100000*AA$3</f>
        <v>0</v>
      </c>
      <c r="AB9" s="330">
        <f>(Data!AV6+Data!DI6)/AB$6*100000*AB$3</f>
        <v>0</v>
      </c>
      <c r="AC9" s="330">
        <f>(Data!AW6+Data!DJ6)/AC$6*100000*AC$3</f>
        <v>0</v>
      </c>
      <c r="AD9" s="330">
        <f>(Data!AX6+Data!DK6)/AD$6*100000*AD$3</f>
        <v>0</v>
      </c>
      <c r="AE9" s="330">
        <f>(Data!AY6+Data!DL6)/AE$6*100000*AE$3</f>
        <v>0</v>
      </c>
      <c r="AF9" s="330">
        <f>(Data!AZ6+Data!DM6)/AF$6*100000*AF$3</f>
        <v>0</v>
      </c>
      <c r="AG9" s="330">
        <f>(Data!BA6+Data!DN6)/AG$6*100000*AG$3</f>
        <v>0</v>
      </c>
      <c r="AH9" s="330">
        <f>(Data!BB6+Data!DO6)/AH$6*100000*AH$3</f>
        <v>0</v>
      </c>
      <c r="AI9" s="330">
        <f>(Data!BC6+Data!DP6)/AI$6*100000*AI$3</f>
        <v>1659.9576710793874</v>
      </c>
      <c r="AJ9" s="330">
        <f>(Data!BD6+Data!DQ6)/AJ$6*100000*AJ$3</f>
        <v>0</v>
      </c>
      <c r="AK9" s="330">
        <f>(Data!BE6+Data!DR6)/AK$6*100000*AK$3</f>
        <v>0</v>
      </c>
      <c r="AL9" s="336" t="s">
        <v>353</v>
      </c>
      <c r="AM9" s="330">
        <f t="shared" si="5"/>
        <v>829.9788355396937</v>
      </c>
      <c r="AN9" s="330">
        <f>(Data!AN6+Data!DA6)/AN$6*100000*AN$3</f>
        <v>0</v>
      </c>
      <c r="AO9" s="330">
        <f>(Data!AO6+Data!DB6)/AO$6*100000*AO$3</f>
        <v>0</v>
      </c>
      <c r="AP9" s="330">
        <f>(Data!AP6+Data!DC6)/AP$6*100000*AP$3</f>
        <v>0</v>
      </c>
      <c r="AQ9" s="330">
        <f>(Data!AQ6+Data!DD6)/AQ$6*100000*AQ$3</f>
        <v>0</v>
      </c>
      <c r="AR9" s="330">
        <f>(Data!AR6+Data!DE6)/AR$6*100000*AR$3</f>
        <v>0</v>
      </c>
      <c r="AS9" s="330">
        <f>(Data!AS6+Data!DF6)/AS$6*100000*AS$3</f>
        <v>0</v>
      </c>
      <c r="AT9" s="330">
        <f>(Data!AT6+Data!DG6)/AT$6*100000*AT$3</f>
        <v>0</v>
      </c>
      <c r="AU9" s="330">
        <f>(Data!AU6+Data!DH6)/AU$6*100000*AU$3</f>
        <v>0</v>
      </c>
      <c r="AV9" s="330">
        <f>(Data!AV6+Data!DI6)/AV$6*100000*AV$3</f>
        <v>0</v>
      </c>
      <c r="AW9" s="330">
        <f>(Data!AW6+Data!DJ6)/AW$6*100000*AW$3</f>
        <v>0</v>
      </c>
      <c r="AX9" s="330">
        <f>(Data!AX6+Data!DK6)/AX$6*100000*AX$3</f>
        <v>0</v>
      </c>
      <c r="AY9" s="330">
        <f>(Data!AY6+Data!DL6)/AY$6*100000*AY$3</f>
        <v>0</v>
      </c>
      <c r="AZ9" s="330">
        <f>(Data!AZ6+Data!DM6)/AZ$6*100000*AZ$3</f>
        <v>0</v>
      </c>
      <c r="BA9" s="330">
        <f>(Data!BA6+Data!DN6)/BA$6*100000*BA$3</f>
        <v>0</v>
      </c>
      <c r="BB9" s="330">
        <f>(Data!BB6+Data!DO6)/BB$6*100000*BB$3</f>
        <v>0</v>
      </c>
      <c r="BC9" s="330">
        <f>(Data!BC6+Data!DP6)/BC$6*100000*BC$3</f>
        <v>829.9788355396937</v>
      </c>
      <c r="BD9" s="330">
        <f>(Data!BD6+Data!DQ6)/BD$6*100000*BD$3</f>
        <v>0</v>
      </c>
      <c r="BE9" s="330">
        <f>(Data!BE6+Data!DR6)/BE$6*100000*BE$3</f>
        <v>0</v>
      </c>
    </row>
    <row r="10" spans="1:57" ht="12" customHeight="1">
      <c r="A10" s="30"/>
      <c r="B10" s="146" t="str">
        <f>UPPER(LEFT(TRIM(Data!B7),1)) &amp; MID(TRIM(Data!B7),2,50)</f>
        <v>Burnos ertmės ir ryklės</v>
      </c>
      <c r="C10" s="125" t="str">
        <f>Data!C7</f>
        <v>C01-C14</v>
      </c>
      <c r="D10" s="138">
        <f>Data!E7+Data!BR7</f>
        <v>247</v>
      </c>
      <c r="E10" s="127">
        <f t="shared" si="6"/>
        <v>8.4232294252390645</v>
      </c>
      <c r="F10" s="128">
        <f t="shared" si="7"/>
        <v>6.7390016866764064</v>
      </c>
      <c r="G10" s="129">
        <f t="shared" si="8"/>
        <v>4.9828042667503496</v>
      </c>
      <c r="H10" s="59"/>
      <c r="I10" s="59"/>
      <c r="J10" s="59"/>
      <c r="K10" s="59"/>
      <c r="L10" s="59"/>
      <c r="M10" s="59"/>
      <c r="N10" s="59"/>
      <c r="O10" s="59"/>
      <c r="P10" s="60"/>
      <c r="Q10" s="311"/>
      <c r="R10" s="336" t="s">
        <v>353</v>
      </c>
      <c r="S10" s="330">
        <f t="shared" si="4"/>
        <v>673900.16866764065</v>
      </c>
      <c r="T10" s="330">
        <f>(Data!AN7+Data!DA7)/T$6*100000*T$3</f>
        <v>0</v>
      </c>
      <c r="U10" s="330">
        <f>(Data!AO7+Data!DB7)/U$6*100000*U$3</f>
        <v>0</v>
      </c>
      <c r="V10" s="330">
        <f>(Data!AP7+Data!DC7)/V$6*100000*V$3</f>
        <v>0</v>
      </c>
      <c r="W10" s="330">
        <f>(Data!AQ7+Data!DD7)/W$6*100000*W$3</f>
        <v>4027.6874744673382</v>
      </c>
      <c r="X10" s="330">
        <f>(Data!AR7+Data!DE7)/X$6*100000*X$3</f>
        <v>0</v>
      </c>
      <c r="Y10" s="330">
        <f>(Data!AS7+Data!DF7)/Y$6*100000*Y$3</f>
        <v>0</v>
      </c>
      <c r="Z10" s="330">
        <f>(Data!AT7+Data!DG7)/Z$6*100000*Z$3</f>
        <v>11891.818428920902</v>
      </c>
      <c r="AA10" s="330">
        <f>(Data!AU7+Data!DH7)/AA$6*100000*AA$3</f>
        <v>7711.2043799640887</v>
      </c>
      <c r="AB10" s="330">
        <f>(Data!AV7+Data!DI7)/AB$6*100000*AB$3</f>
        <v>27439.278346979474</v>
      </c>
      <c r="AC10" s="330">
        <f>(Data!AW7+Data!DJ7)/AC$6*100000*AC$3</f>
        <v>86357.424840570893</v>
      </c>
      <c r="AD10" s="330">
        <f>(Data!AX7+Data!DK7)/AD$6*100000*AD$3</f>
        <v>63400.327784007597</v>
      </c>
      <c r="AE10" s="330">
        <f>(Data!AY7+Data!DL7)/AE$6*100000*AE$3</f>
        <v>110975.36638906601</v>
      </c>
      <c r="AF10" s="330">
        <f>(Data!AZ7+Data!DM7)/AF$6*100000*AF$3</f>
        <v>140706.34585619811</v>
      </c>
      <c r="AG10" s="330">
        <f>(Data!BA7+Data!DN7)/AG$6*100000*AG$3</f>
        <v>108229.73184659859</v>
      </c>
      <c r="AH10" s="330">
        <f>(Data!BB7+Data!DO7)/AH$6*100000*AH$3</f>
        <v>55031.73496716439</v>
      </c>
      <c r="AI10" s="330">
        <f>(Data!BC7+Data!DP7)/AI$6*100000*AI$3</f>
        <v>39838.9841059053</v>
      </c>
      <c r="AJ10" s="330">
        <f>(Data!BD7+Data!DQ7)/AJ$6*100000*AJ$3</f>
        <v>6999.9416671527724</v>
      </c>
      <c r="AK10" s="330">
        <f>(Data!BE7+Data!DR7)/AK$6*100000*AK$3</f>
        <v>11290.322580645161</v>
      </c>
      <c r="AL10" s="336" t="s">
        <v>353</v>
      </c>
      <c r="AM10" s="330">
        <f t="shared" si="5"/>
        <v>498280.42667503498</v>
      </c>
      <c r="AN10" s="330">
        <f>(Data!AN7+Data!DA7)/AN$6*100000*AN$3</f>
        <v>0</v>
      </c>
      <c r="AO10" s="330">
        <f>(Data!AO7+Data!DB7)/AO$6*100000*AO$3</f>
        <v>0</v>
      </c>
      <c r="AP10" s="330">
        <f>(Data!AP7+Data!DC7)/AP$6*100000*AP$3</f>
        <v>0</v>
      </c>
      <c r="AQ10" s="330">
        <f>(Data!AQ7+Data!DD7)/AQ$6*100000*AQ$3</f>
        <v>5178.4553243151486</v>
      </c>
      <c r="AR10" s="330">
        <f>(Data!AR7+Data!DE7)/AR$6*100000*AR$3</f>
        <v>0</v>
      </c>
      <c r="AS10" s="330">
        <f>(Data!AS7+Data!DF7)/AS$6*100000*AS$3</f>
        <v>0</v>
      </c>
      <c r="AT10" s="330">
        <f>(Data!AT7+Data!DG7)/AT$6*100000*AT$3</f>
        <v>10192.987224789344</v>
      </c>
      <c r="AU10" s="330">
        <f>(Data!AU7+Data!DH7)/AU$6*100000*AU$3</f>
        <v>6609.6037542549329</v>
      </c>
      <c r="AV10" s="330">
        <f>(Data!AV7+Data!DI7)/AV$6*100000*AV$3</f>
        <v>23519.38144026812</v>
      </c>
      <c r="AW10" s="330">
        <f>(Data!AW7+Data!DJ7)/AW$6*100000*AW$3</f>
        <v>74020.64986334648</v>
      </c>
      <c r="AX10" s="330">
        <f>(Data!AX7+Data!DK7)/AX$6*100000*AX$3</f>
        <v>45285.948417148284</v>
      </c>
      <c r="AY10" s="330">
        <f>(Data!AY7+Data!DL7)/AY$6*100000*AY$3</f>
        <v>73983.577592710673</v>
      </c>
      <c r="AZ10" s="330">
        <f>(Data!AZ7+Data!DM7)/AZ$6*100000*AZ$3</f>
        <v>112565.07668495849</v>
      </c>
      <c r="BA10" s="330">
        <f>(Data!BA7+Data!DN7)/BA$6*100000*BA$3</f>
        <v>81172.298884948934</v>
      </c>
      <c r="BB10" s="330">
        <f>(Data!BB7+Data!DO7)/BB$6*100000*BB$3</f>
        <v>36687.823311442924</v>
      </c>
      <c r="BC10" s="330">
        <f>(Data!BC7+Data!DP7)/BC$6*100000*BC$3</f>
        <v>19919.49205295265</v>
      </c>
      <c r="BD10" s="330">
        <f>(Data!BD7+Data!DQ7)/BD$6*100000*BD$3</f>
        <v>3499.9708335763862</v>
      </c>
      <c r="BE10" s="330">
        <f>(Data!BE7+Data!DR7)/BE$6*100000*BE$3</f>
        <v>5645.1612903225805</v>
      </c>
    </row>
    <row r="11" spans="1:57" ht="12" customHeight="1">
      <c r="A11" s="30"/>
      <c r="B11" s="146" t="str">
        <f>UPPER(LEFT(TRIM(Data!B8),1)) &amp; MID(TRIM(Data!B8),2,50)</f>
        <v>Stemplės</v>
      </c>
      <c r="C11" s="125" t="str">
        <f>Data!C8</f>
        <v>C15</v>
      </c>
      <c r="D11" s="138">
        <f>Data!E8+Data!BR8</f>
        <v>202</v>
      </c>
      <c r="E11" s="127">
        <f t="shared" si="6"/>
        <v>6.8886329712481418</v>
      </c>
      <c r="F11" s="128">
        <f t="shared" si="7"/>
        <v>5.2099360336169678</v>
      </c>
      <c r="G11" s="129">
        <f t="shared" si="8"/>
        <v>3.7282689145212919</v>
      </c>
      <c r="H11" s="59"/>
      <c r="I11" s="59"/>
      <c r="J11" s="59"/>
      <c r="K11" s="59"/>
      <c r="L11" s="59"/>
      <c r="M11" s="59"/>
      <c r="N11" s="59"/>
      <c r="O11" s="59"/>
      <c r="P11" s="60"/>
      <c r="Q11" s="311"/>
      <c r="R11" s="336" t="s">
        <v>353</v>
      </c>
      <c r="S11" s="330">
        <f t="shared" si="4"/>
        <v>520993.60336169682</v>
      </c>
      <c r="T11" s="330">
        <f>(Data!AN8+Data!DA8)/T$6*100000*T$3</f>
        <v>0</v>
      </c>
      <c r="U11" s="330">
        <f>(Data!AO8+Data!DB8)/U$6*100000*U$3</f>
        <v>0</v>
      </c>
      <c r="V11" s="330">
        <f>(Data!AP8+Data!DC8)/V$6*100000*V$3</f>
        <v>0</v>
      </c>
      <c r="W11" s="330">
        <f>(Data!AQ8+Data!DD8)/W$6*100000*W$3</f>
        <v>0</v>
      </c>
      <c r="X11" s="330">
        <f>(Data!AR8+Data!DE8)/X$6*100000*X$3</f>
        <v>0</v>
      </c>
      <c r="Y11" s="330">
        <f>(Data!AS8+Data!DF8)/Y$6*100000*Y$3</f>
        <v>0</v>
      </c>
      <c r="Z11" s="330">
        <f>(Data!AT8+Data!DG8)/Z$6*100000*Z$3</f>
        <v>0</v>
      </c>
      <c r="AA11" s="330">
        <f>(Data!AU8+Data!DH8)/AA$6*100000*AA$3</f>
        <v>3855.6021899820444</v>
      </c>
      <c r="AB11" s="330">
        <f>(Data!AV8+Data!DI8)/AB$6*100000*AB$3</f>
        <v>13719.639173489737</v>
      </c>
      <c r="AC11" s="330">
        <f>(Data!AW8+Data!DJ8)/AC$6*100000*AC$3</f>
        <v>29892.954752505317</v>
      </c>
      <c r="AD11" s="330">
        <f>(Data!AX8+Data!DK8)/AD$6*100000*AD$3</f>
        <v>63400.327784007597</v>
      </c>
      <c r="AE11" s="330">
        <f>(Data!AY8+Data!DL8)/AE$6*100000*AE$3</f>
        <v>90532.535738448583</v>
      </c>
      <c r="AF11" s="330">
        <f>(Data!AZ8+Data!DM8)/AF$6*100000*AF$3</f>
        <v>128980.81703484827</v>
      </c>
      <c r="AG11" s="330">
        <f>(Data!BA8+Data!DN8)/AG$6*100000*AG$3</f>
        <v>79748.223465914751</v>
      </c>
      <c r="AH11" s="330">
        <f>(Data!BB8+Data!DO8)/AH$6*100000*AH$3</f>
        <v>48427.92677110467</v>
      </c>
      <c r="AI11" s="330">
        <f>(Data!BC8+Data!DP8)/AI$6*100000*AI$3</f>
        <v>33199.153421587755</v>
      </c>
      <c r="AJ11" s="330">
        <f>(Data!BD8+Data!DQ8)/AJ$6*100000*AJ$3</f>
        <v>16333.197223356472</v>
      </c>
      <c r="AK11" s="330">
        <f>(Data!BE8+Data!DR8)/AK$6*100000*AK$3</f>
        <v>12903.225806451614</v>
      </c>
      <c r="AL11" s="336" t="s">
        <v>353</v>
      </c>
      <c r="AM11" s="330">
        <f t="shared" si="5"/>
        <v>372826.89145212917</v>
      </c>
      <c r="AN11" s="330">
        <f>(Data!AN8+Data!DA8)/AN$6*100000*AN$3</f>
        <v>0</v>
      </c>
      <c r="AO11" s="330">
        <f>(Data!AO8+Data!DB8)/AO$6*100000*AO$3</f>
        <v>0</v>
      </c>
      <c r="AP11" s="330">
        <f>(Data!AP8+Data!DC8)/AP$6*100000*AP$3</f>
        <v>0</v>
      </c>
      <c r="AQ11" s="330">
        <f>(Data!AQ8+Data!DD8)/AQ$6*100000*AQ$3</f>
        <v>0</v>
      </c>
      <c r="AR11" s="330">
        <f>(Data!AR8+Data!DE8)/AR$6*100000*AR$3</f>
        <v>0</v>
      </c>
      <c r="AS11" s="330">
        <f>(Data!AS8+Data!DF8)/AS$6*100000*AS$3</f>
        <v>0</v>
      </c>
      <c r="AT11" s="330">
        <f>(Data!AT8+Data!DG8)/AT$6*100000*AT$3</f>
        <v>0</v>
      </c>
      <c r="AU11" s="330">
        <f>(Data!AU8+Data!DH8)/AU$6*100000*AU$3</f>
        <v>3304.8018771274665</v>
      </c>
      <c r="AV11" s="330">
        <f>(Data!AV8+Data!DI8)/AV$6*100000*AV$3</f>
        <v>11759.69072013406</v>
      </c>
      <c r="AW11" s="330">
        <f>(Data!AW8+Data!DJ8)/AW$6*100000*AW$3</f>
        <v>25622.532645004558</v>
      </c>
      <c r="AX11" s="330">
        <f>(Data!AX8+Data!DK8)/AX$6*100000*AX$3</f>
        <v>45285.948417148284</v>
      </c>
      <c r="AY11" s="330">
        <f>(Data!AY8+Data!DL8)/AY$6*100000*AY$3</f>
        <v>60355.023825632386</v>
      </c>
      <c r="AZ11" s="330">
        <f>(Data!AZ8+Data!DM8)/AZ$6*100000*AZ$3</f>
        <v>103184.65362787862</v>
      </c>
      <c r="BA11" s="330">
        <f>(Data!BA8+Data!DN8)/BA$6*100000*BA$3</f>
        <v>59811.167599436063</v>
      </c>
      <c r="BB11" s="330">
        <f>(Data!BB8+Data!DO8)/BB$6*100000*BB$3</f>
        <v>32285.284514069779</v>
      </c>
      <c r="BC11" s="330">
        <f>(Data!BC8+Data!DP8)/BC$6*100000*BC$3</f>
        <v>16599.576710793877</v>
      </c>
      <c r="BD11" s="330">
        <f>(Data!BD8+Data!DQ8)/BD$6*100000*BD$3</f>
        <v>8166.598611678236</v>
      </c>
      <c r="BE11" s="330">
        <f>(Data!BE8+Data!DR8)/BE$6*100000*BE$3</f>
        <v>6451.6129032258068</v>
      </c>
    </row>
    <row r="12" spans="1:57" ht="12" customHeight="1">
      <c r="A12" s="30"/>
      <c r="B12" s="146" t="str">
        <f>UPPER(LEFT(TRIM(Data!B9),1)) &amp; MID(TRIM(Data!B9),2,50)</f>
        <v>Skrandžio</v>
      </c>
      <c r="C12" s="125" t="str">
        <f>Data!C9</f>
        <v>C16</v>
      </c>
      <c r="D12" s="138">
        <f>Data!E9+Data!BR9</f>
        <v>698</v>
      </c>
      <c r="E12" s="127">
        <f t="shared" si="6"/>
        <v>23.803296108570311</v>
      </c>
      <c r="F12" s="128">
        <f t="shared" si="7"/>
        <v>15.860598367362041</v>
      </c>
      <c r="G12" s="129">
        <f t="shared" si="8"/>
        <v>10.774321660978002</v>
      </c>
      <c r="H12" s="59"/>
      <c r="I12" s="59"/>
      <c r="J12" s="59"/>
      <c r="K12" s="59"/>
      <c r="L12" s="59"/>
      <c r="M12" s="59"/>
      <c r="N12" s="59"/>
      <c r="O12" s="59"/>
      <c r="P12" s="60"/>
      <c r="Q12" s="311"/>
      <c r="R12" s="336" t="s">
        <v>353</v>
      </c>
      <c r="S12" s="330">
        <f t="shared" si="4"/>
        <v>1586059.8367362041</v>
      </c>
      <c r="T12" s="330">
        <f>(Data!AN9+Data!DA9)/T$6*100000*T$3</f>
        <v>0</v>
      </c>
      <c r="U12" s="330">
        <f>(Data!AO9+Data!DB9)/U$6*100000*U$3</f>
        <v>0</v>
      </c>
      <c r="V12" s="330">
        <f>(Data!AP9+Data!DC9)/V$6*100000*V$3</f>
        <v>0</v>
      </c>
      <c r="W12" s="330">
        <f>(Data!AQ9+Data!DD9)/W$6*100000*W$3</f>
        <v>0</v>
      </c>
      <c r="X12" s="330">
        <f>(Data!AR9+Data!DE9)/X$6*100000*X$3</f>
        <v>9994.6219415267005</v>
      </c>
      <c r="Y12" s="330">
        <f>(Data!AS9+Data!DF9)/Y$6*100000*Y$3</f>
        <v>0</v>
      </c>
      <c r="Z12" s="330">
        <f>(Data!AT9+Data!DG9)/Z$6*100000*Z$3</f>
        <v>27747.576334148773</v>
      </c>
      <c r="AA12" s="330">
        <f>(Data!AU9+Data!DH9)/AA$6*100000*AA$3</f>
        <v>30844.817519856355</v>
      </c>
      <c r="AB12" s="330">
        <f>(Data!AV9+Data!DI9)/AB$6*100000*AB$3</f>
        <v>27439.278346979474</v>
      </c>
      <c r="AC12" s="330">
        <f>(Data!AW9+Data!DJ9)/AC$6*100000*AC$3</f>
        <v>63107.348921955665</v>
      </c>
      <c r="AD12" s="330">
        <f>(Data!AX9+Data!DK9)/AD$6*100000*AD$3</f>
        <v>138876.90847925472</v>
      </c>
      <c r="AE12" s="330">
        <f>(Data!AY9+Data!DL9)/AE$6*100000*AE$3</f>
        <v>169383.45396225862</v>
      </c>
      <c r="AF12" s="330">
        <f>(Data!AZ9+Data!DM9)/AF$6*100000*AF$3</f>
        <v>222785.04760564701</v>
      </c>
      <c r="AG12" s="330">
        <f>(Data!BA9+Data!DN9)/AG$6*100000*AG$3</f>
        <v>227852.06704547073</v>
      </c>
      <c r="AH12" s="330">
        <f>(Data!BB9+Data!DO9)/AH$6*100000*AH$3</f>
        <v>257548.51964632937</v>
      </c>
      <c r="AI12" s="330">
        <f>(Data!BC9+Data!DP9)/AI$6*100000*AI$3</f>
        <v>177615.47080549446</v>
      </c>
      <c r="AJ12" s="330">
        <f>(Data!BD9+Data!DQ9)/AJ$6*100000*AJ$3</f>
        <v>103832.46806276614</v>
      </c>
      <c r="AK12" s="330">
        <f>(Data!BE9+Data!DR9)/AK$6*100000*AK$3</f>
        <v>129032.25806451612</v>
      </c>
      <c r="AL12" s="336" t="s">
        <v>353</v>
      </c>
      <c r="AM12" s="330">
        <f t="shared" si="5"/>
        <v>1077432.1660978002</v>
      </c>
      <c r="AN12" s="330">
        <f>(Data!AN9+Data!DA9)/AN$6*100000*AN$3</f>
        <v>0</v>
      </c>
      <c r="AO12" s="330">
        <f>(Data!AO9+Data!DB9)/AO$6*100000*AO$3</f>
        <v>0</v>
      </c>
      <c r="AP12" s="330">
        <f>(Data!AP9+Data!DC9)/AP$6*100000*AP$3</f>
        <v>0</v>
      </c>
      <c r="AQ12" s="330">
        <f>(Data!AQ9+Data!DD9)/AQ$6*100000*AQ$3</f>
        <v>0</v>
      </c>
      <c r="AR12" s="330">
        <f>(Data!AR9+Data!DE9)/AR$6*100000*AR$3</f>
        <v>11422.425076030515</v>
      </c>
      <c r="AS12" s="330">
        <f>(Data!AS9+Data!DF9)/AS$6*100000*AS$3</f>
        <v>0</v>
      </c>
      <c r="AT12" s="330">
        <f>(Data!AT9+Data!DG9)/AT$6*100000*AT$3</f>
        <v>23783.636857841804</v>
      </c>
      <c r="AU12" s="330">
        <f>(Data!AU9+Data!DH9)/AU$6*100000*AU$3</f>
        <v>26438.415017019732</v>
      </c>
      <c r="AV12" s="330">
        <f>(Data!AV9+Data!DI9)/AV$6*100000*AV$3</f>
        <v>23519.38144026812</v>
      </c>
      <c r="AW12" s="330">
        <f>(Data!AW9+Data!DJ9)/AW$6*100000*AW$3</f>
        <v>54092.013361676283</v>
      </c>
      <c r="AX12" s="330">
        <f>(Data!AX9+Data!DK9)/AX$6*100000*AX$3</f>
        <v>99197.791770896234</v>
      </c>
      <c r="AY12" s="330">
        <f>(Data!AY9+Data!DL9)/AY$6*100000*AY$3</f>
        <v>112922.30264150575</v>
      </c>
      <c r="AZ12" s="330">
        <f>(Data!AZ9+Data!DM9)/AZ$6*100000*AZ$3</f>
        <v>178228.03808451761</v>
      </c>
      <c r="BA12" s="330">
        <f>(Data!BA9+Data!DN9)/BA$6*100000*BA$3</f>
        <v>170889.05028410305</v>
      </c>
      <c r="BB12" s="330">
        <f>(Data!BB9+Data!DO9)/BB$6*100000*BB$3</f>
        <v>171699.01309755293</v>
      </c>
      <c r="BC12" s="330">
        <f>(Data!BC9+Data!DP9)/BC$6*100000*BC$3</f>
        <v>88807.735402747232</v>
      </c>
      <c r="BD12" s="330">
        <f>(Data!BD9+Data!DQ9)/BD$6*100000*BD$3</f>
        <v>51916.234031383072</v>
      </c>
      <c r="BE12" s="330">
        <f>(Data!BE9+Data!DR9)/BE$6*100000*BE$3</f>
        <v>64516.129032258061</v>
      </c>
    </row>
    <row r="13" spans="1:57" ht="12" customHeight="1">
      <c r="A13" s="30"/>
      <c r="B13" s="146" t="str">
        <f>UPPER(LEFT(TRIM(Data!B10),1)) &amp; MID(TRIM(Data!B10),2,50)</f>
        <v>Gaubtinės žarnos</v>
      </c>
      <c r="C13" s="125" t="str">
        <f>Data!C10</f>
        <v>C18</v>
      </c>
      <c r="D13" s="138">
        <f>Data!E10+Data!BR10</f>
        <v>500</v>
      </c>
      <c r="E13" s="127">
        <f t="shared" si="6"/>
        <v>17.051071711010252</v>
      </c>
      <c r="F13" s="128">
        <f t="shared" si="7"/>
        <v>10.120243022076478</v>
      </c>
      <c r="G13" s="129">
        <f t="shared" si="8"/>
        <v>6.5038215119773817</v>
      </c>
      <c r="H13" s="59"/>
      <c r="I13" s="59"/>
      <c r="J13" s="59"/>
      <c r="K13" s="59"/>
      <c r="L13" s="59"/>
      <c r="M13" s="59"/>
      <c r="N13" s="59"/>
      <c r="O13" s="59"/>
      <c r="P13" s="60"/>
      <c r="Q13" s="311"/>
      <c r="R13" s="336" t="s">
        <v>353</v>
      </c>
      <c r="S13" s="330">
        <f t="shared" si="4"/>
        <v>1012024.3022076478</v>
      </c>
      <c r="T13" s="330">
        <f>(Data!AN10+Data!DA10)/T$6*100000*T$3</f>
        <v>0</v>
      </c>
      <c r="U13" s="330">
        <f>(Data!AO10+Data!DB10)/U$6*100000*U$3</f>
        <v>0</v>
      </c>
      <c r="V13" s="330">
        <f>(Data!AP10+Data!DC10)/V$6*100000*V$3</f>
        <v>0</v>
      </c>
      <c r="W13" s="330">
        <f>(Data!AQ10+Data!DD10)/W$6*100000*W$3</f>
        <v>0</v>
      </c>
      <c r="X13" s="330">
        <f>(Data!AR10+Data!DE10)/X$6*100000*X$3</f>
        <v>3331.5406471755673</v>
      </c>
      <c r="Y13" s="330">
        <f>(Data!AS10+Data!DF10)/Y$6*100000*Y$3</f>
        <v>0</v>
      </c>
      <c r="Z13" s="330">
        <f>(Data!AT10+Data!DG10)/Z$6*100000*Z$3</f>
        <v>7927.8789526139344</v>
      </c>
      <c r="AA13" s="330">
        <f>(Data!AU10+Data!DH10)/AA$6*100000*AA$3</f>
        <v>0</v>
      </c>
      <c r="AB13" s="330">
        <f>(Data!AV10+Data!DI10)/AB$6*100000*AB$3</f>
        <v>13719.639173489737</v>
      </c>
      <c r="AC13" s="330">
        <f>(Data!AW10+Data!DJ10)/AC$6*100000*AC$3</f>
        <v>29892.954752505317</v>
      </c>
      <c r="AD13" s="330">
        <f>(Data!AX10+Data!DK10)/AD$6*100000*AD$3</f>
        <v>45285.948417148284</v>
      </c>
      <c r="AE13" s="330">
        <f>(Data!AY10+Data!DL10)/AE$6*100000*AE$3</f>
        <v>90532.535738448583</v>
      </c>
      <c r="AF13" s="330">
        <f>(Data!AZ10+Data!DM10)/AF$6*100000*AF$3</f>
        <v>117255.28821349842</v>
      </c>
      <c r="AG13" s="330">
        <f>(Data!BA10+Data!DN10)/AG$6*100000*AG$3</f>
        <v>142407.54190341919</v>
      </c>
      <c r="AH13" s="330">
        <f>(Data!BB10+Data!DO10)/AH$6*100000*AH$3</f>
        <v>169497.74369886634</v>
      </c>
      <c r="AI13" s="330">
        <f>(Data!BC10+Data!DP10)/AI$6*100000*AI$3</f>
        <v>131136.65601527161</v>
      </c>
      <c r="AJ13" s="330">
        <f>(Data!BD10+Data!DQ10)/AJ$6*100000*AJ$3</f>
        <v>127165.60695327539</v>
      </c>
      <c r="AK13" s="330">
        <f>(Data!BE10+Data!DR10)/AK$6*100000*AK$3</f>
        <v>133870.96774193548</v>
      </c>
      <c r="AL13" s="336" t="s">
        <v>353</v>
      </c>
      <c r="AM13" s="330">
        <f t="shared" si="5"/>
        <v>650382.15119773813</v>
      </c>
      <c r="AN13" s="330">
        <f>(Data!AN10+Data!DA10)/AN$6*100000*AN$3</f>
        <v>0</v>
      </c>
      <c r="AO13" s="330">
        <f>(Data!AO10+Data!DB10)/AO$6*100000*AO$3</f>
        <v>0</v>
      </c>
      <c r="AP13" s="330">
        <f>(Data!AP10+Data!DC10)/AP$6*100000*AP$3</f>
        <v>0</v>
      </c>
      <c r="AQ13" s="330">
        <f>(Data!AQ10+Data!DD10)/AQ$6*100000*AQ$3</f>
        <v>0</v>
      </c>
      <c r="AR13" s="330">
        <f>(Data!AR10+Data!DE10)/AR$6*100000*AR$3</f>
        <v>3807.4750253435059</v>
      </c>
      <c r="AS13" s="330">
        <f>(Data!AS10+Data!DF10)/AS$6*100000*AS$3</f>
        <v>0</v>
      </c>
      <c r="AT13" s="330">
        <f>(Data!AT10+Data!DG10)/AT$6*100000*AT$3</f>
        <v>6795.3248165262294</v>
      </c>
      <c r="AU13" s="330">
        <f>(Data!AU10+Data!DH10)/AU$6*100000*AU$3</f>
        <v>0</v>
      </c>
      <c r="AV13" s="330">
        <f>(Data!AV10+Data!DI10)/AV$6*100000*AV$3</f>
        <v>11759.69072013406</v>
      </c>
      <c r="AW13" s="330">
        <f>(Data!AW10+Data!DJ10)/AW$6*100000*AW$3</f>
        <v>25622.532645004558</v>
      </c>
      <c r="AX13" s="330">
        <f>(Data!AX10+Data!DK10)/AX$6*100000*AX$3</f>
        <v>32347.106012248772</v>
      </c>
      <c r="AY13" s="330">
        <f>(Data!AY10+Data!DL10)/AY$6*100000*AY$3</f>
        <v>60355.023825632386</v>
      </c>
      <c r="AZ13" s="330">
        <f>(Data!AZ10+Data!DM10)/AZ$6*100000*AZ$3</f>
        <v>93804.23057079874</v>
      </c>
      <c r="BA13" s="330">
        <f>(Data!BA10+Data!DN10)/BA$6*100000*BA$3</f>
        <v>106805.65642756441</v>
      </c>
      <c r="BB13" s="330">
        <f>(Data!BB10+Data!DO10)/BB$6*100000*BB$3</f>
        <v>112998.49579924422</v>
      </c>
      <c r="BC13" s="330">
        <f>(Data!BC10+Data!DP10)/BC$6*100000*BC$3</f>
        <v>65568.328007635806</v>
      </c>
      <c r="BD13" s="330">
        <f>(Data!BD10+Data!DQ10)/BD$6*100000*BD$3</f>
        <v>63582.803476637695</v>
      </c>
      <c r="BE13" s="330">
        <f>(Data!BE10+Data!DR10)/BE$6*100000*BE$3</f>
        <v>66935.483870967742</v>
      </c>
    </row>
    <row r="14" spans="1:57" ht="12" customHeight="1">
      <c r="A14" s="30"/>
      <c r="B14" s="146" t="str">
        <f>UPPER(LEFT(TRIM(Data!B11),1)) &amp; MID(TRIM(Data!B11),2,50)</f>
        <v>Tiesiosios žarnos, išangės</v>
      </c>
      <c r="C14" s="125" t="str">
        <f>Data!C11</f>
        <v>C19-C21</v>
      </c>
      <c r="D14" s="138">
        <f>Data!E11+Data!BR11</f>
        <v>431</v>
      </c>
      <c r="E14" s="127">
        <f t="shared" si="6"/>
        <v>14.698023814890837</v>
      </c>
      <c r="F14" s="128">
        <f t="shared" si="7"/>
        <v>8.9958077000824304</v>
      </c>
      <c r="G14" s="129">
        <f t="shared" si="8"/>
        <v>5.8182188483444017</v>
      </c>
      <c r="H14" s="59"/>
      <c r="I14" s="59"/>
      <c r="J14" s="59"/>
      <c r="K14" s="59"/>
      <c r="L14" s="59"/>
      <c r="M14" s="59"/>
      <c r="N14" s="59"/>
      <c r="O14" s="59"/>
      <c r="P14" s="60"/>
      <c r="Q14" s="311"/>
      <c r="R14" s="336" t="s">
        <v>353</v>
      </c>
      <c r="S14" s="330">
        <f t="shared" si="4"/>
        <v>899580.77000824304</v>
      </c>
      <c r="T14" s="330">
        <f>(Data!AN11+Data!DA11)/T$6*100000*T$3</f>
        <v>0</v>
      </c>
      <c r="U14" s="330">
        <f>(Data!AO11+Data!DB11)/U$6*100000*U$3</f>
        <v>0</v>
      </c>
      <c r="V14" s="330">
        <f>(Data!AP11+Data!DC11)/V$6*100000*V$3</f>
        <v>0</v>
      </c>
      <c r="W14" s="330">
        <f>(Data!AQ11+Data!DD11)/W$6*100000*W$3</f>
        <v>0</v>
      </c>
      <c r="X14" s="330">
        <f>(Data!AR11+Data!DE11)/X$6*100000*X$3</f>
        <v>0</v>
      </c>
      <c r="Y14" s="330">
        <f>(Data!AS11+Data!DF11)/Y$6*100000*Y$3</f>
        <v>0</v>
      </c>
      <c r="Z14" s="330">
        <f>(Data!AT11+Data!DG11)/Z$6*100000*Z$3</f>
        <v>0</v>
      </c>
      <c r="AA14" s="330">
        <f>(Data!AU11+Data!DH11)/AA$6*100000*AA$3</f>
        <v>7711.2043799640887</v>
      </c>
      <c r="AB14" s="330">
        <f>(Data!AV11+Data!DI11)/AB$6*100000*AB$3</f>
        <v>6859.8195867448685</v>
      </c>
      <c r="AC14" s="330">
        <f>(Data!AW11+Data!DJ11)/AC$6*100000*AC$3</f>
        <v>39857.273003340422</v>
      </c>
      <c r="AD14" s="330">
        <f>(Data!AX11+Data!DK11)/AD$6*100000*AD$3</f>
        <v>36228.758733718627</v>
      </c>
      <c r="AE14" s="330">
        <f>(Data!AY11+Data!DL11)/AE$6*100000*AE$3</f>
        <v>99293.748874427474</v>
      </c>
      <c r="AF14" s="330">
        <f>(Data!AZ11+Data!DM11)/AF$6*100000*AF$3</f>
        <v>93804.23057079874</v>
      </c>
      <c r="AG14" s="330">
        <f>(Data!BA11+Data!DN11)/AG$6*100000*AG$3</f>
        <v>148103.84357955595</v>
      </c>
      <c r="AH14" s="330">
        <f>(Data!BB11+Data!DO11)/AH$6*100000*AH$3</f>
        <v>138679.97211725428</v>
      </c>
      <c r="AI14" s="330">
        <f>(Data!BC11+Data!DP11)/AI$6*100000*AI$3</f>
        <v>141096.40204174793</v>
      </c>
      <c r="AJ14" s="330">
        <f>(Data!BD11+Data!DQ11)/AJ$6*100000*AJ$3</f>
        <v>86332.613894884198</v>
      </c>
      <c r="AK14" s="330">
        <f>(Data!BE11+Data!DR11)/AK$6*100000*AK$3</f>
        <v>101612.90322580645</v>
      </c>
      <c r="AL14" s="336" t="s">
        <v>353</v>
      </c>
      <c r="AM14" s="330">
        <f t="shared" si="5"/>
        <v>581821.88483444019</v>
      </c>
      <c r="AN14" s="330">
        <f>(Data!AN11+Data!DA11)/AN$6*100000*AN$3</f>
        <v>0</v>
      </c>
      <c r="AO14" s="330">
        <f>(Data!AO11+Data!DB11)/AO$6*100000*AO$3</f>
        <v>0</v>
      </c>
      <c r="AP14" s="330">
        <f>(Data!AP11+Data!DC11)/AP$6*100000*AP$3</f>
        <v>0</v>
      </c>
      <c r="AQ14" s="330">
        <f>(Data!AQ11+Data!DD11)/AQ$6*100000*AQ$3</f>
        <v>0</v>
      </c>
      <c r="AR14" s="330">
        <f>(Data!AR11+Data!DE11)/AR$6*100000*AR$3</f>
        <v>0</v>
      </c>
      <c r="AS14" s="330">
        <f>(Data!AS11+Data!DF11)/AS$6*100000*AS$3</f>
        <v>0</v>
      </c>
      <c r="AT14" s="330">
        <f>(Data!AT11+Data!DG11)/AT$6*100000*AT$3</f>
        <v>0</v>
      </c>
      <c r="AU14" s="330">
        <f>(Data!AU11+Data!DH11)/AU$6*100000*AU$3</f>
        <v>6609.6037542549329</v>
      </c>
      <c r="AV14" s="330">
        <f>(Data!AV11+Data!DI11)/AV$6*100000*AV$3</f>
        <v>5879.84536006703</v>
      </c>
      <c r="AW14" s="330">
        <f>(Data!AW11+Data!DJ11)/AW$6*100000*AW$3</f>
        <v>34163.376860006072</v>
      </c>
      <c r="AX14" s="330">
        <f>(Data!AX11+Data!DK11)/AX$6*100000*AX$3</f>
        <v>25877.684809799019</v>
      </c>
      <c r="AY14" s="330">
        <f>(Data!AY11+Data!DL11)/AY$6*100000*AY$3</f>
        <v>66195.832582951654</v>
      </c>
      <c r="AZ14" s="330">
        <f>(Data!AZ11+Data!DM11)/AZ$6*100000*AZ$3</f>
        <v>75043.384456638989</v>
      </c>
      <c r="BA14" s="330">
        <f>(Data!BA11+Data!DN11)/BA$6*100000*BA$3</f>
        <v>111077.88268466697</v>
      </c>
      <c r="BB14" s="330">
        <f>(Data!BB11+Data!DO11)/BB$6*100000*BB$3</f>
        <v>92453.314744836185</v>
      </c>
      <c r="BC14" s="330">
        <f>(Data!BC11+Data!DP11)/BC$6*100000*BC$3</f>
        <v>70548.201020873967</v>
      </c>
      <c r="BD14" s="330">
        <f>(Data!BD11+Data!DQ11)/BD$6*100000*BD$3</f>
        <v>43166.306947442099</v>
      </c>
      <c r="BE14" s="330">
        <f>(Data!BE11+Data!DR11)/BE$6*100000*BE$3</f>
        <v>50806.451612903227</v>
      </c>
    </row>
    <row r="15" spans="1:57" ht="12" customHeight="1">
      <c r="A15" s="30"/>
      <c r="B15" s="146" t="str">
        <f>UPPER(LEFT(TRIM(Data!B12),1)) &amp; MID(TRIM(Data!B12),2,50)</f>
        <v>Kepenų</v>
      </c>
      <c r="C15" s="125" t="str">
        <f>Data!C12</f>
        <v>C22</v>
      </c>
      <c r="D15" s="138">
        <f>Data!E12+Data!BR12</f>
        <v>192</v>
      </c>
      <c r="E15" s="127">
        <f t="shared" si="6"/>
        <v>6.5476115370279366</v>
      </c>
      <c r="F15" s="128">
        <f t="shared" si="7"/>
        <v>4.3622340959570671</v>
      </c>
      <c r="G15" s="129">
        <f t="shared" si="8"/>
        <v>2.9460667172574415</v>
      </c>
      <c r="H15" s="59"/>
      <c r="I15" s="59"/>
      <c r="J15" s="59"/>
      <c r="K15" s="59"/>
      <c r="L15" s="59"/>
      <c r="M15" s="59"/>
      <c r="N15" s="59"/>
      <c r="O15" s="59"/>
      <c r="P15" s="60"/>
      <c r="Q15" s="311"/>
      <c r="R15" s="336" t="s">
        <v>353</v>
      </c>
      <c r="S15" s="330">
        <f t="shared" si="4"/>
        <v>436223.40959570667</v>
      </c>
      <c r="T15" s="330">
        <f>(Data!AN12+Data!DA12)/T$6*100000*T$3</f>
        <v>0</v>
      </c>
      <c r="U15" s="330">
        <f>(Data!AO12+Data!DB12)/U$6*100000*U$3</f>
        <v>0</v>
      </c>
      <c r="V15" s="330">
        <f>(Data!AP12+Data!DC12)/V$6*100000*V$3</f>
        <v>0</v>
      </c>
      <c r="W15" s="330">
        <f>(Data!AQ12+Data!DD12)/W$6*100000*W$3</f>
        <v>0</v>
      </c>
      <c r="X15" s="330">
        <f>(Data!AR12+Data!DE12)/X$6*100000*X$3</f>
        <v>3331.5406471755673</v>
      </c>
      <c r="Y15" s="330">
        <f>(Data!AS12+Data!DF12)/Y$6*100000*Y$3</f>
        <v>0</v>
      </c>
      <c r="Z15" s="330">
        <f>(Data!AT12+Data!DG12)/Z$6*100000*Z$3</f>
        <v>0</v>
      </c>
      <c r="AA15" s="330">
        <f>(Data!AU12+Data!DH12)/AA$6*100000*AA$3</f>
        <v>7711.2043799640887</v>
      </c>
      <c r="AB15" s="330">
        <f>(Data!AV12+Data!DI12)/AB$6*100000*AB$3</f>
        <v>10289.729380117304</v>
      </c>
      <c r="AC15" s="330">
        <f>(Data!AW12+Data!DJ12)/AC$6*100000*AC$3</f>
        <v>16607.197084725176</v>
      </c>
      <c r="AD15" s="330">
        <f>(Data!AX12+Data!DK12)/AD$6*100000*AD$3</f>
        <v>45285.948417148284</v>
      </c>
      <c r="AE15" s="330">
        <f>(Data!AY12+Data!DL12)/AE$6*100000*AE$3</f>
        <v>70089.705087831157</v>
      </c>
      <c r="AF15" s="330">
        <f>(Data!AZ12+Data!DM12)/AF$6*100000*AF$3</f>
        <v>49833.497490736838</v>
      </c>
      <c r="AG15" s="330">
        <f>(Data!BA12+Data!DN12)/AG$6*100000*AG$3</f>
        <v>51266.715085230913</v>
      </c>
      <c r="AH15" s="330">
        <f>(Data!BB12+Data!DO12)/AH$6*100000*AH$3</f>
        <v>77044.428954030154</v>
      </c>
      <c r="AI15" s="330">
        <f>(Data!BC12+Data!DP12)/AI$6*100000*AI$3</f>
        <v>39838.9841059053</v>
      </c>
      <c r="AJ15" s="330">
        <f>(Data!BD12+Data!DQ12)/AJ$6*100000*AJ$3</f>
        <v>32666.394446712944</v>
      </c>
      <c r="AK15" s="330">
        <f>(Data!BE12+Data!DR12)/AK$6*100000*AK$3</f>
        <v>32258.06451612903</v>
      </c>
      <c r="AL15" s="336" t="s">
        <v>353</v>
      </c>
      <c r="AM15" s="330">
        <f t="shared" si="5"/>
        <v>294606.67172574415</v>
      </c>
      <c r="AN15" s="330">
        <f>(Data!AN12+Data!DA12)/AN$6*100000*AN$3</f>
        <v>0</v>
      </c>
      <c r="AO15" s="330">
        <f>(Data!AO12+Data!DB12)/AO$6*100000*AO$3</f>
        <v>0</v>
      </c>
      <c r="AP15" s="330">
        <f>(Data!AP12+Data!DC12)/AP$6*100000*AP$3</f>
        <v>0</v>
      </c>
      <c r="AQ15" s="330">
        <f>(Data!AQ12+Data!DD12)/AQ$6*100000*AQ$3</f>
        <v>0</v>
      </c>
      <c r="AR15" s="330">
        <f>(Data!AR12+Data!DE12)/AR$6*100000*AR$3</f>
        <v>3807.4750253435059</v>
      </c>
      <c r="AS15" s="330">
        <f>(Data!AS12+Data!DF12)/AS$6*100000*AS$3</f>
        <v>0</v>
      </c>
      <c r="AT15" s="330">
        <f>(Data!AT12+Data!DG12)/AT$6*100000*AT$3</f>
        <v>0</v>
      </c>
      <c r="AU15" s="330">
        <f>(Data!AU12+Data!DH12)/AU$6*100000*AU$3</f>
        <v>6609.6037542549329</v>
      </c>
      <c r="AV15" s="330">
        <f>(Data!AV12+Data!DI12)/AV$6*100000*AV$3</f>
        <v>8819.7680401005455</v>
      </c>
      <c r="AW15" s="330">
        <f>(Data!AW12+Data!DJ12)/AW$6*100000*AW$3</f>
        <v>14234.740358335863</v>
      </c>
      <c r="AX15" s="330">
        <f>(Data!AX12+Data!DK12)/AX$6*100000*AX$3</f>
        <v>32347.106012248772</v>
      </c>
      <c r="AY15" s="330">
        <f>(Data!AY12+Data!DL12)/AY$6*100000*AY$3</f>
        <v>46726.470058554107</v>
      </c>
      <c r="AZ15" s="330">
        <f>(Data!AZ12+Data!DM12)/AZ$6*100000*AZ$3</f>
        <v>39866.797992589469</v>
      </c>
      <c r="BA15" s="330">
        <f>(Data!BA12+Data!DN12)/BA$6*100000*BA$3</f>
        <v>38450.036313923185</v>
      </c>
      <c r="BB15" s="330">
        <f>(Data!BB12+Data!DO12)/BB$6*100000*BB$3</f>
        <v>51362.952636020105</v>
      </c>
      <c r="BC15" s="330">
        <f>(Data!BC12+Data!DP12)/BC$6*100000*BC$3</f>
        <v>19919.49205295265</v>
      </c>
      <c r="BD15" s="330">
        <f>(Data!BD12+Data!DQ12)/BD$6*100000*BD$3</f>
        <v>16333.197223356472</v>
      </c>
      <c r="BE15" s="330">
        <f>(Data!BE12+Data!DR12)/BE$6*100000*BE$3</f>
        <v>16129.032258064515</v>
      </c>
    </row>
    <row r="16" spans="1:57" ht="12" customHeight="1">
      <c r="A16" s="30"/>
      <c r="B16" s="146" t="str">
        <f>UPPER(LEFT(TRIM(Data!B13),1)) &amp; MID(TRIM(Data!B13),2,50)</f>
        <v>Tulžies pūslės, ekstrahepatinių takų</v>
      </c>
      <c r="C16" s="125" t="str">
        <f>Data!C13</f>
        <v>C23, C24</v>
      </c>
      <c r="D16" s="138">
        <f>Data!E13+Data!BR13</f>
        <v>93</v>
      </c>
      <c r="E16" s="127">
        <f t="shared" si="6"/>
        <v>3.1714993382479069</v>
      </c>
      <c r="F16" s="128">
        <f t="shared" si="7"/>
        <v>1.975205828215667</v>
      </c>
      <c r="G16" s="129">
        <f t="shared" si="8"/>
        <v>1.2930491109942763</v>
      </c>
      <c r="H16" s="59"/>
      <c r="I16" s="59"/>
      <c r="J16" s="59"/>
      <c r="K16" s="59"/>
      <c r="L16" s="59"/>
      <c r="M16" s="59"/>
      <c r="N16" s="59"/>
      <c r="O16" s="59"/>
      <c r="P16" s="60"/>
      <c r="Q16" s="311"/>
      <c r="R16" s="336" t="s">
        <v>353</v>
      </c>
      <c r="S16" s="330">
        <f t="shared" si="4"/>
        <v>197520.5828215667</v>
      </c>
      <c r="T16" s="330">
        <f>(Data!AN13+Data!DA13)/T$6*100000*T$3</f>
        <v>0</v>
      </c>
      <c r="U16" s="330">
        <f>(Data!AO13+Data!DB13)/U$6*100000*U$3</f>
        <v>0</v>
      </c>
      <c r="V16" s="330">
        <f>(Data!AP13+Data!DC13)/V$6*100000*V$3</f>
        <v>0</v>
      </c>
      <c r="W16" s="330">
        <f>(Data!AQ13+Data!DD13)/W$6*100000*W$3</f>
        <v>0</v>
      </c>
      <c r="X16" s="330">
        <f>(Data!AR13+Data!DE13)/X$6*100000*X$3</f>
        <v>0</v>
      </c>
      <c r="Y16" s="330">
        <f>(Data!AS13+Data!DF13)/Y$6*100000*Y$3</f>
        <v>0</v>
      </c>
      <c r="Z16" s="330">
        <f>(Data!AT13+Data!DG13)/Z$6*100000*Z$3</f>
        <v>0</v>
      </c>
      <c r="AA16" s="330">
        <f>(Data!AU13+Data!DH13)/AA$6*100000*AA$3</f>
        <v>0</v>
      </c>
      <c r="AB16" s="330">
        <f>(Data!AV13+Data!DI13)/AB$6*100000*AB$3</f>
        <v>0</v>
      </c>
      <c r="AC16" s="330">
        <f>(Data!AW13+Data!DJ13)/AC$6*100000*AC$3</f>
        <v>6642.8788338900704</v>
      </c>
      <c r="AD16" s="330">
        <f>(Data!AX13+Data!DK13)/AD$6*100000*AD$3</f>
        <v>12076.25291123954</v>
      </c>
      <c r="AE16" s="330">
        <f>(Data!AY13+Data!DL13)/AE$6*100000*AE$3</f>
        <v>17522.426271957789</v>
      </c>
      <c r="AF16" s="330">
        <f>(Data!AZ13+Data!DM13)/AF$6*100000*AF$3</f>
        <v>32245.204258712067</v>
      </c>
      <c r="AG16" s="330">
        <f>(Data!BA13+Data!DN13)/AG$6*100000*AG$3</f>
        <v>28481.508380683841</v>
      </c>
      <c r="AH16" s="330">
        <f>(Data!BB13+Data!DO13)/AH$6*100000*AH$3</f>
        <v>35220.31037898521</v>
      </c>
      <c r="AI16" s="330">
        <f>(Data!BC13+Data!DP13)/AI$6*100000*AI$3</f>
        <v>21579.449724032038</v>
      </c>
      <c r="AJ16" s="330">
        <f>(Data!BD13+Data!DQ13)/AJ$6*100000*AJ$3</f>
        <v>16333.197223356472</v>
      </c>
      <c r="AK16" s="330">
        <f>(Data!BE13+Data!DR13)/AK$6*100000*AK$3</f>
        <v>27419.354838709678</v>
      </c>
      <c r="AL16" s="336" t="s">
        <v>353</v>
      </c>
      <c r="AM16" s="330">
        <f t="shared" si="5"/>
        <v>129304.91109942764</v>
      </c>
      <c r="AN16" s="330">
        <f>(Data!AN13+Data!DA13)/AN$6*100000*AN$3</f>
        <v>0</v>
      </c>
      <c r="AO16" s="330">
        <f>(Data!AO13+Data!DB13)/AO$6*100000*AO$3</f>
        <v>0</v>
      </c>
      <c r="AP16" s="330">
        <f>(Data!AP13+Data!DC13)/AP$6*100000*AP$3</f>
        <v>0</v>
      </c>
      <c r="AQ16" s="330">
        <f>(Data!AQ13+Data!DD13)/AQ$6*100000*AQ$3</f>
        <v>0</v>
      </c>
      <c r="AR16" s="330">
        <f>(Data!AR13+Data!DE13)/AR$6*100000*AR$3</f>
        <v>0</v>
      </c>
      <c r="AS16" s="330">
        <f>(Data!AS13+Data!DF13)/AS$6*100000*AS$3</f>
        <v>0</v>
      </c>
      <c r="AT16" s="330">
        <f>(Data!AT13+Data!DG13)/AT$6*100000*AT$3</f>
        <v>0</v>
      </c>
      <c r="AU16" s="330">
        <f>(Data!AU13+Data!DH13)/AU$6*100000*AU$3</f>
        <v>0</v>
      </c>
      <c r="AV16" s="330">
        <f>(Data!AV13+Data!DI13)/AV$6*100000*AV$3</f>
        <v>0</v>
      </c>
      <c r="AW16" s="330">
        <f>(Data!AW13+Data!DJ13)/AW$6*100000*AW$3</f>
        <v>5693.8961433343466</v>
      </c>
      <c r="AX16" s="330">
        <f>(Data!AX13+Data!DK13)/AX$6*100000*AX$3</f>
        <v>8625.8949365996723</v>
      </c>
      <c r="AY16" s="330">
        <f>(Data!AY13+Data!DL13)/AY$6*100000*AY$3</f>
        <v>11681.617514638527</v>
      </c>
      <c r="AZ16" s="330">
        <f>(Data!AZ13+Data!DM13)/AZ$6*100000*AZ$3</f>
        <v>25796.163406969656</v>
      </c>
      <c r="BA16" s="330">
        <f>(Data!BA13+Data!DN13)/BA$6*100000*BA$3</f>
        <v>21361.131285512882</v>
      </c>
      <c r="BB16" s="330">
        <f>(Data!BB13+Data!DO13)/BB$6*100000*BB$3</f>
        <v>23480.206919323475</v>
      </c>
      <c r="BC16" s="330">
        <f>(Data!BC13+Data!DP13)/BC$6*100000*BC$3</f>
        <v>10789.724862016019</v>
      </c>
      <c r="BD16" s="330">
        <f>(Data!BD13+Data!DQ13)/BD$6*100000*BD$3</f>
        <v>8166.598611678236</v>
      </c>
      <c r="BE16" s="330">
        <f>(Data!BE13+Data!DR13)/BE$6*100000*BE$3</f>
        <v>13709.677419354839</v>
      </c>
    </row>
    <row r="17" spans="1:388" ht="12" customHeight="1">
      <c r="A17" s="30"/>
      <c r="B17" s="146" t="str">
        <f>UPPER(LEFT(TRIM(Data!B14),1)) &amp; MID(TRIM(Data!B14),2,50)</f>
        <v>Kasos</v>
      </c>
      <c r="C17" s="125" t="str">
        <f>Data!C14</f>
        <v>C25</v>
      </c>
      <c r="D17" s="138">
        <f>Data!E14+Data!BR14</f>
        <v>474</v>
      </c>
      <c r="E17" s="127">
        <f t="shared" si="6"/>
        <v>16.16441598203772</v>
      </c>
      <c r="F17" s="128">
        <f t="shared" si="7"/>
        <v>10.769647341713025</v>
      </c>
      <c r="G17" s="129">
        <f t="shared" si="8"/>
        <v>7.2651473933369992</v>
      </c>
      <c r="H17" s="59"/>
      <c r="I17" s="59"/>
      <c r="J17" s="59"/>
      <c r="K17" s="59"/>
      <c r="L17" s="59"/>
      <c r="M17" s="59"/>
      <c r="N17" s="59"/>
      <c r="O17" s="59"/>
      <c r="P17" s="60"/>
      <c r="Q17" s="311"/>
      <c r="R17" s="336" t="s">
        <v>353</v>
      </c>
      <c r="S17" s="330">
        <f t="shared" si="4"/>
        <v>1076964.7341713025</v>
      </c>
      <c r="T17" s="330">
        <f>(Data!AN14+Data!DA14)/T$6*100000*T$3</f>
        <v>0</v>
      </c>
      <c r="U17" s="330">
        <f>(Data!AO14+Data!DB14)/U$6*100000*U$3</f>
        <v>0</v>
      </c>
      <c r="V17" s="330">
        <f>(Data!AP14+Data!DC14)/V$6*100000*V$3</f>
        <v>0</v>
      </c>
      <c r="W17" s="330">
        <f>(Data!AQ14+Data!DD14)/W$6*100000*W$3</f>
        <v>0</v>
      </c>
      <c r="X17" s="330">
        <f>(Data!AR14+Data!DE14)/X$6*100000*X$3</f>
        <v>0</v>
      </c>
      <c r="Y17" s="330">
        <f>(Data!AS14+Data!DF14)/Y$6*100000*Y$3</f>
        <v>0</v>
      </c>
      <c r="Z17" s="330">
        <f>(Data!AT14+Data!DG14)/Z$6*100000*Z$3</f>
        <v>3963.9394763069672</v>
      </c>
      <c r="AA17" s="330">
        <f>(Data!AU14+Data!DH14)/AA$6*100000*AA$3</f>
        <v>3855.6021899820444</v>
      </c>
      <c r="AB17" s="330">
        <f>(Data!AV14+Data!DI14)/AB$6*100000*AB$3</f>
        <v>13719.639173489737</v>
      </c>
      <c r="AC17" s="330">
        <f>(Data!AW14+Data!DJ14)/AC$6*100000*AC$3</f>
        <v>53143.030671120563</v>
      </c>
      <c r="AD17" s="330">
        <f>(Data!AX14+Data!DK14)/AD$6*100000*AD$3</f>
        <v>102648.14974553609</v>
      </c>
      <c r="AE17" s="330">
        <f>(Data!AY14+Data!DL14)/AE$6*100000*AE$3</f>
        <v>116816.17514638527</v>
      </c>
      <c r="AF17" s="330">
        <f>(Data!AZ14+Data!DM14)/AF$6*100000*AF$3</f>
        <v>152431.87467754798</v>
      </c>
      <c r="AG17" s="330">
        <f>(Data!BA14+Data!DN14)/AG$6*100000*AG$3</f>
        <v>185129.80447444497</v>
      </c>
      <c r="AH17" s="330">
        <f>(Data!BB14+Data!DO14)/AH$6*100000*AH$3</f>
        <v>167296.47430017978</v>
      </c>
      <c r="AI17" s="330">
        <f>(Data!BC14+Data!DP14)/AI$6*100000*AI$3</f>
        <v>129476.69834419222</v>
      </c>
      <c r="AJ17" s="330">
        <f>(Data!BD14+Data!DQ14)/AJ$6*100000*AJ$3</f>
        <v>62999.475004374959</v>
      </c>
      <c r="AK17" s="330">
        <f>(Data!BE14+Data!DR14)/AK$6*100000*AK$3</f>
        <v>85483.870967741939</v>
      </c>
      <c r="AL17" s="336" t="s">
        <v>353</v>
      </c>
      <c r="AM17" s="330">
        <f t="shared" si="5"/>
        <v>726514.73933369992</v>
      </c>
      <c r="AN17" s="330">
        <f>(Data!AN14+Data!DA14)/AN$6*100000*AN$3</f>
        <v>0</v>
      </c>
      <c r="AO17" s="330">
        <f>(Data!AO14+Data!DB14)/AO$6*100000*AO$3</f>
        <v>0</v>
      </c>
      <c r="AP17" s="330">
        <f>(Data!AP14+Data!DC14)/AP$6*100000*AP$3</f>
        <v>0</v>
      </c>
      <c r="AQ17" s="330">
        <f>(Data!AQ14+Data!DD14)/AQ$6*100000*AQ$3</f>
        <v>0</v>
      </c>
      <c r="AR17" s="330">
        <f>(Data!AR14+Data!DE14)/AR$6*100000*AR$3</f>
        <v>0</v>
      </c>
      <c r="AS17" s="330">
        <f>(Data!AS14+Data!DF14)/AS$6*100000*AS$3</f>
        <v>0</v>
      </c>
      <c r="AT17" s="330">
        <f>(Data!AT14+Data!DG14)/AT$6*100000*AT$3</f>
        <v>3397.6624082631147</v>
      </c>
      <c r="AU17" s="330">
        <f>(Data!AU14+Data!DH14)/AU$6*100000*AU$3</f>
        <v>3304.8018771274665</v>
      </c>
      <c r="AV17" s="330">
        <f>(Data!AV14+Data!DI14)/AV$6*100000*AV$3</f>
        <v>11759.69072013406</v>
      </c>
      <c r="AW17" s="330">
        <f>(Data!AW14+Data!DJ14)/AW$6*100000*AW$3</f>
        <v>45551.169146674772</v>
      </c>
      <c r="AX17" s="330">
        <f>(Data!AX14+Data!DK14)/AX$6*100000*AX$3</f>
        <v>73320.106961097219</v>
      </c>
      <c r="AY17" s="330">
        <f>(Data!AY14+Data!DL14)/AY$6*100000*AY$3</f>
        <v>77877.45009759019</v>
      </c>
      <c r="AZ17" s="330">
        <f>(Data!AZ14+Data!DM14)/AZ$6*100000*AZ$3</f>
        <v>121945.49974203837</v>
      </c>
      <c r="BA17" s="330">
        <f>(Data!BA14+Data!DN14)/BA$6*100000*BA$3</f>
        <v>138847.35335583374</v>
      </c>
      <c r="BB17" s="330">
        <f>(Data!BB14+Data!DO14)/BB$6*100000*BB$3</f>
        <v>111530.98286678652</v>
      </c>
      <c r="BC17" s="330">
        <f>(Data!BC14+Data!DP14)/BC$6*100000*BC$3</f>
        <v>64738.34917209611</v>
      </c>
      <c r="BD17" s="330">
        <f>(Data!BD14+Data!DQ14)/BD$6*100000*BD$3</f>
        <v>31499.73750218748</v>
      </c>
      <c r="BE17" s="330">
        <f>(Data!BE14+Data!DR14)/BE$6*100000*BE$3</f>
        <v>42741.93548387097</v>
      </c>
    </row>
    <row r="18" spans="1:388" ht="12" customHeight="1">
      <c r="A18" s="30"/>
      <c r="B18" s="146" t="str">
        <f>UPPER(LEFT(TRIM(Data!B15),1)) &amp; MID(TRIM(Data!B15),2,50)</f>
        <v>Kitų virškinimo sistemos organų</v>
      </c>
      <c r="C18" s="125" t="str">
        <f>Data!C15</f>
        <v>C17, C26, C48</v>
      </c>
      <c r="D18" s="138">
        <f>Data!E15+Data!BR15</f>
        <v>64</v>
      </c>
      <c r="E18" s="127">
        <f t="shared" si="6"/>
        <v>2.1825371790093122</v>
      </c>
      <c r="F18" s="128">
        <f t="shared" si="7"/>
        <v>1.3803731253230858</v>
      </c>
      <c r="G18" s="129">
        <f t="shared" si="8"/>
        <v>0.97142583270189742</v>
      </c>
      <c r="H18" s="59"/>
      <c r="I18" s="59"/>
      <c r="J18" s="59"/>
      <c r="K18" s="59"/>
      <c r="L18" s="59"/>
      <c r="M18" s="59"/>
      <c r="N18" s="59"/>
      <c r="O18" s="59"/>
      <c r="P18" s="60"/>
      <c r="Q18" s="311"/>
      <c r="R18" s="336" t="s">
        <v>353</v>
      </c>
      <c r="S18" s="330">
        <f t="shared" si="4"/>
        <v>138037.31253230857</v>
      </c>
      <c r="T18" s="330">
        <f>(Data!AN15+Data!DA15)/T$6*100000*T$3</f>
        <v>5305.3916042177862</v>
      </c>
      <c r="U18" s="330">
        <f>(Data!AO15+Data!DB15)/U$6*100000*U$3</f>
        <v>0</v>
      </c>
      <c r="V18" s="330">
        <f>(Data!AP15+Data!DC15)/V$6*100000*V$3</f>
        <v>0</v>
      </c>
      <c r="W18" s="330">
        <f>(Data!AQ15+Data!DD15)/W$6*100000*W$3</f>
        <v>4027.6874744673382</v>
      </c>
      <c r="X18" s="330">
        <f>(Data!AR15+Data!DE15)/X$6*100000*X$3</f>
        <v>0</v>
      </c>
      <c r="Y18" s="330">
        <f>(Data!AS15+Data!DF15)/Y$6*100000*Y$3</f>
        <v>0</v>
      </c>
      <c r="Z18" s="330">
        <f>(Data!AT15+Data!DG15)/Z$6*100000*Z$3</f>
        <v>0</v>
      </c>
      <c r="AA18" s="330">
        <f>(Data!AU15+Data!DH15)/AA$6*100000*AA$3</f>
        <v>11566.806569946131</v>
      </c>
      <c r="AB18" s="330">
        <f>(Data!AV15+Data!DI15)/AB$6*100000*AB$3</f>
        <v>0</v>
      </c>
      <c r="AC18" s="330">
        <f>(Data!AW15+Data!DJ15)/AC$6*100000*AC$3</f>
        <v>3321.4394169450352</v>
      </c>
      <c r="AD18" s="330">
        <f>(Data!AX15+Data!DK15)/AD$6*100000*AD$3</f>
        <v>6038.1264556197702</v>
      </c>
      <c r="AE18" s="330">
        <f>(Data!AY15+Data!DL15)/AE$6*100000*AE$3</f>
        <v>8761.2131359788946</v>
      </c>
      <c r="AF18" s="330">
        <f>(Data!AZ15+Data!DM15)/AF$6*100000*AF$3</f>
        <v>14656.911026687303</v>
      </c>
      <c r="AG18" s="330">
        <f>(Data!BA15+Data!DN15)/AG$6*100000*AG$3</f>
        <v>19937.055866478688</v>
      </c>
      <c r="AH18" s="330">
        <f>(Data!BB15+Data!DO15)/AH$6*100000*AH$3</f>
        <v>13207.616392119455</v>
      </c>
      <c r="AI18" s="330">
        <f>(Data!BC15+Data!DP15)/AI$6*100000*AI$3</f>
        <v>19919.49205295265</v>
      </c>
      <c r="AJ18" s="330">
        <f>(Data!BD15+Data!DQ15)/AJ$6*100000*AJ$3</f>
        <v>15166.540278831011</v>
      </c>
      <c r="AK18" s="330">
        <f>(Data!BE15+Data!DR15)/AK$6*100000*AK$3</f>
        <v>16129.032258064515</v>
      </c>
      <c r="AL18" s="336" t="s">
        <v>353</v>
      </c>
      <c r="AM18" s="330">
        <f t="shared" si="5"/>
        <v>97142.583270189745</v>
      </c>
      <c r="AN18" s="330">
        <f>(Data!AN15+Data!DA15)/AN$6*100000*AN$3</f>
        <v>7958.0874063266792</v>
      </c>
      <c r="AO18" s="330">
        <f>(Data!AO15+Data!DB15)/AO$6*100000*AO$3</f>
        <v>0</v>
      </c>
      <c r="AP18" s="330">
        <f>(Data!AP15+Data!DC15)/AP$6*100000*AP$3</f>
        <v>0</v>
      </c>
      <c r="AQ18" s="330">
        <f>(Data!AQ15+Data!DD15)/AQ$6*100000*AQ$3</f>
        <v>5178.4553243151486</v>
      </c>
      <c r="AR18" s="330">
        <f>(Data!AR15+Data!DE15)/AR$6*100000*AR$3</f>
        <v>0</v>
      </c>
      <c r="AS18" s="330">
        <f>(Data!AS15+Data!DF15)/AS$6*100000*AS$3</f>
        <v>0</v>
      </c>
      <c r="AT18" s="330">
        <f>(Data!AT15+Data!DG15)/AT$6*100000*AT$3</f>
        <v>0</v>
      </c>
      <c r="AU18" s="330">
        <f>(Data!AU15+Data!DH15)/AU$6*100000*AU$3</f>
        <v>9914.4056313823985</v>
      </c>
      <c r="AV18" s="330">
        <f>(Data!AV15+Data!DI15)/AV$6*100000*AV$3</f>
        <v>0</v>
      </c>
      <c r="AW18" s="330">
        <f>(Data!AW15+Data!DJ15)/AW$6*100000*AW$3</f>
        <v>2846.9480716671733</v>
      </c>
      <c r="AX18" s="330">
        <f>(Data!AX15+Data!DK15)/AX$6*100000*AX$3</f>
        <v>4312.9474682998361</v>
      </c>
      <c r="AY18" s="330">
        <f>(Data!AY15+Data!DL15)/AY$6*100000*AY$3</f>
        <v>5840.8087573192633</v>
      </c>
      <c r="AZ18" s="330">
        <f>(Data!AZ15+Data!DM15)/AZ$6*100000*AZ$3</f>
        <v>11725.528821349842</v>
      </c>
      <c r="BA18" s="330">
        <f>(Data!BA15+Data!DN15)/BA$6*100000*BA$3</f>
        <v>14952.791899859016</v>
      </c>
      <c r="BB18" s="330">
        <f>(Data!BB15+Data!DO15)/BB$6*100000*BB$3</f>
        <v>8805.0775947463026</v>
      </c>
      <c r="BC18" s="330">
        <f>(Data!BC15+Data!DP15)/BC$6*100000*BC$3</f>
        <v>9959.7460264763249</v>
      </c>
      <c r="BD18" s="330">
        <f>(Data!BD15+Data!DQ15)/BD$6*100000*BD$3</f>
        <v>7583.2701394155056</v>
      </c>
      <c r="BE18" s="330">
        <f>(Data!BE15+Data!DR15)/BE$6*100000*BE$3</f>
        <v>8064.5161290322576</v>
      </c>
    </row>
    <row r="19" spans="1:388" ht="12" customHeight="1">
      <c r="A19" s="30"/>
      <c r="B19" s="146" t="str">
        <f>UPPER(LEFT(TRIM(Data!B16),1)) &amp; MID(TRIM(Data!B16),2,50)</f>
        <v>Nosies ertmės, vid.ausies ir ančių</v>
      </c>
      <c r="C19" s="125" t="str">
        <f>Data!C16</f>
        <v>C30, C31</v>
      </c>
      <c r="D19" s="138">
        <f>Data!E16+Data!BR16</f>
        <v>23</v>
      </c>
      <c r="E19" s="127">
        <f t="shared" si="6"/>
        <v>0.78434929870647152</v>
      </c>
      <c r="F19" s="128">
        <f t="shared" si="7"/>
        <v>0.60440137636462077</v>
      </c>
      <c r="G19" s="129">
        <f t="shared" si="8"/>
        <v>0.44584479079502826</v>
      </c>
      <c r="H19" s="59"/>
      <c r="I19" s="59"/>
      <c r="J19" s="59"/>
      <c r="K19" s="59"/>
      <c r="L19" s="59"/>
      <c r="M19" s="59"/>
      <c r="N19" s="59"/>
      <c r="O19" s="59"/>
      <c r="P19" s="60"/>
      <c r="Q19" s="311"/>
      <c r="R19" s="336" t="s">
        <v>353</v>
      </c>
      <c r="S19" s="330">
        <f t="shared" si="4"/>
        <v>60440.137636462074</v>
      </c>
      <c r="T19" s="330">
        <f>(Data!AN16+Data!DA16)/T$6*100000*T$3</f>
        <v>0</v>
      </c>
      <c r="U19" s="330">
        <f>(Data!AO16+Data!DB16)/U$6*100000*U$3</f>
        <v>0</v>
      </c>
      <c r="V19" s="330">
        <f>(Data!AP16+Data!DC16)/V$6*100000*V$3</f>
        <v>0</v>
      </c>
      <c r="W19" s="330">
        <f>(Data!AQ16+Data!DD16)/W$6*100000*W$3</f>
        <v>0</v>
      </c>
      <c r="X19" s="330">
        <f>(Data!AR16+Data!DE16)/X$6*100000*X$3</f>
        <v>0</v>
      </c>
      <c r="Y19" s="330">
        <f>(Data!AS16+Data!DF16)/Y$6*100000*Y$3</f>
        <v>0</v>
      </c>
      <c r="Z19" s="330">
        <f>(Data!AT16+Data!DG16)/Z$6*100000*Z$3</f>
        <v>0</v>
      </c>
      <c r="AA19" s="330">
        <f>(Data!AU16+Data!DH16)/AA$6*100000*AA$3</f>
        <v>0</v>
      </c>
      <c r="AB19" s="330">
        <f>(Data!AV16+Data!DI16)/AB$6*100000*AB$3</f>
        <v>3429.9097933724343</v>
      </c>
      <c r="AC19" s="330">
        <f>(Data!AW16+Data!DJ16)/AC$6*100000*AC$3</f>
        <v>9964.3182508351056</v>
      </c>
      <c r="AD19" s="330">
        <f>(Data!AX16+Data!DK16)/AD$6*100000*AD$3</f>
        <v>0</v>
      </c>
      <c r="AE19" s="330">
        <f>(Data!AY16+Data!DL16)/AE$6*100000*AE$3</f>
        <v>11681.617514638527</v>
      </c>
      <c r="AF19" s="330">
        <f>(Data!AZ16+Data!DM16)/AF$6*100000*AF$3</f>
        <v>14656.911026687303</v>
      </c>
      <c r="AG19" s="330">
        <f>(Data!BA16+Data!DN16)/AG$6*100000*AG$3</f>
        <v>8544.4525142051534</v>
      </c>
      <c r="AH19" s="330">
        <f>(Data!BB16+Data!DO16)/AH$6*100000*AH$3</f>
        <v>6603.8081960597274</v>
      </c>
      <c r="AI19" s="330">
        <f>(Data!BC16+Data!DP16)/AI$6*100000*AI$3</f>
        <v>0</v>
      </c>
      <c r="AJ19" s="330">
        <f>(Data!BD16+Data!DQ16)/AJ$6*100000*AJ$3</f>
        <v>2333.3138890509249</v>
      </c>
      <c r="AK19" s="330">
        <f>(Data!BE16+Data!DR16)/AK$6*100000*AK$3</f>
        <v>3225.8064516129034</v>
      </c>
      <c r="AL19" s="336" t="s">
        <v>353</v>
      </c>
      <c r="AM19" s="330">
        <f t="shared" si="5"/>
        <v>44584.479079502824</v>
      </c>
      <c r="AN19" s="330">
        <f>(Data!AN16+Data!DA16)/AN$6*100000*AN$3</f>
        <v>0</v>
      </c>
      <c r="AO19" s="330">
        <f>(Data!AO16+Data!DB16)/AO$6*100000*AO$3</f>
        <v>0</v>
      </c>
      <c r="AP19" s="330">
        <f>(Data!AP16+Data!DC16)/AP$6*100000*AP$3</f>
        <v>0</v>
      </c>
      <c r="AQ19" s="330">
        <f>(Data!AQ16+Data!DD16)/AQ$6*100000*AQ$3</f>
        <v>0</v>
      </c>
      <c r="AR19" s="330">
        <f>(Data!AR16+Data!DE16)/AR$6*100000*AR$3</f>
        <v>0</v>
      </c>
      <c r="AS19" s="330">
        <f>(Data!AS16+Data!DF16)/AS$6*100000*AS$3</f>
        <v>0</v>
      </c>
      <c r="AT19" s="330">
        <f>(Data!AT16+Data!DG16)/AT$6*100000*AT$3</f>
        <v>0</v>
      </c>
      <c r="AU19" s="330">
        <f>(Data!AU16+Data!DH16)/AU$6*100000*AU$3</f>
        <v>0</v>
      </c>
      <c r="AV19" s="330">
        <f>(Data!AV16+Data!DI16)/AV$6*100000*AV$3</f>
        <v>2939.922680033515</v>
      </c>
      <c r="AW19" s="330">
        <f>(Data!AW16+Data!DJ16)/AW$6*100000*AW$3</f>
        <v>8540.844215001518</v>
      </c>
      <c r="AX19" s="330">
        <f>(Data!AX16+Data!DK16)/AX$6*100000*AX$3</f>
        <v>0</v>
      </c>
      <c r="AY19" s="330">
        <f>(Data!AY16+Data!DL16)/AY$6*100000*AY$3</f>
        <v>7787.7450097590181</v>
      </c>
      <c r="AZ19" s="330">
        <f>(Data!AZ16+Data!DM16)/AZ$6*100000*AZ$3</f>
        <v>11725.528821349842</v>
      </c>
      <c r="BA19" s="330">
        <f>(Data!BA16+Data!DN16)/BA$6*100000*BA$3</f>
        <v>6408.3393856538651</v>
      </c>
      <c r="BB19" s="330">
        <f>(Data!BB16+Data!DO16)/BB$6*100000*BB$3</f>
        <v>4402.5387973731513</v>
      </c>
      <c r="BC19" s="330">
        <f>(Data!BC16+Data!DP16)/BC$6*100000*BC$3</f>
        <v>0</v>
      </c>
      <c r="BD19" s="330">
        <f>(Data!BD16+Data!DQ16)/BD$6*100000*BD$3</f>
        <v>1166.6569445254624</v>
      </c>
      <c r="BE19" s="330">
        <f>(Data!BE16+Data!DR16)/BE$6*100000*BE$3</f>
        <v>1612.9032258064517</v>
      </c>
    </row>
    <row r="20" spans="1:388" ht="12" customHeight="1">
      <c r="A20" s="30"/>
      <c r="B20" s="146" t="str">
        <f>UPPER(LEFT(TRIM(Data!B17),1)) &amp; MID(TRIM(Data!B17),2,50)</f>
        <v>Gerklų</v>
      </c>
      <c r="C20" s="125" t="str">
        <f>Data!C17</f>
        <v>C32</v>
      </c>
      <c r="D20" s="138">
        <f>Data!E17+Data!BR17</f>
        <v>115</v>
      </c>
      <c r="E20" s="127">
        <f t="shared" si="6"/>
        <v>3.9217464935323578</v>
      </c>
      <c r="F20" s="128">
        <f t="shared" si="7"/>
        <v>2.8184935883172457</v>
      </c>
      <c r="G20" s="129">
        <f t="shared" si="8"/>
        <v>1.978955865383232</v>
      </c>
      <c r="H20" s="59"/>
      <c r="I20" s="59"/>
      <c r="J20" s="59"/>
      <c r="K20" s="59"/>
      <c r="L20" s="59"/>
      <c r="M20" s="59"/>
      <c r="N20" s="59"/>
      <c r="O20" s="59"/>
      <c r="P20" s="60"/>
      <c r="Q20" s="311"/>
      <c r="R20" s="336" t="s">
        <v>353</v>
      </c>
      <c r="S20" s="330">
        <f t="shared" si="4"/>
        <v>281849.35883172456</v>
      </c>
      <c r="T20" s="330">
        <f>(Data!AN17+Data!DA17)/T$6*100000*T$3</f>
        <v>0</v>
      </c>
      <c r="U20" s="330">
        <f>(Data!AO17+Data!DB17)/U$6*100000*U$3</f>
        <v>0</v>
      </c>
      <c r="V20" s="330">
        <f>(Data!AP17+Data!DC17)/V$6*100000*V$3</f>
        <v>0</v>
      </c>
      <c r="W20" s="330">
        <f>(Data!AQ17+Data!DD17)/W$6*100000*W$3</f>
        <v>0</v>
      </c>
      <c r="X20" s="330">
        <f>(Data!AR17+Data!DE17)/X$6*100000*X$3</f>
        <v>0</v>
      </c>
      <c r="Y20" s="330">
        <f>(Data!AS17+Data!DF17)/Y$6*100000*Y$3</f>
        <v>0</v>
      </c>
      <c r="Z20" s="330">
        <f>(Data!AT17+Data!DG17)/Z$6*100000*Z$3</f>
        <v>0</v>
      </c>
      <c r="AA20" s="330">
        <f>(Data!AU17+Data!DH17)/AA$6*100000*AA$3</f>
        <v>0</v>
      </c>
      <c r="AB20" s="330">
        <f>(Data!AV17+Data!DI17)/AB$6*100000*AB$3</f>
        <v>6859.8195867448685</v>
      </c>
      <c r="AC20" s="330">
        <f>(Data!AW17+Data!DJ17)/AC$6*100000*AC$3</f>
        <v>29892.954752505317</v>
      </c>
      <c r="AD20" s="330">
        <f>(Data!AX17+Data!DK17)/AD$6*100000*AD$3</f>
        <v>12076.25291123954</v>
      </c>
      <c r="AE20" s="330">
        <f>(Data!AY17+Data!DL17)/AE$6*100000*AE$3</f>
        <v>46726.470058554107</v>
      </c>
      <c r="AF20" s="330">
        <f>(Data!AZ17+Data!DM17)/AF$6*100000*AF$3</f>
        <v>46902.11528539937</v>
      </c>
      <c r="AG20" s="330">
        <f>(Data!BA17+Data!DN17)/AG$6*100000*AG$3</f>
        <v>54114.865923299294</v>
      </c>
      <c r="AH20" s="330">
        <f>(Data!BB17+Data!DO17)/AH$6*100000*AH$3</f>
        <v>35220.31037898521</v>
      </c>
      <c r="AI20" s="330">
        <f>(Data!BC17+Data!DP17)/AI$6*100000*AI$3</f>
        <v>29879.238079428975</v>
      </c>
      <c r="AJ20" s="330">
        <f>(Data!BD17+Data!DQ17)/AJ$6*100000*AJ$3</f>
        <v>10499.91250072916</v>
      </c>
      <c r="AK20" s="330">
        <f>(Data!BE17+Data!DR17)/AK$6*100000*AK$3</f>
        <v>9677.4193548387102</v>
      </c>
      <c r="AL20" s="336" t="s">
        <v>353</v>
      </c>
      <c r="AM20" s="330">
        <f t="shared" si="5"/>
        <v>197895.5865383232</v>
      </c>
      <c r="AN20" s="330">
        <f>(Data!AN17+Data!DA17)/AN$6*100000*AN$3</f>
        <v>0</v>
      </c>
      <c r="AO20" s="330">
        <f>(Data!AO17+Data!DB17)/AO$6*100000*AO$3</f>
        <v>0</v>
      </c>
      <c r="AP20" s="330">
        <f>(Data!AP17+Data!DC17)/AP$6*100000*AP$3</f>
        <v>0</v>
      </c>
      <c r="AQ20" s="330">
        <f>(Data!AQ17+Data!DD17)/AQ$6*100000*AQ$3</f>
        <v>0</v>
      </c>
      <c r="AR20" s="330">
        <f>(Data!AR17+Data!DE17)/AR$6*100000*AR$3</f>
        <v>0</v>
      </c>
      <c r="AS20" s="330">
        <f>(Data!AS17+Data!DF17)/AS$6*100000*AS$3</f>
        <v>0</v>
      </c>
      <c r="AT20" s="330">
        <f>(Data!AT17+Data!DG17)/AT$6*100000*AT$3</f>
        <v>0</v>
      </c>
      <c r="AU20" s="330">
        <f>(Data!AU17+Data!DH17)/AU$6*100000*AU$3</f>
        <v>0</v>
      </c>
      <c r="AV20" s="330">
        <f>(Data!AV17+Data!DI17)/AV$6*100000*AV$3</f>
        <v>5879.84536006703</v>
      </c>
      <c r="AW20" s="330">
        <f>(Data!AW17+Data!DJ17)/AW$6*100000*AW$3</f>
        <v>25622.532645004558</v>
      </c>
      <c r="AX20" s="330">
        <f>(Data!AX17+Data!DK17)/AX$6*100000*AX$3</f>
        <v>8625.8949365996723</v>
      </c>
      <c r="AY20" s="330">
        <f>(Data!AY17+Data!DL17)/AY$6*100000*AY$3</f>
        <v>31150.980039036072</v>
      </c>
      <c r="AZ20" s="330">
        <f>(Data!AZ17+Data!DM17)/AZ$6*100000*AZ$3</f>
        <v>37521.692228319494</v>
      </c>
      <c r="BA20" s="330">
        <f>(Data!BA17+Data!DN17)/BA$6*100000*BA$3</f>
        <v>40586.149442474467</v>
      </c>
      <c r="BB20" s="330">
        <f>(Data!BB17+Data!DO17)/BB$6*100000*BB$3</f>
        <v>23480.206919323475</v>
      </c>
      <c r="BC20" s="330">
        <f>(Data!BC17+Data!DP17)/BC$6*100000*BC$3</f>
        <v>14939.619039714487</v>
      </c>
      <c r="BD20" s="330">
        <f>(Data!BD17+Data!DQ17)/BD$6*100000*BD$3</f>
        <v>5249.9562503645802</v>
      </c>
      <c r="BE20" s="330">
        <f>(Data!BE17+Data!DR17)/BE$6*100000*BE$3</f>
        <v>4838.7096774193551</v>
      </c>
    </row>
    <row r="21" spans="1:388" ht="12" customHeight="1">
      <c r="A21" s="30"/>
      <c r="B21" s="147" t="str">
        <f>UPPER(LEFT(TRIM(Data!B18),1)) &amp; MID(TRIM(Data!B18),2,50)</f>
        <v>Plaučių, trachėjos, bronchų</v>
      </c>
      <c r="C21" s="141" t="str">
        <f>Data!C18</f>
        <v>C33, C34</v>
      </c>
      <c r="D21" s="142">
        <f>Data!E18+Data!BR18</f>
        <v>1336</v>
      </c>
      <c r="E21" s="149">
        <f t="shared" si="6"/>
        <v>45.560463611819394</v>
      </c>
      <c r="F21" s="150">
        <f t="shared" si="7"/>
        <v>31.598038438582762</v>
      </c>
      <c r="G21" s="144">
        <f t="shared" si="8"/>
        <v>21.690427330169925</v>
      </c>
      <c r="H21" s="59"/>
      <c r="I21" s="59"/>
      <c r="J21" s="59"/>
      <c r="K21" s="59"/>
      <c r="L21" s="59"/>
      <c r="M21" s="59"/>
      <c r="N21" s="59"/>
      <c r="O21" s="59"/>
      <c r="P21" s="60"/>
      <c r="Q21" s="311"/>
      <c r="R21" s="336" t="s">
        <v>353</v>
      </c>
      <c r="S21" s="330">
        <f t="shared" si="4"/>
        <v>3159803.843858276</v>
      </c>
      <c r="T21" s="330">
        <f>(Data!AN18+Data!DA18)/T$6*100000*T$3</f>
        <v>0</v>
      </c>
      <c r="U21" s="330">
        <f>(Data!AO18+Data!DB18)/U$6*100000*U$3</f>
        <v>0</v>
      </c>
      <c r="V21" s="330">
        <f>(Data!AP18+Data!DC18)/V$6*100000*V$3</f>
        <v>0</v>
      </c>
      <c r="W21" s="330">
        <f>(Data!AQ18+Data!DD18)/W$6*100000*W$3</f>
        <v>0</v>
      </c>
      <c r="X21" s="330">
        <f>(Data!AR18+Data!DE18)/X$6*100000*X$3</f>
        <v>0</v>
      </c>
      <c r="Y21" s="330">
        <f>(Data!AS18+Data!DF18)/Y$6*100000*Y$3</f>
        <v>0</v>
      </c>
      <c r="Z21" s="330">
        <f>(Data!AT18+Data!DG18)/Z$6*100000*Z$3</f>
        <v>3963.9394763069672</v>
      </c>
      <c r="AA21" s="330">
        <f>(Data!AU18+Data!DH18)/AA$6*100000*AA$3</f>
        <v>3855.6021899820444</v>
      </c>
      <c r="AB21" s="330">
        <f>(Data!AV18+Data!DI18)/AB$6*100000*AB$3</f>
        <v>44588.827313841648</v>
      </c>
      <c r="AC21" s="330">
        <f>(Data!AW18+Data!DJ18)/AC$6*100000*AC$3</f>
        <v>79714.546006680845</v>
      </c>
      <c r="AD21" s="330">
        <f>(Data!AX18+Data!DK18)/AD$6*100000*AD$3</f>
        <v>238505.99499698097</v>
      </c>
      <c r="AE21" s="330">
        <f>(Data!AY18+Data!DL18)/AE$6*100000*AE$3</f>
        <v>446821.86993492366</v>
      </c>
      <c r="AF21" s="330">
        <f>(Data!AZ18+Data!DM18)/AF$6*100000*AF$3</f>
        <v>621453.02753154165</v>
      </c>
      <c r="AG21" s="330">
        <f>(Data!BA18+Data!DN18)/AG$6*100000*AG$3</f>
        <v>589567.22348015546</v>
      </c>
      <c r="AH21" s="330">
        <f>(Data!BB18+Data!DO18)/AH$6*100000*AH$3</f>
        <v>495285.61470447958</v>
      </c>
      <c r="AI21" s="330">
        <f>(Data!BC18+Data!DP18)/AI$6*100000*AI$3</f>
        <v>388430.09503257665</v>
      </c>
      <c r="AJ21" s="330">
        <f>(Data!BD18+Data!DQ18)/AJ$6*100000*AJ$3</f>
        <v>141165.49028758093</v>
      </c>
      <c r="AK21" s="330">
        <f>(Data!BE18+Data!DR18)/AK$6*100000*AK$3</f>
        <v>106451.6129032258</v>
      </c>
      <c r="AL21" s="336" t="s">
        <v>353</v>
      </c>
      <c r="AM21" s="330">
        <f t="shared" si="5"/>
        <v>2169042.7330169925</v>
      </c>
      <c r="AN21" s="330">
        <f>(Data!AN18+Data!DA18)/AN$6*100000*AN$3</f>
        <v>0</v>
      </c>
      <c r="AO21" s="330">
        <f>(Data!AO18+Data!DB18)/AO$6*100000*AO$3</f>
        <v>0</v>
      </c>
      <c r="AP21" s="330">
        <f>(Data!AP18+Data!DC18)/AP$6*100000*AP$3</f>
        <v>0</v>
      </c>
      <c r="AQ21" s="330">
        <f>(Data!AQ18+Data!DD18)/AQ$6*100000*AQ$3</f>
        <v>0</v>
      </c>
      <c r="AR21" s="330">
        <f>(Data!AR18+Data!DE18)/AR$6*100000*AR$3</f>
        <v>0</v>
      </c>
      <c r="AS21" s="330">
        <f>(Data!AS18+Data!DF18)/AS$6*100000*AS$3</f>
        <v>0</v>
      </c>
      <c r="AT21" s="330">
        <f>(Data!AT18+Data!DG18)/AT$6*100000*AT$3</f>
        <v>3397.6624082631147</v>
      </c>
      <c r="AU21" s="330">
        <f>(Data!AU18+Data!DH18)/AU$6*100000*AU$3</f>
        <v>3304.8018771274665</v>
      </c>
      <c r="AV21" s="330">
        <f>(Data!AV18+Data!DI18)/AV$6*100000*AV$3</f>
        <v>38218.994840435698</v>
      </c>
      <c r="AW21" s="330">
        <f>(Data!AW18+Data!DJ18)/AW$6*100000*AW$3</f>
        <v>68326.753720012144</v>
      </c>
      <c r="AX21" s="330">
        <f>(Data!AX18+Data!DK18)/AX$6*100000*AX$3</f>
        <v>170361.42499784354</v>
      </c>
      <c r="AY21" s="330">
        <f>(Data!AY18+Data!DL18)/AY$6*100000*AY$3</f>
        <v>297881.24662328244</v>
      </c>
      <c r="AZ21" s="330">
        <f>(Data!AZ18+Data!DM18)/AZ$6*100000*AZ$3</f>
        <v>497162.42202523333</v>
      </c>
      <c r="BA21" s="330">
        <f>(Data!BA18+Data!DN18)/BA$6*100000*BA$3</f>
        <v>442175.41761011659</v>
      </c>
      <c r="BB21" s="330">
        <f>(Data!BB18+Data!DO18)/BB$6*100000*BB$3</f>
        <v>330190.40980298637</v>
      </c>
      <c r="BC21" s="330">
        <f>(Data!BC18+Data!DP18)/BC$6*100000*BC$3</f>
        <v>194215.04751628832</v>
      </c>
      <c r="BD21" s="330">
        <f>(Data!BD18+Data!DQ18)/BD$6*100000*BD$3</f>
        <v>70582.745143790467</v>
      </c>
      <c r="BE21" s="330">
        <f>(Data!BE18+Data!DR18)/BE$6*100000*BE$3</f>
        <v>53225.806451612902</v>
      </c>
    </row>
    <row r="22" spans="1:388" ht="12" customHeight="1">
      <c r="A22" s="30"/>
      <c r="B22" s="147" t="str">
        <f>UPPER(LEFT(TRIM(Data!B19),1)) &amp; MID(TRIM(Data!B19),2,50)</f>
        <v>Kitų kvėpavimo sistemos organų</v>
      </c>
      <c r="C22" s="141" t="str">
        <f>Data!C19</f>
        <v>C37-C39</v>
      </c>
      <c r="D22" s="142">
        <f>Data!E19+Data!BR19</f>
        <v>20</v>
      </c>
      <c r="E22" s="149">
        <f t="shared" si="6"/>
        <v>0.68204286844041007</v>
      </c>
      <c r="F22" s="150">
        <f t="shared" si="7"/>
        <v>0.48539778006131185</v>
      </c>
      <c r="G22" s="144">
        <f t="shared" si="8"/>
        <v>0.35542582603411049</v>
      </c>
      <c r="H22" s="58"/>
      <c r="I22" s="58"/>
      <c r="J22" s="58"/>
      <c r="K22" s="58"/>
      <c r="L22" s="58"/>
      <c r="M22" s="58"/>
      <c r="N22" s="58"/>
      <c r="O22" s="58"/>
      <c r="P22" s="60"/>
      <c r="Q22" s="311"/>
      <c r="R22" s="336" t="s">
        <v>353</v>
      </c>
      <c r="S22" s="330">
        <f t="shared" si="4"/>
        <v>48539.778006131186</v>
      </c>
      <c r="T22" s="330">
        <f>(Data!AN19+Data!DA19)/T$6*100000*T$3</f>
        <v>0</v>
      </c>
      <c r="U22" s="330">
        <f>(Data!AO19+Data!DB19)/U$6*100000*U$3</f>
        <v>0</v>
      </c>
      <c r="V22" s="330">
        <f>(Data!AP19+Data!DC19)/V$6*100000*V$3</f>
        <v>0</v>
      </c>
      <c r="W22" s="330">
        <f>(Data!AQ19+Data!DD19)/W$6*100000*W$3</f>
        <v>4027.6874744673382</v>
      </c>
      <c r="X22" s="330">
        <f>(Data!AR19+Data!DE19)/X$6*100000*X$3</f>
        <v>0</v>
      </c>
      <c r="Y22" s="330">
        <f>(Data!AS19+Data!DF19)/Y$6*100000*Y$3</f>
        <v>0</v>
      </c>
      <c r="Z22" s="330">
        <f>(Data!AT19+Data!DG19)/Z$6*100000*Z$3</f>
        <v>0</v>
      </c>
      <c r="AA22" s="330">
        <f>(Data!AU19+Data!DH19)/AA$6*100000*AA$3</f>
        <v>0</v>
      </c>
      <c r="AB22" s="330">
        <f>(Data!AV19+Data!DI19)/AB$6*100000*AB$3</f>
        <v>0</v>
      </c>
      <c r="AC22" s="330">
        <f>(Data!AW19+Data!DJ19)/AC$6*100000*AC$3</f>
        <v>3321.4394169450352</v>
      </c>
      <c r="AD22" s="330">
        <f>(Data!AX19+Data!DK19)/AD$6*100000*AD$3</f>
        <v>6038.1264556197702</v>
      </c>
      <c r="AE22" s="330">
        <f>(Data!AY19+Data!DL19)/AE$6*100000*AE$3</f>
        <v>2920.4043786596317</v>
      </c>
      <c r="AF22" s="330">
        <f>(Data!AZ19+Data!DM19)/AF$6*100000*AF$3</f>
        <v>8794.1466160123819</v>
      </c>
      <c r="AG22" s="330">
        <f>(Data!BA19+Data!DN19)/AG$6*100000*AG$3</f>
        <v>8544.4525142051534</v>
      </c>
      <c r="AH22" s="330">
        <f>(Data!BB19+Data!DO19)/AH$6*100000*AH$3</f>
        <v>2201.2693986865756</v>
      </c>
      <c r="AI22" s="330">
        <f>(Data!BC19+Data!DP19)/AI$6*100000*AI$3</f>
        <v>8299.7883553969386</v>
      </c>
      <c r="AJ22" s="330">
        <f>(Data!BD19+Data!DQ19)/AJ$6*100000*AJ$3</f>
        <v>1166.6569445254624</v>
      </c>
      <c r="AK22" s="330">
        <f>(Data!BE19+Data!DR19)/AK$6*100000*AK$3</f>
        <v>3225.8064516129034</v>
      </c>
      <c r="AL22" s="336" t="s">
        <v>353</v>
      </c>
      <c r="AM22" s="330">
        <f t="shared" si="5"/>
        <v>35542.582603411051</v>
      </c>
      <c r="AN22" s="330">
        <f>(Data!AN19+Data!DA19)/AN$6*100000*AN$3</f>
        <v>0</v>
      </c>
      <c r="AO22" s="330">
        <f>(Data!AO19+Data!DB19)/AO$6*100000*AO$3</f>
        <v>0</v>
      </c>
      <c r="AP22" s="330">
        <f>(Data!AP19+Data!DC19)/AP$6*100000*AP$3</f>
        <v>0</v>
      </c>
      <c r="AQ22" s="330">
        <f>(Data!AQ19+Data!DD19)/AQ$6*100000*AQ$3</f>
        <v>5178.4553243151486</v>
      </c>
      <c r="AR22" s="330">
        <f>(Data!AR19+Data!DE19)/AR$6*100000*AR$3</f>
        <v>0</v>
      </c>
      <c r="AS22" s="330">
        <f>(Data!AS19+Data!DF19)/AS$6*100000*AS$3</f>
        <v>0</v>
      </c>
      <c r="AT22" s="330">
        <f>(Data!AT19+Data!DG19)/AT$6*100000*AT$3</f>
        <v>0</v>
      </c>
      <c r="AU22" s="330">
        <f>(Data!AU19+Data!DH19)/AU$6*100000*AU$3</f>
        <v>0</v>
      </c>
      <c r="AV22" s="330">
        <f>(Data!AV19+Data!DI19)/AV$6*100000*AV$3</f>
        <v>0</v>
      </c>
      <c r="AW22" s="330">
        <f>(Data!AW19+Data!DJ19)/AW$6*100000*AW$3</f>
        <v>2846.9480716671733</v>
      </c>
      <c r="AX22" s="330">
        <f>(Data!AX19+Data!DK19)/AX$6*100000*AX$3</f>
        <v>4312.9474682998361</v>
      </c>
      <c r="AY22" s="330">
        <f>(Data!AY19+Data!DL19)/AY$6*100000*AY$3</f>
        <v>1946.9362524397545</v>
      </c>
      <c r="AZ22" s="330">
        <f>(Data!AZ19+Data!DM19)/AZ$6*100000*AZ$3</f>
        <v>7035.3172928099057</v>
      </c>
      <c r="BA22" s="330">
        <f>(Data!BA19+Data!DN19)/BA$6*100000*BA$3</f>
        <v>6408.3393856538651</v>
      </c>
      <c r="BB22" s="330">
        <f>(Data!BB19+Data!DO19)/BB$6*100000*BB$3</f>
        <v>1467.5129324577172</v>
      </c>
      <c r="BC22" s="330">
        <f>(Data!BC19+Data!DP19)/BC$6*100000*BC$3</f>
        <v>4149.8941776984693</v>
      </c>
      <c r="BD22" s="330">
        <f>(Data!BD19+Data!DQ19)/BD$6*100000*BD$3</f>
        <v>583.32847226273122</v>
      </c>
      <c r="BE22" s="330">
        <f>(Data!BE19+Data!DR19)/BE$6*100000*BE$3</f>
        <v>1612.9032258064517</v>
      </c>
    </row>
    <row r="23" spans="1:388" ht="12" customHeight="1">
      <c r="A23" s="30"/>
      <c r="B23" s="147" t="str">
        <f>UPPER(LEFT(TRIM(Data!B20),1)) &amp; MID(TRIM(Data!B20),2,50)</f>
        <v>Kaulų ir jungiamojo audinio</v>
      </c>
      <c r="C23" s="141" t="str">
        <f>Data!C20</f>
        <v>C40-C41, C45-C47, C49</v>
      </c>
      <c r="D23" s="142">
        <f>Data!E20+Data!BR20</f>
        <v>71</v>
      </c>
      <c r="E23" s="149">
        <f t="shared" si="6"/>
        <v>2.4212521829634559</v>
      </c>
      <c r="F23" s="150">
        <f t="shared" si="7"/>
        <v>1.7086592577433819</v>
      </c>
      <c r="G23" s="144">
        <f t="shared" si="8"/>
        <v>1.2944275810005403</v>
      </c>
      <c r="H23" s="58"/>
      <c r="I23" s="58"/>
      <c r="J23" s="58"/>
      <c r="K23" s="58"/>
      <c r="L23" s="58"/>
      <c r="M23" s="58"/>
      <c r="N23" s="58"/>
      <c r="O23" s="58"/>
      <c r="P23" s="60"/>
      <c r="Q23" s="311"/>
      <c r="R23" s="336" t="s">
        <v>353</v>
      </c>
      <c r="S23" s="330">
        <f t="shared" si="4"/>
        <v>170865.92577433819</v>
      </c>
      <c r="T23" s="330">
        <f>(Data!AN20+Data!DA20)/T$6*100000*T$3</f>
        <v>0</v>
      </c>
      <c r="U23" s="330">
        <f>(Data!AO20+Data!DB20)/U$6*100000*U$3</f>
        <v>5115.6876214975809</v>
      </c>
      <c r="V23" s="330">
        <f>(Data!AP20+Data!DC20)/V$6*100000*V$3</f>
        <v>0</v>
      </c>
      <c r="W23" s="330">
        <f>(Data!AQ20+Data!DD20)/W$6*100000*W$3</f>
        <v>0</v>
      </c>
      <c r="X23" s="330">
        <f>(Data!AR20+Data!DE20)/X$6*100000*X$3</f>
        <v>3331.5406471755673</v>
      </c>
      <c r="Y23" s="330">
        <f>(Data!AS20+Data!DF20)/Y$6*100000*Y$3</f>
        <v>10775.253859849865</v>
      </c>
      <c r="Z23" s="330">
        <f>(Data!AT20+Data!DG20)/Z$6*100000*Z$3</f>
        <v>0</v>
      </c>
      <c r="AA23" s="330">
        <f>(Data!AU20+Data!DH20)/AA$6*100000*AA$3</f>
        <v>0</v>
      </c>
      <c r="AB23" s="330">
        <f>(Data!AV20+Data!DI20)/AB$6*100000*AB$3</f>
        <v>20579.458760234607</v>
      </c>
      <c r="AC23" s="330">
        <f>(Data!AW20+Data!DJ20)/AC$6*100000*AC$3</f>
        <v>16607.197084725176</v>
      </c>
      <c r="AD23" s="330">
        <f>(Data!AX20+Data!DK20)/AD$6*100000*AD$3</f>
        <v>15095.316139049424</v>
      </c>
      <c r="AE23" s="330">
        <f>(Data!AY20+Data!DL20)/AE$6*100000*AE$3</f>
        <v>11681.617514638527</v>
      </c>
      <c r="AF23" s="330">
        <f>(Data!AZ20+Data!DM20)/AF$6*100000*AF$3</f>
        <v>17588.293232024764</v>
      </c>
      <c r="AG23" s="330">
        <f>(Data!BA20+Data!DN20)/AG$6*100000*AG$3</f>
        <v>19937.055866478688</v>
      </c>
      <c r="AH23" s="330">
        <f>(Data!BB20+Data!DO20)/AH$6*100000*AH$3</f>
        <v>8805.0775947463026</v>
      </c>
      <c r="AI23" s="330">
        <f>(Data!BC20+Data!DP20)/AI$6*100000*AI$3</f>
        <v>13279.661368635099</v>
      </c>
      <c r="AJ23" s="330">
        <f>(Data!BD20+Data!DQ20)/AJ$6*100000*AJ$3</f>
        <v>15166.540278831011</v>
      </c>
      <c r="AK23" s="330">
        <f>(Data!BE20+Data!DR20)/AK$6*100000*AK$3</f>
        <v>12903.225806451614</v>
      </c>
      <c r="AL23" s="336" t="s">
        <v>353</v>
      </c>
      <c r="AM23" s="330">
        <f t="shared" si="5"/>
        <v>129442.75810005402</v>
      </c>
      <c r="AN23" s="330">
        <f>(Data!AN20+Data!DA20)/AN$6*100000*AN$3</f>
        <v>0</v>
      </c>
      <c r="AO23" s="330">
        <f>(Data!AO20+Data!DB20)/AO$6*100000*AO$3</f>
        <v>7308.1251735679734</v>
      </c>
      <c r="AP23" s="330">
        <f>(Data!AP20+Data!DC20)/AP$6*100000*AP$3</f>
        <v>0</v>
      </c>
      <c r="AQ23" s="330">
        <f>(Data!AQ20+Data!DD20)/AQ$6*100000*AQ$3</f>
        <v>0</v>
      </c>
      <c r="AR23" s="330">
        <f>(Data!AR20+Data!DE20)/AR$6*100000*AR$3</f>
        <v>3807.4750253435059</v>
      </c>
      <c r="AS23" s="330">
        <f>(Data!AS20+Data!DF20)/AS$6*100000*AS$3</f>
        <v>12314.575839828416</v>
      </c>
      <c r="AT23" s="330">
        <f>(Data!AT20+Data!DG20)/AT$6*100000*AT$3</f>
        <v>0</v>
      </c>
      <c r="AU23" s="330">
        <f>(Data!AU20+Data!DH20)/AU$6*100000*AU$3</f>
        <v>0</v>
      </c>
      <c r="AV23" s="330">
        <f>(Data!AV20+Data!DI20)/AV$6*100000*AV$3</f>
        <v>17639.536080201091</v>
      </c>
      <c r="AW23" s="330">
        <f>(Data!AW20+Data!DJ20)/AW$6*100000*AW$3</f>
        <v>14234.740358335863</v>
      </c>
      <c r="AX23" s="330">
        <f>(Data!AX20+Data!DK20)/AX$6*100000*AX$3</f>
        <v>10782.368670749589</v>
      </c>
      <c r="AY23" s="330">
        <f>(Data!AY20+Data!DL20)/AY$6*100000*AY$3</f>
        <v>7787.7450097590181</v>
      </c>
      <c r="AZ23" s="330">
        <f>(Data!AZ20+Data!DM20)/AZ$6*100000*AZ$3</f>
        <v>14070.634585619811</v>
      </c>
      <c r="BA23" s="330">
        <f>(Data!BA20+Data!DN20)/BA$6*100000*BA$3</f>
        <v>14952.791899859016</v>
      </c>
      <c r="BB23" s="330">
        <f>(Data!BB20+Data!DO20)/BB$6*100000*BB$3</f>
        <v>5870.0517298308687</v>
      </c>
      <c r="BC23" s="330">
        <f>(Data!BC20+Data!DP20)/BC$6*100000*BC$3</f>
        <v>6639.8306843175496</v>
      </c>
      <c r="BD23" s="330">
        <f>(Data!BD20+Data!DQ20)/BD$6*100000*BD$3</f>
        <v>7583.2701394155056</v>
      </c>
      <c r="BE23" s="330">
        <f>(Data!BE20+Data!DR20)/BE$6*100000*BE$3</f>
        <v>6451.6129032258068</v>
      </c>
    </row>
    <row r="24" spans="1:388" ht="12" customHeight="1">
      <c r="A24" s="30"/>
      <c r="B24" s="147" t="str">
        <f>UPPER(LEFT(TRIM(Data!B21),1)) &amp; MID(TRIM(Data!B21),2,50)</f>
        <v>Odos melanoma</v>
      </c>
      <c r="C24" s="141" t="str">
        <f>Data!C21</f>
        <v>C43</v>
      </c>
      <c r="D24" s="142">
        <f>Data!E21+Data!BR21</f>
        <v>85</v>
      </c>
      <c r="E24" s="149">
        <f t="shared" si="6"/>
        <v>2.8986821908717428</v>
      </c>
      <c r="F24" s="150">
        <f t="shared" si="7"/>
        <v>2.0035652643630755</v>
      </c>
      <c r="G24" s="144">
        <f t="shared" si="8"/>
        <v>1.4014556505988933</v>
      </c>
      <c r="H24" s="58"/>
      <c r="I24" s="58"/>
      <c r="J24" s="58"/>
      <c r="K24" s="58"/>
      <c r="L24" s="58"/>
      <c r="M24" s="58"/>
      <c r="N24" s="58"/>
      <c r="O24" s="58"/>
      <c r="P24" s="60"/>
      <c r="Q24" s="311"/>
      <c r="R24" s="336" t="s">
        <v>353</v>
      </c>
      <c r="S24" s="330">
        <f t="shared" si="4"/>
        <v>200356.52643630753</v>
      </c>
      <c r="T24" s="330">
        <f>(Data!AN21+Data!DA21)/T$6*100000*T$3</f>
        <v>0</v>
      </c>
      <c r="U24" s="330">
        <f>(Data!AO21+Data!DB21)/U$6*100000*U$3</f>
        <v>0</v>
      </c>
      <c r="V24" s="330">
        <f>(Data!AP21+Data!DC21)/V$6*100000*V$3</f>
        <v>0</v>
      </c>
      <c r="W24" s="330">
        <f>(Data!AQ21+Data!DD21)/W$6*100000*W$3</f>
        <v>0</v>
      </c>
      <c r="X24" s="330">
        <f>(Data!AR21+Data!DE21)/X$6*100000*X$3</f>
        <v>0</v>
      </c>
      <c r="Y24" s="330">
        <f>(Data!AS21+Data!DF21)/Y$6*100000*Y$3</f>
        <v>3591.7512866166221</v>
      </c>
      <c r="Z24" s="330">
        <f>(Data!AT21+Data!DG21)/Z$6*100000*Z$3</f>
        <v>0</v>
      </c>
      <c r="AA24" s="330">
        <f>(Data!AU21+Data!DH21)/AA$6*100000*AA$3</f>
        <v>11566.806569946131</v>
      </c>
      <c r="AB24" s="330">
        <f>(Data!AV21+Data!DI21)/AB$6*100000*AB$3</f>
        <v>6859.8195867448685</v>
      </c>
      <c r="AC24" s="330">
        <f>(Data!AW21+Data!DJ21)/AC$6*100000*AC$3</f>
        <v>16607.197084725176</v>
      </c>
      <c r="AD24" s="330">
        <f>(Data!AX21+Data!DK21)/AD$6*100000*AD$3</f>
        <v>15095.316139049424</v>
      </c>
      <c r="AE24" s="330">
        <f>(Data!AY21+Data!DL21)/AE$6*100000*AE$3</f>
        <v>20442.830650617419</v>
      </c>
      <c r="AF24" s="330">
        <f>(Data!AZ21+Data!DM21)/AF$6*100000*AF$3</f>
        <v>29313.822053374606</v>
      </c>
      <c r="AG24" s="330">
        <f>(Data!BA21+Data!DN21)/AG$6*100000*AG$3</f>
        <v>25633.357542615457</v>
      </c>
      <c r="AH24" s="330">
        <f>(Data!BB21+Data!DO21)/AH$6*100000*AH$3</f>
        <v>19811.424588179183</v>
      </c>
      <c r="AI24" s="330">
        <f>(Data!BC21+Data!DP21)/AI$6*100000*AI$3</f>
        <v>21579.449724032038</v>
      </c>
      <c r="AJ24" s="330">
        <f>(Data!BD21+Data!DQ21)/AJ$6*100000*AJ$3</f>
        <v>10499.91250072916</v>
      </c>
      <c r="AK24" s="330">
        <f>(Data!BE21+Data!DR21)/AK$6*100000*AK$3</f>
        <v>19354.83870967742</v>
      </c>
      <c r="AL24" s="336" t="s">
        <v>353</v>
      </c>
      <c r="AM24" s="330">
        <f t="shared" si="5"/>
        <v>140145.56505988934</v>
      </c>
      <c r="AN24" s="330">
        <f>(Data!AN21+Data!DA21)/AN$6*100000*AN$3</f>
        <v>0</v>
      </c>
      <c r="AO24" s="330">
        <f>(Data!AO21+Data!DB21)/AO$6*100000*AO$3</f>
        <v>0</v>
      </c>
      <c r="AP24" s="330">
        <f>(Data!AP21+Data!DC21)/AP$6*100000*AP$3</f>
        <v>0</v>
      </c>
      <c r="AQ24" s="330">
        <f>(Data!AQ21+Data!DD21)/AQ$6*100000*AQ$3</f>
        <v>0</v>
      </c>
      <c r="AR24" s="330">
        <f>(Data!AR21+Data!DE21)/AR$6*100000*AR$3</f>
        <v>0</v>
      </c>
      <c r="AS24" s="330">
        <f>(Data!AS21+Data!DF21)/AS$6*100000*AS$3</f>
        <v>4104.8586132761393</v>
      </c>
      <c r="AT24" s="330">
        <f>(Data!AT21+Data!DG21)/AT$6*100000*AT$3</f>
        <v>0</v>
      </c>
      <c r="AU24" s="330">
        <f>(Data!AU21+Data!DH21)/AU$6*100000*AU$3</f>
        <v>9914.4056313823985</v>
      </c>
      <c r="AV24" s="330">
        <f>(Data!AV21+Data!DI21)/AV$6*100000*AV$3</f>
        <v>5879.84536006703</v>
      </c>
      <c r="AW24" s="330">
        <f>(Data!AW21+Data!DJ21)/AW$6*100000*AW$3</f>
        <v>14234.740358335863</v>
      </c>
      <c r="AX24" s="330">
        <f>(Data!AX21+Data!DK21)/AX$6*100000*AX$3</f>
        <v>10782.368670749589</v>
      </c>
      <c r="AY24" s="330">
        <f>(Data!AY21+Data!DL21)/AY$6*100000*AY$3</f>
        <v>13628.55376707828</v>
      </c>
      <c r="AZ24" s="330">
        <f>(Data!AZ21+Data!DM21)/AZ$6*100000*AZ$3</f>
        <v>23451.057642699685</v>
      </c>
      <c r="BA24" s="330">
        <f>(Data!BA21+Data!DN21)/BA$6*100000*BA$3</f>
        <v>19225.018156961592</v>
      </c>
      <c r="BB24" s="330">
        <f>(Data!BB21+Data!DO21)/BB$6*100000*BB$3</f>
        <v>13207.616392119455</v>
      </c>
      <c r="BC24" s="330">
        <f>(Data!BC21+Data!DP21)/BC$6*100000*BC$3</f>
        <v>10789.724862016019</v>
      </c>
      <c r="BD24" s="330">
        <f>(Data!BD21+Data!DQ21)/BD$6*100000*BD$3</f>
        <v>5249.9562503645802</v>
      </c>
      <c r="BE24" s="330">
        <f>(Data!BE21+Data!DR21)/BE$6*100000*BE$3</f>
        <v>9677.4193548387102</v>
      </c>
    </row>
    <row r="25" spans="1:388" ht="12" customHeight="1">
      <c r="A25" s="30"/>
      <c r="B25" s="147" t="str">
        <f>UPPER(LEFT(TRIM(Data!B22),1)) &amp; MID(TRIM(Data!B22),2,50)</f>
        <v>Kiti odos piktybiniai navikai</v>
      </c>
      <c r="C25" s="141" t="str">
        <f>Data!C22</f>
        <v>C44</v>
      </c>
      <c r="D25" s="142">
        <f>Data!E22+Data!BR22</f>
        <v>48</v>
      </c>
      <c r="E25" s="149">
        <f t="shared" si="6"/>
        <v>1.6369028842569842</v>
      </c>
      <c r="F25" s="150">
        <f t="shared" si="7"/>
        <v>0.87800326419920571</v>
      </c>
      <c r="G25" s="144">
        <f t="shared" si="8"/>
        <v>0.51990832434929013</v>
      </c>
      <c r="H25" s="58"/>
      <c r="I25" s="58"/>
      <c r="J25" s="58"/>
      <c r="K25" s="58"/>
      <c r="L25" s="58"/>
      <c r="M25" s="58"/>
      <c r="N25" s="58"/>
      <c r="O25" s="58"/>
      <c r="P25" s="60"/>
      <c r="Q25" s="311"/>
      <c r="R25" s="336" t="s">
        <v>353</v>
      </c>
      <c r="S25" s="330">
        <f t="shared" si="4"/>
        <v>87800.326419920573</v>
      </c>
      <c r="T25" s="330">
        <f>(Data!AN22+Data!DA22)/T$6*100000*T$3</f>
        <v>0</v>
      </c>
      <c r="U25" s="330">
        <f>(Data!AO22+Data!DB22)/U$6*100000*U$3</f>
        <v>0</v>
      </c>
      <c r="V25" s="330">
        <f>(Data!AP22+Data!DC22)/V$6*100000*V$3</f>
        <v>0</v>
      </c>
      <c r="W25" s="330">
        <f>(Data!AQ22+Data!DD22)/W$6*100000*W$3</f>
        <v>0</v>
      </c>
      <c r="X25" s="330">
        <f>(Data!AR22+Data!DE22)/X$6*100000*X$3</f>
        <v>0</v>
      </c>
      <c r="Y25" s="330">
        <f>(Data!AS22+Data!DF22)/Y$6*100000*Y$3</f>
        <v>0</v>
      </c>
      <c r="Z25" s="330">
        <f>(Data!AT22+Data!DG22)/Z$6*100000*Z$3</f>
        <v>0</v>
      </c>
      <c r="AA25" s="330">
        <f>(Data!AU22+Data!DH22)/AA$6*100000*AA$3</f>
        <v>0</v>
      </c>
      <c r="AB25" s="330">
        <f>(Data!AV22+Data!DI22)/AB$6*100000*AB$3</f>
        <v>0</v>
      </c>
      <c r="AC25" s="330">
        <f>(Data!AW22+Data!DJ22)/AC$6*100000*AC$3</f>
        <v>0</v>
      </c>
      <c r="AD25" s="330">
        <f>(Data!AX22+Data!DK22)/AD$6*100000*AD$3</f>
        <v>0</v>
      </c>
      <c r="AE25" s="330">
        <f>(Data!AY22+Data!DL22)/AE$6*100000*AE$3</f>
        <v>8761.2131359788946</v>
      </c>
      <c r="AF25" s="330">
        <f>(Data!AZ22+Data!DM22)/AF$6*100000*AF$3</f>
        <v>8794.1466160123819</v>
      </c>
      <c r="AG25" s="330">
        <f>(Data!BA22+Data!DN22)/AG$6*100000*AG$3</f>
        <v>5696.301676136768</v>
      </c>
      <c r="AH25" s="330">
        <f>(Data!BB22+Data!DO22)/AH$6*100000*AH$3</f>
        <v>15408.885790806031</v>
      </c>
      <c r="AI25" s="330">
        <f>(Data!BC22+Data!DP22)/AI$6*100000*AI$3</f>
        <v>13279.661368635099</v>
      </c>
      <c r="AJ25" s="330">
        <f>(Data!BD22+Data!DQ22)/AJ$6*100000*AJ$3</f>
        <v>11666.569445254623</v>
      </c>
      <c r="AK25" s="330">
        <f>(Data!BE22+Data!DR22)/AK$6*100000*AK$3</f>
        <v>24193.548387096776</v>
      </c>
      <c r="AL25" s="336" t="s">
        <v>353</v>
      </c>
      <c r="AM25" s="330">
        <f t="shared" si="5"/>
        <v>51990.832434929012</v>
      </c>
      <c r="AN25" s="330">
        <f>(Data!AN22+Data!DA22)/AN$6*100000*AN$3</f>
        <v>0</v>
      </c>
      <c r="AO25" s="330">
        <f>(Data!AO22+Data!DB22)/AO$6*100000*AO$3</f>
        <v>0</v>
      </c>
      <c r="AP25" s="330">
        <f>(Data!AP22+Data!DC22)/AP$6*100000*AP$3</f>
        <v>0</v>
      </c>
      <c r="AQ25" s="330">
        <f>(Data!AQ22+Data!DD22)/AQ$6*100000*AQ$3</f>
        <v>0</v>
      </c>
      <c r="AR25" s="330">
        <f>(Data!AR22+Data!DE22)/AR$6*100000*AR$3</f>
        <v>0</v>
      </c>
      <c r="AS25" s="330">
        <f>(Data!AS22+Data!DF22)/AS$6*100000*AS$3</f>
        <v>0</v>
      </c>
      <c r="AT25" s="330">
        <f>(Data!AT22+Data!DG22)/AT$6*100000*AT$3</f>
        <v>0</v>
      </c>
      <c r="AU25" s="330">
        <f>(Data!AU22+Data!DH22)/AU$6*100000*AU$3</f>
        <v>0</v>
      </c>
      <c r="AV25" s="330">
        <f>(Data!AV22+Data!DI22)/AV$6*100000*AV$3</f>
        <v>0</v>
      </c>
      <c r="AW25" s="330">
        <f>(Data!AW22+Data!DJ22)/AW$6*100000*AW$3</f>
        <v>0</v>
      </c>
      <c r="AX25" s="330">
        <f>(Data!AX22+Data!DK22)/AX$6*100000*AX$3</f>
        <v>0</v>
      </c>
      <c r="AY25" s="330">
        <f>(Data!AY22+Data!DL22)/AY$6*100000*AY$3</f>
        <v>5840.8087573192633</v>
      </c>
      <c r="AZ25" s="330">
        <f>(Data!AZ22+Data!DM22)/AZ$6*100000*AZ$3</f>
        <v>7035.3172928099057</v>
      </c>
      <c r="BA25" s="330">
        <f>(Data!BA22+Data!DN22)/BA$6*100000*BA$3</f>
        <v>4272.2262571025758</v>
      </c>
      <c r="BB25" s="330">
        <f>(Data!BB22+Data!DO22)/BB$6*100000*BB$3</f>
        <v>10272.59052720402</v>
      </c>
      <c r="BC25" s="330">
        <f>(Data!BC22+Data!DP22)/BC$6*100000*BC$3</f>
        <v>6639.8306843175496</v>
      </c>
      <c r="BD25" s="330">
        <f>(Data!BD22+Data!DQ22)/BD$6*100000*BD$3</f>
        <v>5833.2847226273116</v>
      </c>
      <c r="BE25" s="330">
        <f>(Data!BE22+Data!DR22)/BE$6*100000*BE$3</f>
        <v>12096.774193548388</v>
      </c>
    </row>
    <row r="26" spans="1:388" s="212" customFormat="1" ht="12" customHeight="1">
      <c r="A26" s="30"/>
      <c r="B26" s="147" t="str">
        <f>UPPER(LEFT(TRIM(Data!B23),1)) &amp; MID(TRIM(Data!B23),2,50)</f>
        <v>Krūties</v>
      </c>
      <c r="C26" s="141" t="str">
        <f>Data!C23</f>
        <v>C50</v>
      </c>
      <c r="D26" s="142">
        <f>Data!E23+Data!BR23</f>
        <v>520</v>
      </c>
      <c r="E26" s="149">
        <f t="shared" ref="E26" si="9">D26/$S$6*100000</f>
        <v>17.733114579450664</v>
      </c>
      <c r="F26" s="150">
        <f t="shared" ref="F26" si="10">S26/$S$3</f>
        <v>12.219401666085027</v>
      </c>
      <c r="G26" s="144">
        <f t="shared" ref="G26" si="11">AM26/$AM$3</f>
        <v>8.4170050276692301</v>
      </c>
      <c r="H26" s="58"/>
      <c r="I26" s="58"/>
      <c r="J26" s="58"/>
      <c r="K26" s="58"/>
      <c r="L26" s="58"/>
      <c r="M26" s="58"/>
      <c r="N26" s="58"/>
      <c r="O26" s="58"/>
      <c r="P26" s="60"/>
      <c r="Q26" s="337"/>
      <c r="R26" s="336" t="s">
        <v>353</v>
      </c>
      <c r="S26" s="330">
        <f t="shared" ref="S26" si="12">SUM(T26:AK26)</f>
        <v>1221940.1666085026</v>
      </c>
      <c r="T26" s="330">
        <f>(Data!AN23+Data!DA23)/T$6*100000*T$3</f>
        <v>0</v>
      </c>
      <c r="U26" s="330">
        <f>(Data!AO23+Data!DB23)/U$6*100000*U$3</f>
        <v>0</v>
      </c>
      <c r="V26" s="330">
        <f>(Data!AP23+Data!DC23)/V$6*100000*V$3</f>
        <v>0</v>
      </c>
      <c r="W26" s="330">
        <f>(Data!AQ23+Data!DD23)/W$6*100000*W$3</f>
        <v>0</v>
      </c>
      <c r="X26" s="330">
        <f>(Data!AR23+Data!DE23)/X$6*100000*X$3</f>
        <v>0</v>
      </c>
      <c r="Y26" s="330">
        <f>(Data!AS23+Data!DF23)/Y$6*100000*Y$3</f>
        <v>3591.7512866166221</v>
      </c>
      <c r="Z26" s="330">
        <f>(Data!AT23+Data!DG23)/Z$6*100000*Z$3</f>
        <v>7927.8789526139344</v>
      </c>
      <c r="AA26" s="330">
        <f>(Data!AU23+Data!DH23)/AA$6*100000*AA$3</f>
        <v>19278.010949910218</v>
      </c>
      <c r="AB26" s="330">
        <f>(Data!AV23+Data!DI23)/AB$6*100000*AB$3</f>
        <v>58308.466487331374</v>
      </c>
      <c r="AC26" s="330">
        <f>(Data!AW23+Data!DJ23)/AC$6*100000*AC$3</f>
        <v>76393.106589735806</v>
      </c>
      <c r="AD26" s="330">
        <f>(Data!AX23+Data!DK23)/AD$6*100000*AD$3</f>
        <v>108686.27620115587</v>
      </c>
      <c r="AE26" s="330">
        <f>(Data!AY23+Data!DL23)/AE$6*100000*AE$3</f>
        <v>169383.45396225862</v>
      </c>
      <c r="AF26" s="330">
        <f>(Data!AZ23+Data!DM23)/AF$6*100000*AF$3</f>
        <v>187608.46114159748</v>
      </c>
      <c r="AG26" s="330">
        <f>(Data!BA23+Data!DN23)/AG$6*100000*AG$3</f>
        <v>136711.24022728245</v>
      </c>
      <c r="AH26" s="330">
        <f>(Data!BB23+Data!DO23)/AH$6*100000*AH$3</f>
        <v>171699.01309755293</v>
      </c>
      <c r="AI26" s="330">
        <f>(Data!BC23+Data!DP23)/AI$6*100000*AI$3</f>
        <v>129476.69834419222</v>
      </c>
      <c r="AJ26" s="330">
        <f>(Data!BD23+Data!DQ23)/AJ$6*100000*AJ$3</f>
        <v>64166.131948900431</v>
      </c>
      <c r="AK26" s="330">
        <f>(Data!BE23+Data!DR23)/AK$6*100000*AK$3</f>
        <v>88709.677419354848</v>
      </c>
      <c r="AL26" s="336" t="s">
        <v>353</v>
      </c>
      <c r="AM26" s="330">
        <f t="shared" ref="AM26" si="13">SUM(AN26:BE26)</f>
        <v>841700.50276692293</v>
      </c>
      <c r="AN26" s="330">
        <f>(Data!AN23+Data!DA23)/AN$6*100000*AN$3</f>
        <v>0</v>
      </c>
      <c r="AO26" s="330">
        <f>(Data!AO23+Data!DB23)/AO$6*100000*AO$3</f>
        <v>0</v>
      </c>
      <c r="AP26" s="330">
        <f>(Data!AP23+Data!DC23)/AP$6*100000*AP$3</f>
        <v>0</v>
      </c>
      <c r="AQ26" s="330">
        <f>(Data!AQ23+Data!DD23)/AQ$6*100000*AQ$3</f>
        <v>0</v>
      </c>
      <c r="AR26" s="330">
        <f>(Data!AR23+Data!DE23)/AR$6*100000*AR$3</f>
        <v>0</v>
      </c>
      <c r="AS26" s="330">
        <f>(Data!AS23+Data!DF23)/AS$6*100000*AS$3</f>
        <v>4104.8586132761393</v>
      </c>
      <c r="AT26" s="330">
        <f>(Data!AT23+Data!DG23)/AT$6*100000*AT$3</f>
        <v>6795.3248165262294</v>
      </c>
      <c r="AU26" s="330">
        <f>(Data!AU23+Data!DH23)/AU$6*100000*AU$3</f>
        <v>16524.009385637331</v>
      </c>
      <c r="AV26" s="330">
        <f>(Data!AV23+Data!DI23)/AV$6*100000*AV$3</f>
        <v>49978.685560569749</v>
      </c>
      <c r="AW26" s="330">
        <f>(Data!AW23+Data!DJ23)/AW$6*100000*AW$3</f>
        <v>65479.805648344976</v>
      </c>
      <c r="AX26" s="330">
        <f>(Data!AX23+Data!DK23)/AX$6*100000*AX$3</f>
        <v>77633.054429397045</v>
      </c>
      <c r="AY26" s="330">
        <f>(Data!AY23+Data!DL23)/AY$6*100000*AY$3</f>
        <v>112922.30264150575</v>
      </c>
      <c r="AZ26" s="330">
        <f>(Data!AZ23+Data!DM23)/AZ$6*100000*AZ$3</f>
        <v>150086.76891327798</v>
      </c>
      <c r="BA26" s="330">
        <f>(Data!BA23+Data!DN23)/BA$6*100000*BA$3</f>
        <v>102533.43017046184</v>
      </c>
      <c r="BB26" s="330">
        <f>(Data!BB23+Data!DO23)/BB$6*100000*BB$3</f>
        <v>114466.00873170195</v>
      </c>
      <c r="BC26" s="330">
        <f>(Data!BC23+Data!DP23)/BC$6*100000*BC$3</f>
        <v>64738.34917209611</v>
      </c>
      <c r="BD26" s="330">
        <f>(Data!BD23+Data!DQ23)/BD$6*100000*BD$3</f>
        <v>32083.065974450215</v>
      </c>
      <c r="BE26" s="330">
        <f>(Data!BE23+Data!DR23)/BE$6*100000*BE$3</f>
        <v>44354.838709677424</v>
      </c>
    </row>
    <row r="27" spans="1:388" s="210" customFormat="1" ht="12" customHeight="1">
      <c r="A27" s="30"/>
      <c r="B27" s="147" t="str">
        <f>UPPER(LEFT(TRIM(Data!B24),1)) &amp; MID(TRIM(Data!B24),2,50)</f>
        <v>Vulvos</v>
      </c>
      <c r="C27" s="141" t="str">
        <f>Data!C24</f>
        <v>C51</v>
      </c>
      <c r="D27" s="142">
        <f>Lent10m!D25</f>
        <v>30</v>
      </c>
      <c r="E27" s="149">
        <f>Lent10m!E25</f>
        <v>1.8972440001239532</v>
      </c>
      <c r="F27" s="150">
        <f>Lent10m!F25</f>
        <v>0.94024617525268217</v>
      </c>
      <c r="G27" s="144">
        <f>Lent10m!G25</f>
        <v>0.60793021714182371</v>
      </c>
      <c r="H27" s="58"/>
      <c r="I27" s="58"/>
      <c r="J27" s="58"/>
      <c r="K27" s="58"/>
      <c r="L27" s="58"/>
      <c r="M27" s="58"/>
      <c r="N27" s="58"/>
      <c r="O27" s="58"/>
      <c r="P27" s="58"/>
      <c r="Q27" s="338"/>
      <c r="R27" s="339"/>
      <c r="S27" s="340"/>
      <c r="T27" s="340"/>
      <c r="U27" s="340"/>
      <c r="V27" s="340"/>
      <c r="W27" s="340"/>
      <c r="X27" s="340"/>
      <c r="Y27" s="340"/>
      <c r="Z27" s="340"/>
      <c r="AA27" s="340"/>
      <c r="AB27" s="340"/>
      <c r="AC27" s="340"/>
      <c r="AD27" s="340"/>
      <c r="AE27" s="340"/>
      <c r="AF27" s="340"/>
      <c r="AG27" s="340"/>
      <c r="AH27" s="340"/>
      <c r="AI27" s="340"/>
      <c r="AJ27" s="340"/>
      <c r="AK27" s="340"/>
      <c r="AL27" s="339"/>
      <c r="AM27" s="340"/>
      <c r="AN27" s="340"/>
      <c r="AO27" s="340"/>
      <c r="AP27" s="340"/>
      <c r="AQ27" s="340"/>
      <c r="AR27" s="340"/>
      <c r="AS27" s="340"/>
      <c r="AT27" s="340"/>
      <c r="AU27" s="340"/>
      <c r="AV27" s="340"/>
      <c r="AW27" s="340"/>
      <c r="AX27" s="340"/>
      <c r="AY27" s="340"/>
      <c r="AZ27" s="340"/>
      <c r="BA27" s="340"/>
      <c r="BB27" s="340"/>
      <c r="BC27" s="340"/>
      <c r="BD27" s="340"/>
      <c r="BE27" s="340"/>
      <c r="BF27" s="75"/>
      <c r="BG27" s="75"/>
      <c r="BH27" s="75"/>
      <c r="BI27" s="75"/>
      <c r="BJ27" s="75"/>
      <c r="BK27" s="75"/>
      <c r="BL27" s="75"/>
      <c r="BM27" s="75"/>
      <c r="BN27" s="75"/>
      <c r="BO27" s="75"/>
      <c r="BP27" s="75"/>
      <c r="BQ27" s="75"/>
      <c r="BR27" s="75"/>
      <c r="BS27" s="75"/>
      <c r="BT27" s="75"/>
      <c r="BU27" s="75"/>
      <c r="BV27" s="75"/>
      <c r="BW27" s="75"/>
      <c r="BX27" s="75"/>
      <c r="BY27" s="75"/>
      <c r="BZ27" s="75"/>
      <c r="CA27" s="75"/>
      <c r="CB27" s="75"/>
      <c r="CC27" s="75"/>
      <c r="CD27" s="75"/>
      <c r="CE27" s="75"/>
      <c r="CF27" s="75"/>
      <c r="CG27" s="75"/>
      <c r="CH27" s="75"/>
      <c r="CI27" s="75"/>
      <c r="CJ27" s="75"/>
      <c r="CK27" s="75"/>
      <c r="CL27" s="75"/>
      <c r="CM27" s="75"/>
      <c r="CN27" s="75"/>
      <c r="CO27" s="75"/>
      <c r="CP27" s="75"/>
      <c r="CQ27" s="75"/>
      <c r="CR27" s="75"/>
      <c r="CS27" s="75"/>
      <c r="CT27" s="75"/>
      <c r="CU27" s="75"/>
      <c r="CV27" s="75"/>
      <c r="CW27" s="75"/>
      <c r="CX27" s="75"/>
      <c r="CY27" s="75"/>
      <c r="CZ27" s="75"/>
      <c r="DA27" s="75"/>
      <c r="DB27" s="75"/>
      <c r="DC27" s="75"/>
      <c r="DD27" s="75"/>
      <c r="DE27" s="75"/>
      <c r="DF27" s="75"/>
      <c r="DG27" s="75"/>
      <c r="DH27" s="75"/>
      <c r="DI27" s="75"/>
      <c r="DJ27" s="75"/>
      <c r="DK27" s="75"/>
      <c r="DL27" s="75"/>
      <c r="DM27" s="75"/>
      <c r="DN27" s="75"/>
      <c r="DO27" s="75"/>
      <c r="DP27" s="75"/>
      <c r="DQ27" s="75"/>
      <c r="DR27" s="75"/>
      <c r="DS27" s="75"/>
      <c r="DT27" s="75"/>
      <c r="DU27" s="75"/>
      <c r="DV27" s="75"/>
      <c r="DW27" s="75"/>
      <c r="DX27" s="75"/>
      <c r="DY27" s="75"/>
      <c r="DZ27" s="75"/>
      <c r="EA27" s="75"/>
      <c r="EB27" s="75"/>
      <c r="EC27" s="75"/>
      <c r="ED27" s="75"/>
      <c r="EE27" s="75"/>
      <c r="EF27" s="75"/>
      <c r="EG27" s="75"/>
      <c r="EH27" s="75"/>
      <c r="EI27" s="75"/>
      <c r="EJ27" s="75"/>
      <c r="EK27" s="75"/>
      <c r="EL27" s="75"/>
      <c r="EM27" s="75"/>
      <c r="EN27" s="75"/>
      <c r="EO27" s="75"/>
      <c r="EP27" s="75"/>
      <c r="EQ27" s="75"/>
      <c r="ER27" s="75"/>
      <c r="ES27" s="75"/>
      <c r="ET27" s="75"/>
      <c r="EU27" s="75"/>
      <c r="EV27" s="75"/>
      <c r="EW27" s="75"/>
      <c r="EX27" s="75"/>
      <c r="EY27" s="75"/>
      <c r="EZ27" s="75"/>
      <c r="FA27" s="75"/>
      <c r="FB27" s="75"/>
      <c r="FC27" s="75"/>
      <c r="FD27" s="75"/>
      <c r="FE27" s="75"/>
      <c r="FF27" s="75"/>
      <c r="FG27" s="75"/>
      <c r="FH27" s="75"/>
      <c r="FI27" s="75"/>
      <c r="FJ27" s="75"/>
      <c r="FK27" s="75"/>
      <c r="FL27" s="75"/>
      <c r="FM27" s="75"/>
      <c r="FN27" s="75"/>
      <c r="FO27" s="75"/>
      <c r="FP27" s="75"/>
      <c r="FQ27" s="75"/>
      <c r="FR27" s="75"/>
      <c r="FS27" s="75"/>
      <c r="FT27" s="75"/>
      <c r="FU27" s="75"/>
      <c r="FV27" s="75"/>
      <c r="FW27" s="75"/>
      <c r="FX27" s="75"/>
      <c r="FY27" s="75"/>
      <c r="FZ27" s="75"/>
      <c r="GA27" s="75"/>
      <c r="GB27" s="75"/>
      <c r="GC27" s="75"/>
      <c r="GD27" s="75"/>
      <c r="GE27" s="75"/>
      <c r="GF27" s="75"/>
      <c r="GG27" s="75"/>
      <c r="GH27" s="75"/>
      <c r="GI27" s="75"/>
      <c r="GJ27" s="75"/>
      <c r="GK27" s="75"/>
      <c r="GL27" s="75"/>
      <c r="GM27" s="75"/>
      <c r="GN27" s="75"/>
      <c r="GO27" s="75"/>
      <c r="GP27" s="75"/>
      <c r="GQ27" s="75"/>
      <c r="GR27" s="75"/>
      <c r="GS27" s="75"/>
      <c r="GT27" s="75"/>
      <c r="GU27" s="75"/>
      <c r="GV27" s="75"/>
      <c r="GW27" s="75"/>
      <c r="GX27" s="75"/>
      <c r="GY27" s="75"/>
      <c r="GZ27" s="75"/>
      <c r="HA27" s="75"/>
      <c r="HB27" s="75"/>
      <c r="HC27" s="75"/>
      <c r="HD27" s="75"/>
      <c r="HE27" s="75"/>
      <c r="HF27" s="75"/>
      <c r="HG27" s="75"/>
      <c r="HH27" s="75"/>
      <c r="HI27" s="75"/>
      <c r="HJ27" s="75"/>
      <c r="HK27" s="75"/>
      <c r="HL27" s="75"/>
      <c r="HM27" s="75"/>
      <c r="HN27" s="75"/>
      <c r="HO27" s="75"/>
      <c r="HP27" s="75"/>
      <c r="HQ27" s="75"/>
      <c r="HR27" s="75"/>
      <c r="HS27" s="75"/>
      <c r="HT27" s="75"/>
      <c r="HU27" s="75"/>
      <c r="HV27" s="75"/>
      <c r="HW27" s="75"/>
      <c r="HX27" s="75"/>
      <c r="HY27" s="75"/>
      <c r="HZ27" s="75"/>
      <c r="IA27" s="75"/>
      <c r="IB27" s="75"/>
      <c r="IC27" s="75"/>
      <c r="ID27" s="75"/>
      <c r="IE27" s="75"/>
      <c r="IF27" s="75"/>
      <c r="IG27" s="75"/>
      <c r="IH27" s="75"/>
      <c r="II27" s="75"/>
      <c r="IJ27" s="75"/>
      <c r="IK27" s="75"/>
      <c r="IL27" s="75"/>
      <c r="IM27" s="75"/>
      <c r="IN27" s="75"/>
      <c r="IO27" s="75"/>
      <c r="IP27" s="75"/>
      <c r="IQ27" s="75"/>
      <c r="IR27" s="75"/>
      <c r="IS27" s="75"/>
      <c r="IT27" s="75"/>
      <c r="IU27" s="75"/>
      <c r="IV27" s="75"/>
      <c r="IW27" s="75"/>
      <c r="IX27" s="75"/>
      <c r="IY27" s="75"/>
      <c r="IZ27" s="75"/>
      <c r="JA27" s="75"/>
      <c r="JB27" s="75"/>
      <c r="JC27" s="75"/>
      <c r="JD27" s="75"/>
      <c r="JE27" s="75"/>
      <c r="JF27" s="75"/>
      <c r="JG27" s="75"/>
      <c r="JH27" s="75"/>
      <c r="JI27" s="75"/>
      <c r="JJ27" s="75"/>
      <c r="JK27" s="75"/>
      <c r="JL27" s="75"/>
      <c r="JM27" s="75"/>
      <c r="JN27" s="75"/>
      <c r="JO27" s="75"/>
      <c r="JP27" s="75"/>
      <c r="JQ27" s="75"/>
      <c r="JR27" s="75"/>
      <c r="JS27" s="75"/>
      <c r="JT27" s="75"/>
      <c r="JU27" s="75"/>
      <c r="JV27" s="75"/>
      <c r="JW27" s="75"/>
      <c r="JX27" s="75"/>
      <c r="JY27" s="75"/>
      <c r="JZ27" s="75"/>
      <c r="KA27" s="75"/>
      <c r="KB27" s="75"/>
      <c r="KC27" s="75"/>
      <c r="KD27" s="75"/>
      <c r="KE27" s="75"/>
      <c r="KF27" s="75"/>
      <c r="KG27" s="75"/>
      <c r="KH27" s="75"/>
      <c r="KI27" s="75"/>
      <c r="KJ27" s="75"/>
      <c r="KK27" s="75"/>
      <c r="KL27" s="75"/>
      <c r="KM27" s="75"/>
      <c r="KN27" s="75"/>
      <c r="KO27" s="75"/>
      <c r="KP27" s="75"/>
      <c r="KQ27" s="75"/>
      <c r="KR27" s="75"/>
      <c r="KS27" s="75"/>
      <c r="KT27" s="75"/>
      <c r="KU27" s="75"/>
      <c r="KV27" s="75"/>
      <c r="KW27" s="75"/>
      <c r="KX27" s="75"/>
      <c r="KY27" s="75"/>
      <c r="KZ27" s="75"/>
      <c r="LA27" s="75"/>
      <c r="LB27" s="75"/>
      <c r="LC27" s="75"/>
      <c r="LD27" s="75"/>
      <c r="LE27" s="75"/>
      <c r="LF27" s="75"/>
      <c r="LG27" s="75"/>
      <c r="LH27" s="75"/>
      <c r="LI27" s="75"/>
      <c r="LJ27" s="75"/>
      <c r="LK27" s="75"/>
      <c r="LL27" s="75"/>
      <c r="LM27" s="75"/>
      <c r="LN27" s="75"/>
      <c r="LO27" s="75"/>
      <c r="LP27" s="75"/>
      <c r="LQ27" s="75"/>
      <c r="LR27" s="75"/>
      <c r="LS27" s="75"/>
      <c r="LT27" s="75"/>
      <c r="LU27" s="75"/>
      <c r="LV27" s="75"/>
      <c r="LW27" s="75"/>
      <c r="LX27" s="75"/>
      <c r="LY27" s="75"/>
      <c r="LZ27" s="75"/>
      <c r="MA27" s="75"/>
      <c r="MB27" s="75"/>
      <c r="MC27" s="75"/>
      <c r="MD27" s="75"/>
      <c r="ME27" s="75"/>
      <c r="MF27" s="75"/>
      <c r="MG27" s="75"/>
      <c r="MH27" s="75"/>
      <c r="MI27" s="75"/>
      <c r="MJ27" s="75"/>
      <c r="MK27" s="75"/>
      <c r="ML27" s="75"/>
      <c r="MM27" s="75"/>
      <c r="MN27" s="75"/>
      <c r="MO27" s="75"/>
      <c r="MP27" s="75"/>
      <c r="MQ27" s="75"/>
      <c r="MR27" s="75"/>
      <c r="MS27" s="75"/>
      <c r="MT27" s="75"/>
      <c r="MU27" s="75"/>
      <c r="MV27" s="75"/>
      <c r="MW27" s="75"/>
      <c r="MX27" s="75"/>
      <c r="MY27" s="75"/>
      <c r="MZ27" s="75"/>
      <c r="NA27" s="75"/>
      <c r="NB27" s="75"/>
      <c r="NC27" s="75"/>
      <c r="ND27" s="75"/>
      <c r="NE27" s="75"/>
      <c r="NF27" s="75"/>
      <c r="NG27" s="75"/>
      <c r="NH27" s="75"/>
      <c r="NI27" s="75"/>
      <c r="NJ27" s="75"/>
      <c r="NK27" s="75"/>
      <c r="NL27" s="75"/>
      <c r="NM27" s="75"/>
      <c r="NN27" s="75"/>
      <c r="NO27" s="75"/>
      <c r="NP27" s="75"/>
      <c r="NQ27" s="75"/>
      <c r="NR27" s="75"/>
      <c r="NS27" s="75"/>
      <c r="NT27" s="75"/>
      <c r="NU27" s="75"/>
      <c r="NV27" s="75"/>
      <c r="NW27" s="75"/>
      <c r="NX27" s="75"/>
    </row>
    <row r="28" spans="1:388" s="210" customFormat="1" ht="12" customHeight="1">
      <c r="A28" s="30"/>
      <c r="B28" s="147" t="str">
        <f>UPPER(LEFT(TRIM(Data!B25),1)) &amp; MID(TRIM(Data!B25),2,50)</f>
        <v>Gimdos kaklelio</v>
      </c>
      <c r="C28" s="141" t="str">
        <f>Data!C25</f>
        <v>C53</v>
      </c>
      <c r="D28" s="142">
        <f>Lent10m!D26</f>
        <v>180</v>
      </c>
      <c r="E28" s="149">
        <f>Lent10m!E26</f>
        <v>11.38346400074372</v>
      </c>
      <c r="F28" s="150">
        <f>Lent10m!F26</f>
        <v>8.2262244128690956</v>
      </c>
      <c r="G28" s="144">
        <f>Lent10m!G26</f>
        <v>6.1201355603259895</v>
      </c>
      <c r="H28" s="58"/>
      <c r="I28" s="58"/>
      <c r="J28" s="58"/>
      <c r="K28" s="58"/>
      <c r="L28" s="58"/>
      <c r="M28" s="58"/>
      <c r="N28" s="58"/>
      <c r="O28" s="58"/>
      <c r="P28" s="58"/>
      <c r="Q28" s="338"/>
      <c r="R28" s="339"/>
      <c r="S28" s="340"/>
      <c r="T28" s="340"/>
      <c r="U28" s="340"/>
      <c r="V28" s="340"/>
      <c r="W28" s="340"/>
      <c r="X28" s="340"/>
      <c r="Y28" s="340"/>
      <c r="Z28" s="340"/>
      <c r="AA28" s="340"/>
      <c r="AB28" s="340"/>
      <c r="AC28" s="340"/>
      <c r="AD28" s="340"/>
      <c r="AE28" s="340"/>
      <c r="AF28" s="340"/>
      <c r="AG28" s="340"/>
      <c r="AH28" s="340"/>
      <c r="AI28" s="340"/>
      <c r="AJ28" s="340"/>
      <c r="AK28" s="340"/>
      <c r="AL28" s="339"/>
      <c r="AM28" s="340"/>
      <c r="AN28" s="340"/>
      <c r="AO28" s="340"/>
      <c r="AP28" s="340"/>
      <c r="AQ28" s="340"/>
      <c r="AR28" s="340"/>
      <c r="AS28" s="340"/>
      <c r="AT28" s="340"/>
      <c r="AU28" s="340"/>
      <c r="AV28" s="340"/>
      <c r="AW28" s="340"/>
      <c r="AX28" s="340"/>
      <c r="AY28" s="340"/>
      <c r="AZ28" s="340"/>
      <c r="BA28" s="340"/>
      <c r="BB28" s="340"/>
      <c r="BC28" s="340"/>
      <c r="BD28" s="340"/>
      <c r="BE28" s="340"/>
      <c r="BF28" s="75"/>
      <c r="BG28" s="75"/>
      <c r="BH28" s="75"/>
      <c r="BI28" s="75"/>
      <c r="BJ28" s="75"/>
      <c r="BK28" s="75"/>
      <c r="BL28" s="75"/>
      <c r="BM28" s="75"/>
      <c r="BN28" s="75"/>
      <c r="BO28" s="75"/>
      <c r="BP28" s="75"/>
      <c r="BQ28" s="75"/>
      <c r="BR28" s="75"/>
      <c r="BS28" s="75"/>
      <c r="BT28" s="75"/>
      <c r="BU28" s="75"/>
      <c r="BV28" s="75"/>
      <c r="BW28" s="75"/>
      <c r="BX28" s="75"/>
      <c r="BY28" s="75"/>
      <c r="BZ28" s="75"/>
      <c r="CA28" s="75"/>
      <c r="CB28" s="75"/>
      <c r="CC28" s="75"/>
      <c r="CD28" s="75"/>
      <c r="CE28" s="75"/>
      <c r="CF28" s="75"/>
      <c r="CG28" s="75"/>
      <c r="CH28" s="75"/>
      <c r="CI28" s="75"/>
      <c r="CJ28" s="75"/>
      <c r="CK28" s="75"/>
      <c r="CL28" s="75"/>
      <c r="CM28" s="75"/>
      <c r="CN28" s="75"/>
      <c r="CO28" s="75"/>
      <c r="CP28" s="75"/>
      <c r="CQ28" s="75"/>
      <c r="CR28" s="75"/>
      <c r="CS28" s="75"/>
      <c r="CT28" s="75"/>
      <c r="CU28" s="75"/>
      <c r="CV28" s="75"/>
      <c r="CW28" s="75"/>
      <c r="CX28" s="75"/>
      <c r="CY28" s="75"/>
      <c r="CZ28" s="75"/>
      <c r="DA28" s="75"/>
      <c r="DB28" s="75"/>
      <c r="DC28" s="75"/>
      <c r="DD28" s="75"/>
      <c r="DE28" s="75"/>
      <c r="DF28" s="75"/>
      <c r="DG28" s="75"/>
      <c r="DH28" s="75"/>
      <c r="DI28" s="75"/>
      <c r="DJ28" s="75"/>
      <c r="DK28" s="75"/>
      <c r="DL28" s="75"/>
      <c r="DM28" s="75"/>
      <c r="DN28" s="75"/>
      <c r="DO28" s="75"/>
      <c r="DP28" s="75"/>
      <c r="DQ28" s="75"/>
      <c r="DR28" s="75"/>
      <c r="DS28" s="75"/>
      <c r="DT28" s="75"/>
      <c r="DU28" s="75"/>
      <c r="DV28" s="75"/>
      <c r="DW28" s="75"/>
      <c r="DX28" s="75"/>
      <c r="DY28" s="75"/>
      <c r="DZ28" s="75"/>
      <c r="EA28" s="75"/>
      <c r="EB28" s="75"/>
      <c r="EC28" s="75"/>
      <c r="ED28" s="75"/>
      <c r="EE28" s="75"/>
      <c r="EF28" s="75"/>
      <c r="EG28" s="75"/>
      <c r="EH28" s="75"/>
      <c r="EI28" s="75"/>
      <c r="EJ28" s="75"/>
      <c r="EK28" s="75"/>
      <c r="EL28" s="75"/>
      <c r="EM28" s="75"/>
      <c r="EN28" s="75"/>
      <c r="EO28" s="75"/>
      <c r="EP28" s="75"/>
      <c r="EQ28" s="75"/>
      <c r="ER28" s="75"/>
      <c r="ES28" s="75"/>
      <c r="ET28" s="75"/>
      <c r="EU28" s="75"/>
      <c r="EV28" s="75"/>
      <c r="EW28" s="75"/>
      <c r="EX28" s="75"/>
      <c r="EY28" s="75"/>
      <c r="EZ28" s="75"/>
      <c r="FA28" s="75"/>
      <c r="FB28" s="75"/>
      <c r="FC28" s="75"/>
      <c r="FD28" s="75"/>
      <c r="FE28" s="75"/>
      <c r="FF28" s="75"/>
      <c r="FG28" s="75"/>
      <c r="FH28" s="75"/>
      <c r="FI28" s="75"/>
      <c r="FJ28" s="75"/>
      <c r="FK28" s="75"/>
      <c r="FL28" s="75"/>
      <c r="FM28" s="75"/>
      <c r="FN28" s="75"/>
      <c r="FO28" s="75"/>
      <c r="FP28" s="75"/>
      <c r="FQ28" s="75"/>
      <c r="FR28" s="75"/>
      <c r="FS28" s="75"/>
      <c r="FT28" s="75"/>
      <c r="FU28" s="75"/>
      <c r="FV28" s="75"/>
      <c r="FW28" s="75"/>
      <c r="FX28" s="75"/>
      <c r="FY28" s="75"/>
      <c r="FZ28" s="75"/>
      <c r="GA28" s="75"/>
      <c r="GB28" s="75"/>
      <c r="GC28" s="75"/>
      <c r="GD28" s="75"/>
      <c r="GE28" s="75"/>
      <c r="GF28" s="75"/>
      <c r="GG28" s="75"/>
      <c r="GH28" s="75"/>
      <c r="GI28" s="75"/>
      <c r="GJ28" s="75"/>
      <c r="GK28" s="75"/>
      <c r="GL28" s="75"/>
      <c r="GM28" s="75"/>
      <c r="GN28" s="75"/>
      <c r="GO28" s="75"/>
      <c r="GP28" s="75"/>
      <c r="GQ28" s="75"/>
      <c r="GR28" s="75"/>
      <c r="GS28" s="75"/>
      <c r="GT28" s="75"/>
      <c r="GU28" s="75"/>
      <c r="GV28" s="75"/>
      <c r="GW28" s="75"/>
      <c r="GX28" s="75"/>
      <c r="GY28" s="75"/>
      <c r="GZ28" s="75"/>
      <c r="HA28" s="75"/>
      <c r="HB28" s="75"/>
      <c r="HC28" s="75"/>
      <c r="HD28" s="75"/>
      <c r="HE28" s="75"/>
      <c r="HF28" s="75"/>
      <c r="HG28" s="75"/>
      <c r="HH28" s="75"/>
      <c r="HI28" s="75"/>
      <c r="HJ28" s="75"/>
      <c r="HK28" s="75"/>
      <c r="HL28" s="75"/>
      <c r="HM28" s="75"/>
      <c r="HN28" s="75"/>
      <c r="HO28" s="75"/>
      <c r="HP28" s="75"/>
      <c r="HQ28" s="75"/>
      <c r="HR28" s="75"/>
      <c r="HS28" s="75"/>
      <c r="HT28" s="75"/>
      <c r="HU28" s="75"/>
      <c r="HV28" s="75"/>
      <c r="HW28" s="75"/>
      <c r="HX28" s="75"/>
      <c r="HY28" s="75"/>
      <c r="HZ28" s="75"/>
      <c r="IA28" s="75"/>
      <c r="IB28" s="75"/>
      <c r="IC28" s="75"/>
      <c r="ID28" s="75"/>
      <c r="IE28" s="75"/>
      <c r="IF28" s="75"/>
      <c r="IG28" s="75"/>
      <c r="IH28" s="75"/>
      <c r="II28" s="75"/>
      <c r="IJ28" s="75"/>
      <c r="IK28" s="75"/>
      <c r="IL28" s="75"/>
      <c r="IM28" s="75"/>
      <c r="IN28" s="75"/>
      <c r="IO28" s="75"/>
      <c r="IP28" s="75"/>
      <c r="IQ28" s="75"/>
      <c r="IR28" s="75"/>
      <c r="IS28" s="75"/>
      <c r="IT28" s="75"/>
      <c r="IU28" s="75"/>
      <c r="IV28" s="75"/>
      <c r="IW28" s="75"/>
      <c r="IX28" s="75"/>
      <c r="IY28" s="75"/>
      <c r="IZ28" s="75"/>
      <c r="JA28" s="75"/>
      <c r="JB28" s="75"/>
      <c r="JC28" s="75"/>
      <c r="JD28" s="75"/>
      <c r="JE28" s="75"/>
      <c r="JF28" s="75"/>
      <c r="JG28" s="75"/>
      <c r="JH28" s="75"/>
      <c r="JI28" s="75"/>
      <c r="JJ28" s="75"/>
      <c r="JK28" s="75"/>
      <c r="JL28" s="75"/>
      <c r="JM28" s="75"/>
      <c r="JN28" s="75"/>
      <c r="JO28" s="75"/>
      <c r="JP28" s="75"/>
      <c r="JQ28" s="75"/>
      <c r="JR28" s="75"/>
      <c r="JS28" s="75"/>
      <c r="JT28" s="75"/>
      <c r="JU28" s="75"/>
      <c r="JV28" s="75"/>
      <c r="JW28" s="75"/>
      <c r="JX28" s="75"/>
      <c r="JY28" s="75"/>
      <c r="JZ28" s="75"/>
      <c r="KA28" s="75"/>
      <c r="KB28" s="75"/>
      <c r="KC28" s="75"/>
      <c r="KD28" s="75"/>
      <c r="KE28" s="75"/>
      <c r="KF28" s="75"/>
      <c r="KG28" s="75"/>
      <c r="KH28" s="75"/>
      <c r="KI28" s="75"/>
      <c r="KJ28" s="75"/>
      <c r="KK28" s="75"/>
      <c r="KL28" s="75"/>
      <c r="KM28" s="75"/>
      <c r="KN28" s="75"/>
      <c r="KO28" s="75"/>
      <c r="KP28" s="75"/>
      <c r="KQ28" s="75"/>
      <c r="KR28" s="75"/>
      <c r="KS28" s="75"/>
      <c r="KT28" s="75"/>
      <c r="KU28" s="75"/>
      <c r="KV28" s="75"/>
      <c r="KW28" s="75"/>
      <c r="KX28" s="75"/>
      <c r="KY28" s="75"/>
      <c r="KZ28" s="75"/>
      <c r="LA28" s="75"/>
      <c r="LB28" s="75"/>
      <c r="LC28" s="75"/>
      <c r="LD28" s="75"/>
      <c r="LE28" s="75"/>
      <c r="LF28" s="75"/>
      <c r="LG28" s="75"/>
      <c r="LH28" s="75"/>
      <c r="LI28" s="75"/>
      <c r="LJ28" s="75"/>
      <c r="LK28" s="75"/>
      <c r="LL28" s="75"/>
      <c r="LM28" s="75"/>
      <c r="LN28" s="75"/>
      <c r="LO28" s="75"/>
      <c r="LP28" s="75"/>
      <c r="LQ28" s="75"/>
      <c r="LR28" s="75"/>
      <c r="LS28" s="75"/>
      <c r="LT28" s="75"/>
      <c r="LU28" s="75"/>
      <c r="LV28" s="75"/>
      <c r="LW28" s="75"/>
      <c r="LX28" s="75"/>
      <c r="LY28" s="75"/>
      <c r="LZ28" s="75"/>
      <c r="MA28" s="75"/>
      <c r="MB28" s="75"/>
      <c r="MC28" s="75"/>
      <c r="MD28" s="75"/>
      <c r="ME28" s="75"/>
      <c r="MF28" s="75"/>
      <c r="MG28" s="75"/>
      <c r="MH28" s="75"/>
      <c r="MI28" s="75"/>
      <c r="MJ28" s="75"/>
      <c r="MK28" s="75"/>
      <c r="ML28" s="75"/>
      <c r="MM28" s="75"/>
      <c r="MN28" s="75"/>
      <c r="MO28" s="75"/>
      <c r="MP28" s="75"/>
      <c r="MQ28" s="75"/>
      <c r="MR28" s="75"/>
      <c r="MS28" s="75"/>
      <c r="MT28" s="75"/>
      <c r="MU28" s="75"/>
      <c r="MV28" s="75"/>
      <c r="MW28" s="75"/>
      <c r="MX28" s="75"/>
      <c r="MY28" s="75"/>
      <c r="MZ28" s="75"/>
      <c r="NA28" s="75"/>
      <c r="NB28" s="75"/>
      <c r="NC28" s="75"/>
      <c r="ND28" s="75"/>
      <c r="NE28" s="75"/>
      <c r="NF28" s="75"/>
      <c r="NG28" s="75"/>
      <c r="NH28" s="75"/>
      <c r="NI28" s="75"/>
      <c r="NJ28" s="75"/>
      <c r="NK28" s="75"/>
      <c r="NL28" s="75"/>
      <c r="NM28" s="75"/>
      <c r="NN28" s="75"/>
      <c r="NO28" s="75"/>
      <c r="NP28" s="75"/>
      <c r="NQ28" s="75"/>
      <c r="NR28" s="75"/>
      <c r="NS28" s="75"/>
      <c r="NT28" s="75"/>
      <c r="NU28" s="75"/>
      <c r="NV28" s="75"/>
      <c r="NW28" s="75"/>
      <c r="NX28" s="75"/>
    </row>
    <row r="29" spans="1:388" s="210" customFormat="1" ht="12" customHeight="1">
      <c r="A29" s="30"/>
      <c r="B29" s="147" t="str">
        <f>UPPER(LEFT(TRIM(Data!B26),1)) &amp; MID(TRIM(Data!B26),2,50)</f>
        <v>Gimdos kūno</v>
      </c>
      <c r="C29" s="141" t="str">
        <f>Data!C26</f>
        <v>C54, C55</v>
      </c>
      <c r="D29" s="142">
        <f>Lent10m!D27</f>
        <v>154</v>
      </c>
      <c r="E29" s="149">
        <f>Lent10m!E27</f>
        <v>9.739185867302961</v>
      </c>
      <c r="F29" s="150">
        <f>Lent10m!F27</f>
        <v>5.4836611010419123</v>
      </c>
      <c r="G29" s="144">
        <f>Lent10m!G27</f>
        <v>3.7427697313414456</v>
      </c>
      <c r="H29" s="58"/>
      <c r="I29" s="58"/>
      <c r="J29" s="58"/>
      <c r="K29" s="58"/>
      <c r="L29" s="58"/>
      <c r="M29" s="58"/>
      <c r="N29" s="58"/>
      <c r="O29" s="58"/>
      <c r="P29" s="58"/>
      <c r="Q29" s="338"/>
      <c r="R29" s="339"/>
      <c r="S29" s="340"/>
      <c r="T29" s="340"/>
      <c r="U29" s="340"/>
      <c r="V29" s="340"/>
      <c r="W29" s="340"/>
      <c r="X29" s="340"/>
      <c r="Y29" s="340"/>
      <c r="Z29" s="340"/>
      <c r="AA29" s="340"/>
      <c r="AB29" s="340"/>
      <c r="AC29" s="340"/>
      <c r="AD29" s="340"/>
      <c r="AE29" s="340"/>
      <c r="AF29" s="340"/>
      <c r="AG29" s="340"/>
      <c r="AH29" s="340"/>
      <c r="AI29" s="340"/>
      <c r="AJ29" s="340"/>
      <c r="AK29" s="340"/>
      <c r="AL29" s="339"/>
      <c r="AM29" s="340"/>
      <c r="AN29" s="340"/>
      <c r="AO29" s="340"/>
      <c r="AP29" s="340"/>
      <c r="AQ29" s="340"/>
      <c r="AR29" s="340"/>
      <c r="AS29" s="340"/>
      <c r="AT29" s="340"/>
      <c r="AU29" s="340"/>
      <c r="AV29" s="340"/>
      <c r="AW29" s="340"/>
      <c r="AX29" s="340"/>
      <c r="AY29" s="340"/>
      <c r="AZ29" s="340"/>
      <c r="BA29" s="340"/>
      <c r="BB29" s="340"/>
      <c r="BC29" s="340"/>
      <c r="BD29" s="340"/>
      <c r="BE29" s="340"/>
      <c r="BF29" s="75"/>
      <c r="BG29" s="75"/>
      <c r="BH29" s="75"/>
      <c r="BI29" s="75"/>
      <c r="BJ29" s="75"/>
      <c r="BK29" s="75"/>
      <c r="BL29" s="75"/>
      <c r="BM29" s="75"/>
      <c r="BN29" s="75"/>
      <c r="BO29" s="75"/>
      <c r="BP29" s="75"/>
      <c r="BQ29" s="75"/>
      <c r="BR29" s="75"/>
      <c r="BS29" s="75"/>
      <c r="BT29" s="75"/>
      <c r="BU29" s="75"/>
      <c r="BV29" s="75"/>
      <c r="BW29" s="75"/>
      <c r="BX29" s="75"/>
      <c r="BY29" s="75"/>
      <c r="BZ29" s="75"/>
      <c r="CA29" s="75"/>
      <c r="CB29" s="75"/>
      <c r="CC29" s="75"/>
      <c r="CD29" s="75"/>
      <c r="CE29" s="75"/>
      <c r="CF29" s="75"/>
      <c r="CG29" s="75"/>
      <c r="CH29" s="75"/>
      <c r="CI29" s="75"/>
      <c r="CJ29" s="75"/>
      <c r="CK29" s="75"/>
      <c r="CL29" s="75"/>
      <c r="CM29" s="75"/>
      <c r="CN29" s="75"/>
      <c r="CO29" s="75"/>
      <c r="CP29" s="75"/>
      <c r="CQ29" s="75"/>
      <c r="CR29" s="75"/>
      <c r="CS29" s="75"/>
      <c r="CT29" s="75"/>
      <c r="CU29" s="75"/>
      <c r="CV29" s="75"/>
      <c r="CW29" s="75"/>
      <c r="CX29" s="75"/>
      <c r="CY29" s="75"/>
      <c r="CZ29" s="75"/>
      <c r="DA29" s="75"/>
      <c r="DB29" s="75"/>
      <c r="DC29" s="75"/>
      <c r="DD29" s="75"/>
      <c r="DE29" s="75"/>
      <c r="DF29" s="75"/>
      <c r="DG29" s="75"/>
      <c r="DH29" s="75"/>
      <c r="DI29" s="75"/>
      <c r="DJ29" s="75"/>
      <c r="DK29" s="75"/>
      <c r="DL29" s="75"/>
      <c r="DM29" s="75"/>
      <c r="DN29" s="75"/>
      <c r="DO29" s="75"/>
      <c r="DP29" s="75"/>
      <c r="DQ29" s="75"/>
      <c r="DR29" s="75"/>
      <c r="DS29" s="75"/>
      <c r="DT29" s="75"/>
      <c r="DU29" s="75"/>
      <c r="DV29" s="75"/>
      <c r="DW29" s="75"/>
      <c r="DX29" s="75"/>
      <c r="DY29" s="75"/>
      <c r="DZ29" s="75"/>
      <c r="EA29" s="75"/>
      <c r="EB29" s="75"/>
      <c r="EC29" s="75"/>
      <c r="ED29" s="75"/>
      <c r="EE29" s="75"/>
      <c r="EF29" s="75"/>
      <c r="EG29" s="75"/>
      <c r="EH29" s="75"/>
      <c r="EI29" s="75"/>
      <c r="EJ29" s="75"/>
      <c r="EK29" s="75"/>
      <c r="EL29" s="75"/>
      <c r="EM29" s="75"/>
      <c r="EN29" s="75"/>
      <c r="EO29" s="75"/>
      <c r="EP29" s="75"/>
      <c r="EQ29" s="75"/>
      <c r="ER29" s="75"/>
      <c r="ES29" s="75"/>
      <c r="ET29" s="75"/>
      <c r="EU29" s="75"/>
      <c r="EV29" s="75"/>
      <c r="EW29" s="75"/>
      <c r="EX29" s="75"/>
      <c r="EY29" s="75"/>
      <c r="EZ29" s="75"/>
      <c r="FA29" s="75"/>
      <c r="FB29" s="75"/>
      <c r="FC29" s="75"/>
      <c r="FD29" s="75"/>
      <c r="FE29" s="75"/>
      <c r="FF29" s="75"/>
      <c r="FG29" s="75"/>
      <c r="FH29" s="75"/>
      <c r="FI29" s="75"/>
      <c r="FJ29" s="75"/>
      <c r="FK29" s="75"/>
      <c r="FL29" s="75"/>
      <c r="FM29" s="75"/>
      <c r="FN29" s="75"/>
      <c r="FO29" s="75"/>
      <c r="FP29" s="75"/>
      <c r="FQ29" s="75"/>
      <c r="FR29" s="75"/>
      <c r="FS29" s="75"/>
      <c r="FT29" s="75"/>
      <c r="FU29" s="75"/>
      <c r="FV29" s="75"/>
      <c r="FW29" s="75"/>
      <c r="FX29" s="75"/>
      <c r="FY29" s="75"/>
      <c r="FZ29" s="75"/>
      <c r="GA29" s="75"/>
      <c r="GB29" s="75"/>
      <c r="GC29" s="75"/>
      <c r="GD29" s="75"/>
      <c r="GE29" s="75"/>
      <c r="GF29" s="75"/>
      <c r="GG29" s="75"/>
      <c r="GH29" s="75"/>
      <c r="GI29" s="75"/>
      <c r="GJ29" s="75"/>
      <c r="GK29" s="75"/>
      <c r="GL29" s="75"/>
      <c r="GM29" s="75"/>
      <c r="GN29" s="75"/>
      <c r="GO29" s="75"/>
      <c r="GP29" s="75"/>
      <c r="GQ29" s="75"/>
      <c r="GR29" s="75"/>
      <c r="GS29" s="75"/>
      <c r="GT29" s="75"/>
      <c r="GU29" s="75"/>
      <c r="GV29" s="75"/>
      <c r="GW29" s="75"/>
      <c r="GX29" s="75"/>
      <c r="GY29" s="75"/>
      <c r="GZ29" s="75"/>
      <c r="HA29" s="75"/>
      <c r="HB29" s="75"/>
      <c r="HC29" s="75"/>
      <c r="HD29" s="75"/>
      <c r="HE29" s="75"/>
      <c r="HF29" s="75"/>
      <c r="HG29" s="75"/>
      <c r="HH29" s="75"/>
      <c r="HI29" s="75"/>
      <c r="HJ29" s="75"/>
      <c r="HK29" s="75"/>
      <c r="HL29" s="75"/>
      <c r="HM29" s="75"/>
      <c r="HN29" s="75"/>
      <c r="HO29" s="75"/>
      <c r="HP29" s="75"/>
      <c r="HQ29" s="75"/>
      <c r="HR29" s="75"/>
      <c r="HS29" s="75"/>
      <c r="HT29" s="75"/>
      <c r="HU29" s="75"/>
      <c r="HV29" s="75"/>
      <c r="HW29" s="75"/>
      <c r="HX29" s="75"/>
      <c r="HY29" s="75"/>
      <c r="HZ29" s="75"/>
      <c r="IA29" s="75"/>
      <c r="IB29" s="75"/>
      <c r="IC29" s="75"/>
      <c r="ID29" s="75"/>
      <c r="IE29" s="75"/>
      <c r="IF29" s="75"/>
      <c r="IG29" s="75"/>
      <c r="IH29" s="75"/>
      <c r="II29" s="75"/>
      <c r="IJ29" s="75"/>
      <c r="IK29" s="75"/>
      <c r="IL29" s="75"/>
      <c r="IM29" s="75"/>
      <c r="IN29" s="75"/>
      <c r="IO29" s="75"/>
      <c r="IP29" s="75"/>
      <c r="IQ29" s="75"/>
      <c r="IR29" s="75"/>
      <c r="IS29" s="75"/>
      <c r="IT29" s="75"/>
      <c r="IU29" s="75"/>
      <c r="IV29" s="75"/>
      <c r="IW29" s="75"/>
      <c r="IX29" s="75"/>
      <c r="IY29" s="75"/>
      <c r="IZ29" s="75"/>
      <c r="JA29" s="75"/>
      <c r="JB29" s="75"/>
      <c r="JC29" s="75"/>
      <c r="JD29" s="75"/>
      <c r="JE29" s="75"/>
      <c r="JF29" s="75"/>
      <c r="JG29" s="75"/>
      <c r="JH29" s="75"/>
      <c r="JI29" s="75"/>
      <c r="JJ29" s="75"/>
      <c r="JK29" s="75"/>
      <c r="JL29" s="75"/>
      <c r="JM29" s="75"/>
      <c r="JN29" s="75"/>
      <c r="JO29" s="75"/>
      <c r="JP29" s="75"/>
      <c r="JQ29" s="75"/>
      <c r="JR29" s="75"/>
      <c r="JS29" s="75"/>
      <c r="JT29" s="75"/>
      <c r="JU29" s="75"/>
      <c r="JV29" s="75"/>
      <c r="JW29" s="75"/>
      <c r="JX29" s="75"/>
      <c r="JY29" s="75"/>
      <c r="JZ29" s="75"/>
      <c r="KA29" s="75"/>
      <c r="KB29" s="75"/>
      <c r="KC29" s="75"/>
      <c r="KD29" s="75"/>
      <c r="KE29" s="75"/>
      <c r="KF29" s="75"/>
      <c r="KG29" s="75"/>
      <c r="KH29" s="75"/>
      <c r="KI29" s="75"/>
      <c r="KJ29" s="75"/>
      <c r="KK29" s="75"/>
      <c r="KL29" s="75"/>
      <c r="KM29" s="75"/>
      <c r="KN29" s="75"/>
      <c r="KO29" s="75"/>
      <c r="KP29" s="75"/>
      <c r="KQ29" s="75"/>
      <c r="KR29" s="75"/>
      <c r="KS29" s="75"/>
      <c r="KT29" s="75"/>
      <c r="KU29" s="75"/>
      <c r="KV29" s="75"/>
      <c r="KW29" s="75"/>
      <c r="KX29" s="75"/>
      <c r="KY29" s="75"/>
      <c r="KZ29" s="75"/>
      <c r="LA29" s="75"/>
      <c r="LB29" s="75"/>
      <c r="LC29" s="75"/>
      <c r="LD29" s="75"/>
      <c r="LE29" s="75"/>
      <c r="LF29" s="75"/>
      <c r="LG29" s="75"/>
      <c r="LH29" s="75"/>
      <c r="LI29" s="75"/>
      <c r="LJ29" s="75"/>
      <c r="LK29" s="75"/>
      <c r="LL29" s="75"/>
      <c r="LM29" s="75"/>
      <c r="LN29" s="75"/>
      <c r="LO29" s="75"/>
      <c r="LP29" s="75"/>
      <c r="LQ29" s="75"/>
      <c r="LR29" s="75"/>
      <c r="LS29" s="75"/>
      <c r="LT29" s="75"/>
      <c r="LU29" s="75"/>
      <c r="LV29" s="75"/>
      <c r="LW29" s="75"/>
      <c r="LX29" s="75"/>
      <c r="LY29" s="75"/>
      <c r="LZ29" s="75"/>
      <c r="MA29" s="75"/>
      <c r="MB29" s="75"/>
      <c r="MC29" s="75"/>
      <c r="MD29" s="75"/>
      <c r="ME29" s="75"/>
      <c r="MF29" s="75"/>
      <c r="MG29" s="75"/>
      <c r="MH29" s="75"/>
      <c r="MI29" s="75"/>
      <c r="MJ29" s="75"/>
      <c r="MK29" s="75"/>
      <c r="ML29" s="75"/>
      <c r="MM29" s="75"/>
      <c r="MN29" s="75"/>
      <c r="MO29" s="75"/>
      <c r="MP29" s="75"/>
      <c r="MQ29" s="75"/>
      <c r="MR29" s="75"/>
      <c r="MS29" s="75"/>
      <c r="MT29" s="75"/>
      <c r="MU29" s="75"/>
      <c r="MV29" s="75"/>
      <c r="MW29" s="75"/>
      <c r="MX29" s="75"/>
      <c r="MY29" s="75"/>
      <c r="MZ29" s="75"/>
      <c r="NA29" s="75"/>
      <c r="NB29" s="75"/>
      <c r="NC29" s="75"/>
      <c r="ND29" s="75"/>
      <c r="NE29" s="75"/>
      <c r="NF29" s="75"/>
      <c r="NG29" s="75"/>
      <c r="NH29" s="75"/>
      <c r="NI29" s="75"/>
      <c r="NJ29" s="75"/>
      <c r="NK29" s="75"/>
      <c r="NL29" s="75"/>
      <c r="NM29" s="75"/>
      <c r="NN29" s="75"/>
      <c r="NO29" s="75"/>
      <c r="NP29" s="75"/>
      <c r="NQ29" s="75"/>
      <c r="NR29" s="75"/>
      <c r="NS29" s="75"/>
      <c r="NT29" s="75"/>
      <c r="NU29" s="75"/>
      <c r="NV29" s="75"/>
      <c r="NW29" s="75"/>
      <c r="NX29" s="75"/>
    </row>
    <row r="30" spans="1:388" s="210" customFormat="1" ht="12" customHeight="1">
      <c r="A30" s="30"/>
      <c r="B30" s="147" t="str">
        <f>UPPER(LEFT(TRIM(Data!B27),1)) &amp; MID(TRIM(Data!B27),2,50)</f>
        <v>Kiaušidžių</v>
      </c>
      <c r="C30" s="141" t="str">
        <f>Data!C27</f>
        <v>C56</v>
      </c>
      <c r="D30" s="142">
        <f>Lent10m!D28</f>
        <v>272</v>
      </c>
      <c r="E30" s="149">
        <f>Lent10m!E28</f>
        <v>17.201678934457178</v>
      </c>
      <c r="F30" s="150">
        <f>Lent10m!F28</f>
        <v>10.436986308956106</v>
      </c>
      <c r="G30" s="144">
        <f>Lent10m!G28</f>
        <v>7.2193179913775669</v>
      </c>
      <c r="H30" s="58"/>
      <c r="I30" s="58"/>
      <c r="J30" s="58"/>
      <c r="K30" s="58"/>
      <c r="L30" s="58"/>
      <c r="M30" s="58"/>
      <c r="N30" s="58"/>
      <c r="O30" s="58"/>
      <c r="P30" s="58"/>
      <c r="Q30" s="338"/>
      <c r="R30" s="339"/>
      <c r="S30" s="340"/>
      <c r="T30" s="340"/>
      <c r="U30" s="340"/>
      <c r="V30" s="340"/>
      <c r="W30" s="340"/>
      <c r="X30" s="340"/>
      <c r="Y30" s="340"/>
      <c r="Z30" s="340"/>
      <c r="AA30" s="340"/>
      <c r="AB30" s="340"/>
      <c r="AC30" s="340"/>
      <c r="AD30" s="340"/>
      <c r="AE30" s="340"/>
      <c r="AF30" s="340"/>
      <c r="AG30" s="340"/>
      <c r="AH30" s="340"/>
      <c r="AI30" s="340"/>
      <c r="AJ30" s="340"/>
      <c r="AK30" s="340"/>
      <c r="AL30" s="339"/>
      <c r="AM30" s="340"/>
      <c r="AN30" s="340"/>
      <c r="AO30" s="340"/>
      <c r="AP30" s="340"/>
      <c r="AQ30" s="340"/>
      <c r="AR30" s="340"/>
      <c r="AS30" s="340"/>
      <c r="AT30" s="340"/>
      <c r="AU30" s="340"/>
      <c r="AV30" s="340"/>
      <c r="AW30" s="340"/>
      <c r="AX30" s="340"/>
      <c r="AY30" s="340"/>
      <c r="AZ30" s="340"/>
      <c r="BA30" s="340"/>
      <c r="BB30" s="340"/>
      <c r="BC30" s="340"/>
      <c r="BD30" s="340"/>
      <c r="BE30" s="340"/>
      <c r="BF30" s="75"/>
      <c r="BG30" s="75"/>
      <c r="BH30" s="75"/>
      <c r="BI30" s="75"/>
      <c r="BJ30" s="75"/>
      <c r="BK30" s="75"/>
      <c r="BL30" s="75"/>
      <c r="BM30" s="75"/>
      <c r="BN30" s="75"/>
      <c r="BO30" s="75"/>
      <c r="BP30" s="75"/>
      <c r="BQ30" s="75"/>
      <c r="BR30" s="75"/>
      <c r="BS30" s="75"/>
      <c r="BT30" s="75"/>
      <c r="BU30" s="75"/>
      <c r="BV30" s="75"/>
      <c r="BW30" s="75"/>
      <c r="BX30" s="75"/>
      <c r="BY30" s="75"/>
      <c r="BZ30" s="75"/>
      <c r="CA30" s="75"/>
      <c r="CB30" s="75"/>
      <c r="CC30" s="75"/>
      <c r="CD30" s="75"/>
      <c r="CE30" s="75"/>
      <c r="CF30" s="75"/>
      <c r="CG30" s="75"/>
      <c r="CH30" s="75"/>
      <c r="CI30" s="75"/>
      <c r="CJ30" s="75"/>
      <c r="CK30" s="75"/>
      <c r="CL30" s="75"/>
      <c r="CM30" s="75"/>
      <c r="CN30" s="75"/>
      <c r="CO30" s="75"/>
      <c r="CP30" s="75"/>
      <c r="CQ30" s="75"/>
      <c r="CR30" s="75"/>
      <c r="CS30" s="75"/>
      <c r="CT30" s="75"/>
      <c r="CU30" s="75"/>
      <c r="CV30" s="75"/>
      <c r="CW30" s="75"/>
      <c r="CX30" s="75"/>
      <c r="CY30" s="75"/>
      <c r="CZ30" s="75"/>
      <c r="DA30" s="75"/>
      <c r="DB30" s="75"/>
      <c r="DC30" s="75"/>
      <c r="DD30" s="75"/>
      <c r="DE30" s="75"/>
      <c r="DF30" s="75"/>
      <c r="DG30" s="75"/>
      <c r="DH30" s="75"/>
      <c r="DI30" s="75"/>
      <c r="DJ30" s="75"/>
      <c r="DK30" s="75"/>
      <c r="DL30" s="75"/>
      <c r="DM30" s="75"/>
      <c r="DN30" s="75"/>
      <c r="DO30" s="75"/>
      <c r="DP30" s="75"/>
      <c r="DQ30" s="75"/>
      <c r="DR30" s="75"/>
      <c r="DS30" s="75"/>
      <c r="DT30" s="75"/>
      <c r="DU30" s="75"/>
      <c r="DV30" s="75"/>
      <c r="DW30" s="75"/>
      <c r="DX30" s="75"/>
      <c r="DY30" s="75"/>
      <c r="DZ30" s="75"/>
      <c r="EA30" s="75"/>
      <c r="EB30" s="75"/>
      <c r="EC30" s="75"/>
      <c r="ED30" s="75"/>
      <c r="EE30" s="75"/>
      <c r="EF30" s="75"/>
      <c r="EG30" s="75"/>
      <c r="EH30" s="75"/>
      <c r="EI30" s="75"/>
      <c r="EJ30" s="75"/>
      <c r="EK30" s="75"/>
      <c r="EL30" s="75"/>
      <c r="EM30" s="75"/>
      <c r="EN30" s="75"/>
      <c r="EO30" s="75"/>
      <c r="EP30" s="75"/>
      <c r="EQ30" s="75"/>
      <c r="ER30" s="75"/>
      <c r="ES30" s="75"/>
      <c r="ET30" s="75"/>
      <c r="EU30" s="75"/>
      <c r="EV30" s="75"/>
      <c r="EW30" s="75"/>
      <c r="EX30" s="75"/>
      <c r="EY30" s="75"/>
      <c r="EZ30" s="75"/>
      <c r="FA30" s="75"/>
      <c r="FB30" s="75"/>
      <c r="FC30" s="75"/>
      <c r="FD30" s="75"/>
      <c r="FE30" s="75"/>
      <c r="FF30" s="75"/>
      <c r="FG30" s="75"/>
      <c r="FH30" s="75"/>
      <c r="FI30" s="75"/>
      <c r="FJ30" s="75"/>
      <c r="FK30" s="75"/>
      <c r="FL30" s="75"/>
      <c r="FM30" s="75"/>
      <c r="FN30" s="75"/>
      <c r="FO30" s="75"/>
      <c r="FP30" s="75"/>
      <c r="FQ30" s="75"/>
      <c r="FR30" s="75"/>
      <c r="FS30" s="75"/>
      <c r="FT30" s="75"/>
      <c r="FU30" s="75"/>
      <c r="FV30" s="75"/>
      <c r="FW30" s="75"/>
      <c r="FX30" s="75"/>
      <c r="FY30" s="75"/>
      <c r="FZ30" s="75"/>
      <c r="GA30" s="75"/>
      <c r="GB30" s="75"/>
      <c r="GC30" s="75"/>
      <c r="GD30" s="75"/>
      <c r="GE30" s="75"/>
      <c r="GF30" s="75"/>
      <c r="GG30" s="75"/>
      <c r="GH30" s="75"/>
      <c r="GI30" s="75"/>
      <c r="GJ30" s="75"/>
      <c r="GK30" s="75"/>
      <c r="GL30" s="75"/>
      <c r="GM30" s="75"/>
      <c r="GN30" s="75"/>
      <c r="GO30" s="75"/>
      <c r="GP30" s="75"/>
      <c r="GQ30" s="75"/>
      <c r="GR30" s="75"/>
      <c r="GS30" s="75"/>
      <c r="GT30" s="75"/>
      <c r="GU30" s="75"/>
      <c r="GV30" s="75"/>
      <c r="GW30" s="75"/>
      <c r="GX30" s="75"/>
      <c r="GY30" s="75"/>
      <c r="GZ30" s="75"/>
      <c r="HA30" s="75"/>
      <c r="HB30" s="75"/>
      <c r="HC30" s="75"/>
      <c r="HD30" s="75"/>
      <c r="HE30" s="75"/>
      <c r="HF30" s="75"/>
      <c r="HG30" s="75"/>
      <c r="HH30" s="75"/>
      <c r="HI30" s="75"/>
      <c r="HJ30" s="75"/>
      <c r="HK30" s="75"/>
      <c r="HL30" s="75"/>
      <c r="HM30" s="75"/>
      <c r="HN30" s="75"/>
      <c r="HO30" s="75"/>
      <c r="HP30" s="75"/>
      <c r="HQ30" s="75"/>
      <c r="HR30" s="75"/>
      <c r="HS30" s="75"/>
      <c r="HT30" s="75"/>
      <c r="HU30" s="75"/>
      <c r="HV30" s="75"/>
      <c r="HW30" s="75"/>
      <c r="HX30" s="75"/>
      <c r="HY30" s="75"/>
      <c r="HZ30" s="75"/>
      <c r="IA30" s="75"/>
      <c r="IB30" s="75"/>
      <c r="IC30" s="75"/>
      <c r="ID30" s="75"/>
      <c r="IE30" s="75"/>
      <c r="IF30" s="75"/>
      <c r="IG30" s="75"/>
      <c r="IH30" s="75"/>
      <c r="II30" s="75"/>
      <c r="IJ30" s="75"/>
      <c r="IK30" s="75"/>
      <c r="IL30" s="75"/>
      <c r="IM30" s="75"/>
      <c r="IN30" s="75"/>
      <c r="IO30" s="75"/>
      <c r="IP30" s="75"/>
      <c r="IQ30" s="75"/>
      <c r="IR30" s="75"/>
      <c r="IS30" s="75"/>
      <c r="IT30" s="75"/>
      <c r="IU30" s="75"/>
      <c r="IV30" s="75"/>
      <c r="IW30" s="75"/>
      <c r="IX30" s="75"/>
      <c r="IY30" s="75"/>
      <c r="IZ30" s="75"/>
      <c r="JA30" s="75"/>
      <c r="JB30" s="75"/>
      <c r="JC30" s="75"/>
      <c r="JD30" s="75"/>
      <c r="JE30" s="75"/>
      <c r="JF30" s="75"/>
      <c r="JG30" s="75"/>
      <c r="JH30" s="75"/>
      <c r="JI30" s="75"/>
      <c r="JJ30" s="75"/>
      <c r="JK30" s="75"/>
      <c r="JL30" s="75"/>
      <c r="JM30" s="75"/>
      <c r="JN30" s="75"/>
      <c r="JO30" s="75"/>
      <c r="JP30" s="75"/>
      <c r="JQ30" s="75"/>
      <c r="JR30" s="75"/>
      <c r="JS30" s="75"/>
      <c r="JT30" s="75"/>
      <c r="JU30" s="75"/>
      <c r="JV30" s="75"/>
      <c r="JW30" s="75"/>
      <c r="JX30" s="75"/>
      <c r="JY30" s="75"/>
      <c r="JZ30" s="75"/>
      <c r="KA30" s="75"/>
      <c r="KB30" s="75"/>
      <c r="KC30" s="75"/>
      <c r="KD30" s="75"/>
      <c r="KE30" s="75"/>
      <c r="KF30" s="75"/>
      <c r="KG30" s="75"/>
      <c r="KH30" s="75"/>
      <c r="KI30" s="75"/>
      <c r="KJ30" s="75"/>
      <c r="KK30" s="75"/>
      <c r="KL30" s="75"/>
      <c r="KM30" s="75"/>
      <c r="KN30" s="75"/>
      <c r="KO30" s="75"/>
      <c r="KP30" s="75"/>
      <c r="KQ30" s="75"/>
      <c r="KR30" s="75"/>
      <c r="KS30" s="75"/>
      <c r="KT30" s="75"/>
      <c r="KU30" s="75"/>
      <c r="KV30" s="75"/>
      <c r="KW30" s="75"/>
      <c r="KX30" s="75"/>
      <c r="KY30" s="75"/>
      <c r="KZ30" s="75"/>
      <c r="LA30" s="75"/>
      <c r="LB30" s="75"/>
      <c r="LC30" s="75"/>
      <c r="LD30" s="75"/>
      <c r="LE30" s="75"/>
      <c r="LF30" s="75"/>
      <c r="LG30" s="75"/>
      <c r="LH30" s="75"/>
      <c r="LI30" s="75"/>
      <c r="LJ30" s="75"/>
      <c r="LK30" s="75"/>
      <c r="LL30" s="75"/>
      <c r="LM30" s="75"/>
      <c r="LN30" s="75"/>
      <c r="LO30" s="75"/>
      <c r="LP30" s="75"/>
      <c r="LQ30" s="75"/>
      <c r="LR30" s="75"/>
      <c r="LS30" s="75"/>
      <c r="LT30" s="75"/>
      <c r="LU30" s="75"/>
      <c r="LV30" s="75"/>
      <c r="LW30" s="75"/>
      <c r="LX30" s="75"/>
      <c r="LY30" s="75"/>
      <c r="LZ30" s="75"/>
      <c r="MA30" s="75"/>
      <c r="MB30" s="75"/>
      <c r="MC30" s="75"/>
      <c r="MD30" s="75"/>
      <c r="ME30" s="75"/>
      <c r="MF30" s="75"/>
      <c r="MG30" s="75"/>
      <c r="MH30" s="75"/>
      <c r="MI30" s="75"/>
      <c r="MJ30" s="75"/>
      <c r="MK30" s="75"/>
      <c r="ML30" s="75"/>
      <c r="MM30" s="75"/>
      <c r="MN30" s="75"/>
      <c r="MO30" s="75"/>
      <c r="MP30" s="75"/>
      <c r="MQ30" s="75"/>
      <c r="MR30" s="75"/>
      <c r="MS30" s="75"/>
      <c r="MT30" s="75"/>
      <c r="MU30" s="75"/>
      <c r="MV30" s="75"/>
      <c r="MW30" s="75"/>
      <c r="MX30" s="75"/>
      <c r="MY30" s="75"/>
      <c r="MZ30" s="75"/>
      <c r="NA30" s="75"/>
      <c r="NB30" s="75"/>
      <c r="NC30" s="75"/>
      <c r="ND30" s="75"/>
      <c r="NE30" s="75"/>
      <c r="NF30" s="75"/>
      <c r="NG30" s="75"/>
      <c r="NH30" s="75"/>
      <c r="NI30" s="75"/>
      <c r="NJ30" s="75"/>
      <c r="NK30" s="75"/>
      <c r="NL30" s="75"/>
      <c r="NM30" s="75"/>
      <c r="NN30" s="75"/>
      <c r="NO30" s="75"/>
      <c r="NP30" s="75"/>
      <c r="NQ30" s="75"/>
      <c r="NR30" s="75"/>
      <c r="NS30" s="75"/>
      <c r="NT30" s="75"/>
      <c r="NU30" s="75"/>
      <c r="NV30" s="75"/>
      <c r="NW30" s="75"/>
      <c r="NX30" s="75"/>
    </row>
    <row r="31" spans="1:388" s="209" customFormat="1" ht="12" customHeight="1">
      <c r="A31" s="30"/>
      <c r="B31" s="147" t="str">
        <f>UPPER(LEFT(TRIM(Data!B28),1)) &amp; MID(TRIM(Data!B28),2,50)</f>
        <v>Priešinės liaukos</v>
      </c>
      <c r="C31" s="141" t="str">
        <f>Data!C28</f>
        <v>C61</v>
      </c>
      <c r="D31" s="142">
        <f>Lent10v!D25</f>
        <v>520</v>
      </c>
      <c r="E31" s="149">
        <f>Lent10v!E25</f>
        <v>38.486417995064855</v>
      </c>
      <c r="F31" s="150">
        <f>Lent10v!F25</f>
        <v>29.671716466490718</v>
      </c>
      <c r="G31" s="144">
        <f>Lent10v!G25</f>
        <v>17.450408771354091</v>
      </c>
      <c r="H31" s="58"/>
      <c r="I31" s="58"/>
      <c r="J31" s="58"/>
      <c r="K31" s="58"/>
      <c r="L31" s="58"/>
      <c r="M31" s="58"/>
      <c r="N31" s="58"/>
      <c r="O31" s="58"/>
      <c r="P31" s="58"/>
      <c r="Q31" s="338"/>
      <c r="R31" s="339"/>
      <c r="S31" s="340"/>
      <c r="T31" s="340"/>
      <c r="U31" s="340"/>
      <c r="V31" s="340"/>
      <c r="W31" s="340"/>
      <c r="X31" s="340"/>
      <c r="Y31" s="340"/>
      <c r="Z31" s="340"/>
      <c r="AA31" s="340"/>
      <c r="AB31" s="340"/>
      <c r="AC31" s="340"/>
      <c r="AD31" s="340"/>
      <c r="AE31" s="340"/>
      <c r="AF31" s="340"/>
      <c r="AG31" s="340"/>
      <c r="AH31" s="340"/>
      <c r="AI31" s="340"/>
      <c r="AJ31" s="340"/>
      <c r="AK31" s="340"/>
      <c r="AL31" s="339"/>
      <c r="AM31" s="340"/>
      <c r="AN31" s="340"/>
      <c r="AO31" s="340"/>
      <c r="AP31" s="340"/>
      <c r="AQ31" s="340"/>
      <c r="AR31" s="340"/>
      <c r="AS31" s="340"/>
      <c r="AT31" s="340"/>
      <c r="AU31" s="340"/>
      <c r="AV31" s="340"/>
      <c r="AW31" s="340"/>
      <c r="AX31" s="340"/>
      <c r="AY31" s="340"/>
      <c r="AZ31" s="340"/>
      <c r="BA31" s="340"/>
      <c r="BB31" s="340"/>
      <c r="BC31" s="340"/>
      <c r="BD31" s="340"/>
      <c r="BE31" s="340"/>
      <c r="BF31" s="75"/>
      <c r="BG31" s="75"/>
      <c r="BH31" s="75"/>
      <c r="BI31" s="75"/>
      <c r="BJ31" s="75"/>
      <c r="BK31" s="75"/>
      <c r="BL31" s="75"/>
      <c r="BM31" s="75"/>
      <c r="BN31" s="75"/>
      <c r="BO31" s="75"/>
      <c r="BP31" s="75"/>
      <c r="BQ31" s="75"/>
      <c r="BR31" s="75"/>
      <c r="BS31" s="75"/>
      <c r="BT31" s="75"/>
      <c r="BU31" s="75"/>
      <c r="BV31" s="75"/>
      <c r="BW31" s="75"/>
      <c r="BX31" s="75"/>
      <c r="BY31" s="75"/>
      <c r="BZ31" s="75"/>
      <c r="CA31" s="75"/>
      <c r="CB31" s="75"/>
      <c r="CC31" s="75"/>
      <c r="CD31" s="75"/>
      <c r="CE31" s="75"/>
      <c r="CF31" s="75"/>
      <c r="CG31" s="75"/>
      <c r="CH31" s="75"/>
      <c r="CI31" s="75"/>
      <c r="CJ31" s="75"/>
      <c r="CK31" s="75"/>
      <c r="CL31" s="75"/>
      <c r="CM31" s="75"/>
      <c r="CN31" s="75"/>
      <c r="CO31" s="75"/>
      <c r="CP31" s="75"/>
      <c r="CQ31" s="75"/>
      <c r="CR31" s="75"/>
      <c r="CS31" s="75"/>
      <c r="CT31" s="75"/>
      <c r="CU31" s="75"/>
      <c r="CV31" s="75"/>
      <c r="CW31" s="75"/>
      <c r="CX31" s="75"/>
      <c r="CY31" s="75"/>
      <c r="CZ31" s="75"/>
      <c r="DA31" s="75"/>
      <c r="DB31" s="75"/>
      <c r="DC31" s="75"/>
      <c r="DD31" s="75"/>
      <c r="DE31" s="75"/>
      <c r="DF31" s="75"/>
      <c r="DG31" s="75"/>
      <c r="DH31" s="75"/>
      <c r="DI31" s="75"/>
      <c r="DJ31" s="75"/>
      <c r="DK31" s="75"/>
      <c r="DL31" s="75"/>
      <c r="DM31" s="75"/>
      <c r="DN31" s="75"/>
      <c r="DO31" s="75"/>
      <c r="DP31" s="75"/>
      <c r="DQ31" s="75"/>
      <c r="DR31" s="75"/>
      <c r="DS31" s="75"/>
      <c r="DT31" s="75"/>
      <c r="DU31" s="75"/>
      <c r="DV31" s="75"/>
      <c r="DW31" s="75"/>
      <c r="DX31" s="75"/>
      <c r="DY31" s="75"/>
      <c r="DZ31" s="75"/>
      <c r="EA31" s="75"/>
      <c r="EB31" s="75"/>
      <c r="EC31" s="75"/>
      <c r="ED31" s="75"/>
      <c r="EE31" s="75"/>
      <c r="EF31" s="75"/>
      <c r="EG31" s="75"/>
      <c r="EH31" s="75"/>
      <c r="EI31" s="75"/>
      <c r="EJ31" s="75"/>
      <c r="EK31" s="75"/>
      <c r="EL31" s="75"/>
      <c r="EM31" s="75"/>
      <c r="EN31" s="75"/>
      <c r="EO31" s="75"/>
      <c r="EP31" s="75"/>
      <c r="EQ31" s="75"/>
      <c r="ER31" s="75"/>
      <c r="ES31" s="75"/>
      <c r="ET31" s="75"/>
      <c r="EU31" s="75"/>
      <c r="EV31" s="75"/>
      <c r="EW31" s="75"/>
      <c r="EX31" s="75"/>
      <c r="EY31" s="75"/>
      <c r="EZ31" s="75"/>
      <c r="FA31" s="75"/>
      <c r="FB31" s="75"/>
      <c r="FC31" s="75"/>
      <c r="FD31" s="75"/>
      <c r="FE31" s="75"/>
      <c r="FF31" s="75"/>
      <c r="FG31" s="75"/>
      <c r="FH31" s="75"/>
      <c r="FI31" s="75"/>
      <c r="FJ31" s="75"/>
      <c r="FK31" s="75"/>
      <c r="FL31" s="75"/>
      <c r="FM31" s="75"/>
      <c r="FN31" s="75"/>
      <c r="FO31" s="75"/>
      <c r="FP31" s="75"/>
      <c r="FQ31" s="75"/>
      <c r="FR31" s="75"/>
      <c r="FS31" s="75"/>
      <c r="FT31" s="75"/>
      <c r="FU31" s="75"/>
      <c r="FV31" s="75"/>
      <c r="FW31" s="75"/>
      <c r="FX31" s="75"/>
      <c r="FY31" s="75"/>
      <c r="FZ31" s="75"/>
      <c r="GA31" s="75"/>
      <c r="GB31" s="75"/>
      <c r="GC31" s="75"/>
      <c r="GD31" s="75"/>
      <c r="GE31" s="75"/>
      <c r="GF31" s="75"/>
      <c r="GG31" s="75"/>
      <c r="GH31" s="75"/>
      <c r="GI31" s="75"/>
      <c r="GJ31" s="75"/>
      <c r="GK31" s="75"/>
      <c r="GL31" s="75"/>
      <c r="GM31" s="75"/>
      <c r="GN31" s="75"/>
      <c r="GO31" s="75"/>
      <c r="GP31" s="75"/>
      <c r="GQ31" s="75"/>
      <c r="GR31" s="75"/>
      <c r="GS31" s="75"/>
      <c r="GT31" s="75"/>
      <c r="GU31" s="75"/>
      <c r="GV31" s="75"/>
      <c r="GW31" s="75"/>
      <c r="GX31" s="75"/>
      <c r="GY31" s="75"/>
      <c r="GZ31" s="75"/>
      <c r="HA31" s="75"/>
      <c r="HB31" s="75"/>
      <c r="HC31" s="75"/>
      <c r="HD31" s="75"/>
      <c r="HE31" s="75"/>
      <c r="HF31" s="75"/>
      <c r="HG31" s="75"/>
      <c r="HH31" s="75"/>
      <c r="HI31" s="75"/>
      <c r="HJ31" s="75"/>
      <c r="HK31" s="75"/>
      <c r="HL31" s="75"/>
      <c r="HM31" s="75"/>
      <c r="HN31" s="75"/>
      <c r="HO31" s="75"/>
      <c r="HP31" s="75"/>
      <c r="HQ31" s="75"/>
      <c r="HR31" s="75"/>
      <c r="HS31" s="75"/>
      <c r="HT31" s="75"/>
      <c r="HU31" s="75"/>
      <c r="HV31" s="75"/>
      <c r="HW31" s="75"/>
      <c r="HX31" s="75"/>
      <c r="HY31" s="75"/>
      <c r="HZ31" s="75"/>
      <c r="IA31" s="75"/>
      <c r="IB31" s="75"/>
      <c r="IC31" s="75"/>
      <c r="ID31" s="75"/>
      <c r="IE31" s="75"/>
      <c r="IF31" s="75"/>
      <c r="IG31" s="75"/>
      <c r="IH31" s="75"/>
      <c r="II31" s="75"/>
      <c r="IJ31" s="75"/>
      <c r="IK31" s="75"/>
      <c r="IL31" s="75"/>
      <c r="IM31" s="75"/>
      <c r="IN31" s="75"/>
      <c r="IO31" s="75"/>
      <c r="IP31" s="75"/>
      <c r="IQ31" s="75"/>
      <c r="IR31" s="75"/>
      <c r="IS31" s="75"/>
      <c r="IT31" s="75"/>
      <c r="IU31" s="75"/>
      <c r="IV31" s="75"/>
      <c r="IW31" s="75"/>
      <c r="IX31" s="75"/>
      <c r="IY31" s="75"/>
      <c r="IZ31" s="75"/>
      <c r="JA31" s="75"/>
      <c r="JB31" s="75"/>
      <c r="JC31" s="75"/>
      <c r="JD31" s="75"/>
      <c r="JE31" s="75"/>
      <c r="JF31" s="75"/>
      <c r="JG31" s="75"/>
      <c r="JH31" s="75"/>
      <c r="JI31" s="75"/>
      <c r="JJ31" s="75"/>
      <c r="JK31" s="75"/>
      <c r="JL31" s="75"/>
      <c r="JM31" s="75"/>
      <c r="JN31" s="75"/>
      <c r="JO31" s="75"/>
      <c r="JP31" s="75"/>
      <c r="JQ31" s="75"/>
      <c r="JR31" s="75"/>
      <c r="JS31" s="75"/>
      <c r="JT31" s="75"/>
      <c r="JU31" s="75"/>
      <c r="JV31" s="75"/>
      <c r="JW31" s="75"/>
      <c r="JX31" s="75"/>
      <c r="JY31" s="75"/>
      <c r="JZ31" s="75"/>
      <c r="KA31" s="75"/>
      <c r="KB31" s="75"/>
      <c r="KC31" s="75"/>
      <c r="KD31" s="75"/>
      <c r="KE31" s="75"/>
      <c r="KF31" s="75"/>
      <c r="KG31" s="75"/>
      <c r="KH31" s="75"/>
      <c r="KI31" s="75"/>
      <c r="KJ31" s="75"/>
      <c r="KK31" s="75"/>
      <c r="KL31" s="75"/>
      <c r="KM31" s="75"/>
      <c r="KN31" s="75"/>
      <c r="KO31" s="75"/>
      <c r="KP31" s="75"/>
      <c r="KQ31" s="75"/>
      <c r="KR31" s="75"/>
      <c r="KS31" s="75"/>
      <c r="KT31" s="75"/>
      <c r="KU31" s="75"/>
      <c r="KV31" s="75"/>
      <c r="KW31" s="75"/>
      <c r="KX31" s="75"/>
      <c r="KY31" s="75"/>
      <c r="KZ31" s="75"/>
      <c r="LA31" s="75"/>
      <c r="LB31" s="75"/>
      <c r="LC31" s="75"/>
      <c r="LD31" s="75"/>
      <c r="LE31" s="75"/>
      <c r="LF31" s="75"/>
      <c r="LG31" s="75"/>
      <c r="LH31" s="75"/>
      <c r="LI31" s="75"/>
      <c r="LJ31" s="75"/>
      <c r="LK31" s="75"/>
      <c r="LL31" s="75"/>
      <c r="LM31" s="75"/>
      <c r="LN31" s="75"/>
      <c r="LO31" s="75"/>
      <c r="LP31" s="75"/>
      <c r="LQ31" s="75"/>
      <c r="LR31" s="75"/>
      <c r="LS31" s="75"/>
      <c r="LT31" s="75"/>
      <c r="LU31" s="75"/>
      <c r="LV31" s="75"/>
      <c r="LW31" s="75"/>
      <c r="LX31" s="75"/>
      <c r="LY31" s="75"/>
      <c r="LZ31" s="75"/>
      <c r="MA31" s="75"/>
      <c r="MB31" s="75"/>
      <c r="MC31" s="75"/>
      <c r="MD31" s="75"/>
      <c r="ME31" s="75"/>
      <c r="MF31" s="75"/>
      <c r="MG31" s="75"/>
      <c r="MH31" s="75"/>
      <c r="MI31" s="75"/>
      <c r="MJ31" s="75"/>
      <c r="MK31" s="75"/>
      <c r="ML31" s="75"/>
      <c r="MM31" s="75"/>
      <c r="MN31" s="75"/>
      <c r="MO31" s="75"/>
      <c r="MP31" s="75"/>
      <c r="MQ31" s="75"/>
      <c r="MR31" s="75"/>
      <c r="MS31" s="75"/>
      <c r="MT31" s="75"/>
      <c r="MU31" s="75"/>
      <c r="MV31" s="75"/>
      <c r="MW31" s="75"/>
      <c r="MX31" s="75"/>
      <c r="MY31" s="75"/>
      <c r="MZ31" s="75"/>
      <c r="NA31" s="75"/>
      <c r="NB31" s="75"/>
      <c r="NC31" s="75"/>
      <c r="ND31" s="75"/>
      <c r="NE31" s="75"/>
      <c r="NF31" s="75"/>
      <c r="NG31" s="75"/>
      <c r="NH31" s="75"/>
      <c r="NI31" s="75"/>
      <c r="NJ31" s="75"/>
      <c r="NK31" s="75"/>
      <c r="NL31" s="75"/>
      <c r="NM31" s="75"/>
      <c r="NN31" s="75"/>
      <c r="NO31" s="75"/>
      <c r="NP31" s="75"/>
      <c r="NQ31" s="75"/>
      <c r="NR31" s="75"/>
      <c r="NS31" s="75"/>
      <c r="NT31" s="75"/>
      <c r="NU31" s="75"/>
      <c r="NV31" s="75"/>
      <c r="NW31" s="75"/>
      <c r="NX31" s="75"/>
    </row>
    <row r="32" spans="1:388" s="209" customFormat="1" ht="12" customHeight="1">
      <c r="A32" s="30"/>
      <c r="B32" s="147" t="str">
        <f>UPPER(LEFT(TRIM(Data!B29),1)) &amp; MID(TRIM(Data!B29),2,50)</f>
        <v>Sėklidžių</v>
      </c>
      <c r="C32" s="141" t="str">
        <f>Data!C29</f>
        <v>C62</v>
      </c>
      <c r="D32" s="142">
        <f>Lent10v!D26</f>
        <v>2</v>
      </c>
      <c r="E32" s="149">
        <f>Lent10v!E26</f>
        <v>0.14802468459640331</v>
      </c>
      <c r="F32" s="150">
        <f>Lent10v!F26</f>
        <v>0.14937880333598366</v>
      </c>
      <c r="G32" s="144">
        <f>Lent10v!G26</f>
        <v>0.128038974287986</v>
      </c>
      <c r="H32" s="58"/>
      <c r="I32" s="58"/>
      <c r="J32" s="58"/>
      <c r="K32" s="58"/>
      <c r="L32" s="58"/>
      <c r="M32" s="58"/>
      <c r="N32" s="58"/>
      <c r="O32" s="58"/>
      <c r="P32" s="58"/>
      <c r="Q32" s="338"/>
      <c r="R32" s="339"/>
      <c r="S32" s="340"/>
      <c r="T32" s="340"/>
      <c r="U32" s="340"/>
      <c r="V32" s="340"/>
      <c r="W32" s="340"/>
      <c r="X32" s="340"/>
      <c r="Y32" s="340"/>
      <c r="Z32" s="340"/>
      <c r="AA32" s="340"/>
      <c r="AB32" s="340"/>
      <c r="AC32" s="340"/>
      <c r="AD32" s="340"/>
      <c r="AE32" s="340"/>
      <c r="AF32" s="340"/>
      <c r="AG32" s="340"/>
      <c r="AH32" s="340"/>
      <c r="AI32" s="340"/>
      <c r="AJ32" s="340"/>
      <c r="AK32" s="340"/>
      <c r="AL32" s="339"/>
      <c r="AM32" s="340"/>
      <c r="AN32" s="340"/>
      <c r="AO32" s="340"/>
      <c r="AP32" s="340"/>
      <c r="AQ32" s="340"/>
      <c r="AR32" s="340"/>
      <c r="AS32" s="340"/>
      <c r="AT32" s="340"/>
      <c r="AU32" s="340"/>
      <c r="AV32" s="340"/>
      <c r="AW32" s="340"/>
      <c r="AX32" s="340"/>
      <c r="AY32" s="340"/>
      <c r="AZ32" s="340"/>
      <c r="BA32" s="340"/>
      <c r="BB32" s="340"/>
      <c r="BC32" s="340"/>
      <c r="BD32" s="340"/>
      <c r="BE32" s="340"/>
      <c r="BF32" s="75"/>
      <c r="BG32" s="75"/>
      <c r="BH32" s="75"/>
      <c r="BI32" s="75"/>
      <c r="BJ32" s="75"/>
      <c r="BK32" s="75"/>
      <c r="BL32" s="75"/>
      <c r="BM32" s="75"/>
      <c r="BN32" s="75"/>
      <c r="BO32" s="75"/>
      <c r="BP32" s="75"/>
      <c r="BQ32" s="75"/>
      <c r="BR32" s="75"/>
      <c r="BS32" s="75"/>
      <c r="BT32" s="75"/>
      <c r="BU32" s="75"/>
      <c r="BV32" s="75"/>
      <c r="BW32" s="75"/>
      <c r="BX32" s="75"/>
      <c r="BY32" s="75"/>
      <c r="BZ32" s="75"/>
      <c r="CA32" s="75"/>
      <c r="CB32" s="75"/>
      <c r="CC32" s="75"/>
      <c r="CD32" s="75"/>
      <c r="CE32" s="75"/>
      <c r="CF32" s="75"/>
      <c r="CG32" s="75"/>
      <c r="CH32" s="75"/>
      <c r="CI32" s="75"/>
      <c r="CJ32" s="75"/>
      <c r="CK32" s="75"/>
      <c r="CL32" s="75"/>
      <c r="CM32" s="75"/>
      <c r="CN32" s="75"/>
      <c r="CO32" s="75"/>
      <c r="CP32" s="75"/>
      <c r="CQ32" s="75"/>
      <c r="CR32" s="75"/>
      <c r="CS32" s="75"/>
      <c r="CT32" s="75"/>
      <c r="CU32" s="75"/>
      <c r="CV32" s="75"/>
      <c r="CW32" s="75"/>
      <c r="CX32" s="75"/>
      <c r="CY32" s="75"/>
      <c r="CZ32" s="75"/>
      <c r="DA32" s="75"/>
      <c r="DB32" s="75"/>
      <c r="DC32" s="75"/>
      <c r="DD32" s="75"/>
      <c r="DE32" s="75"/>
      <c r="DF32" s="75"/>
      <c r="DG32" s="75"/>
      <c r="DH32" s="75"/>
      <c r="DI32" s="75"/>
      <c r="DJ32" s="75"/>
      <c r="DK32" s="75"/>
      <c r="DL32" s="75"/>
      <c r="DM32" s="75"/>
      <c r="DN32" s="75"/>
      <c r="DO32" s="75"/>
      <c r="DP32" s="75"/>
      <c r="DQ32" s="75"/>
      <c r="DR32" s="75"/>
      <c r="DS32" s="75"/>
      <c r="DT32" s="75"/>
      <c r="DU32" s="75"/>
      <c r="DV32" s="75"/>
      <c r="DW32" s="75"/>
      <c r="DX32" s="75"/>
      <c r="DY32" s="75"/>
      <c r="DZ32" s="75"/>
      <c r="EA32" s="75"/>
      <c r="EB32" s="75"/>
      <c r="EC32" s="75"/>
      <c r="ED32" s="75"/>
      <c r="EE32" s="75"/>
      <c r="EF32" s="75"/>
      <c r="EG32" s="75"/>
      <c r="EH32" s="75"/>
      <c r="EI32" s="75"/>
      <c r="EJ32" s="75"/>
      <c r="EK32" s="75"/>
      <c r="EL32" s="75"/>
      <c r="EM32" s="75"/>
      <c r="EN32" s="75"/>
      <c r="EO32" s="75"/>
      <c r="EP32" s="75"/>
      <c r="EQ32" s="75"/>
      <c r="ER32" s="75"/>
      <c r="ES32" s="75"/>
      <c r="ET32" s="75"/>
      <c r="EU32" s="75"/>
      <c r="EV32" s="75"/>
      <c r="EW32" s="75"/>
      <c r="EX32" s="75"/>
      <c r="EY32" s="75"/>
      <c r="EZ32" s="75"/>
      <c r="FA32" s="75"/>
      <c r="FB32" s="75"/>
      <c r="FC32" s="75"/>
      <c r="FD32" s="75"/>
      <c r="FE32" s="75"/>
      <c r="FF32" s="75"/>
      <c r="FG32" s="75"/>
      <c r="FH32" s="75"/>
      <c r="FI32" s="75"/>
      <c r="FJ32" s="75"/>
      <c r="FK32" s="75"/>
      <c r="FL32" s="75"/>
      <c r="FM32" s="75"/>
      <c r="FN32" s="75"/>
      <c r="FO32" s="75"/>
      <c r="FP32" s="75"/>
      <c r="FQ32" s="75"/>
      <c r="FR32" s="75"/>
      <c r="FS32" s="75"/>
      <c r="FT32" s="75"/>
      <c r="FU32" s="75"/>
      <c r="FV32" s="75"/>
      <c r="FW32" s="75"/>
      <c r="FX32" s="75"/>
      <c r="FY32" s="75"/>
      <c r="FZ32" s="75"/>
      <c r="GA32" s="75"/>
      <c r="GB32" s="75"/>
      <c r="GC32" s="75"/>
      <c r="GD32" s="75"/>
      <c r="GE32" s="75"/>
      <c r="GF32" s="75"/>
      <c r="GG32" s="75"/>
      <c r="GH32" s="75"/>
      <c r="GI32" s="75"/>
      <c r="GJ32" s="75"/>
      <c r="GK32" s="75"/>
      <c r="GL32" s="75"/>
      <c r="GM32" s="75"/>
      <c r="GN32" s="75"/>
      <c r="GO32" s="75"/>
      <c r="GP32" s="75"/>
      <c r="GQ32" s="75"/>
      <c r="GR32" s="75"/>
      <c r="GS32" s="75"/>
      <c r="GT32" s="75"/>
      <c r="GU32" s="75"/>
      <c r="GV32" s="75"/>
      <c r="GW32" s="75"/>
      <c r="GX32" s="75"/>
      <c r="GY32" s="75"/>
      <c r="GZ32" s="75"/>
      <c r="HA32" s="75"/>
      <c r="HB32" s="75"/>
      <c r="HC32" s="75"/>
      <c r="HD32" s="75"/>
      <c r="HE32" s="75"/>
      <c r="HF32" s="75"/>
      <c r="HG32" s="75"/>
      <c r="HH32" s="75"/>
      <c r="HI32" s="75"/>
      <c r="HJ32" s="75"/>
      <c r="HK32" s="75"/>
      <c r="HL32" s="75"/>
      <c r="HM32" s="75"/>
      <c r="HN32" s="75"/>
      <c r="HO32" s="75"/>
      <c r="HP32" s="75"/>
      <c r="HQ32" s="75"/>
      <c r="HR32" s="75"/>
      <c r="HS32" s="75"/>
      <c r="HT32" s="75"/>
      <c r="HU32" s="75"/>
      <c r="HV32" s="75"/>
      <c r="HW32" s="75"/>
      <c r="HX32" s="75"/>
      <c r="HY32" s="75"/>
      <c r="HZ32" s="75"/>
      <c r="IA32" s="75"/>
      <c r="IB32" s="75"/>
      <c r="IC32" s="75"/>
      <c r="ID32" s="75"/>
      <c r="IE32" s="75"/>
      <c r="IF32" s="75"/>
      <c r="IG32" s="75"/>
      <c r="IH32" s="75"/>
      <c r="II32" s="75"/>
      <c r="IJ32" s="75"/>
      <c r="IK32" s="75"/>
      <c r="IL32" s="75"/>
      <c r="IM32" s="75"/>
      <c r="IN32" s="75"/>
      <c r="IO32" s="75"/>
      <c r="IP32" s="75"/>
      <c r="IQ32" s="75"/>
      <c r="IR32" s="75"/>
      <c r="IS32" s="75"/>
      <c r="IT32" s="75"/>
      <c r="IU32" s="75"/>
      <c r="IV32" s="75"/>
      <c r="IW32" s="75"/>
      <c r="IX32" s="75"/>
      <c r="IY32" s="75"/>
      <c r="IZ32" s="75"/>
      <c r="JA32" s="75"/>
      <c r="JB32" s="75"/>
      <c r="JC32" s="75"/>
      <c r="JD32" s="75"/>
      <c r="JE32" s="75"/>
      <c r="JF32" s="75"/>
      <c r="JG32" s="75"/>
      <c r="JH32" s="75"/>
      <c r="JI32" s="75"/>
      <c r="JJ32" s="75"/>
      <c r="JK32" s="75"/>
      <c r="JL32" s="75"/>
      <c r="JM32" s="75"/>
      <c r="JN32" s="75"/>
      <c r="JO32" s="75"/>
      <c r="JP32" s="75"/>
      <c r="JQ32" s="75"/>
      <c r="JR32" s="75"/>
      <c r="JS32" s="75"/>
      <c r="JT32" s="75"/>
      <c r="JU32" s="75"/>
      <c r="JV32" s="75"/>
      <c r="JW32" s="75"/>
      <c r="JX32" s="75"/>
      <c r="JY32" s="75"/>
      <c r="JZ32" s="75"/>
      <c r="KA32" s="75"/>
      <c r="KB32" s="75"/>
      <c r="KC32" s="75"/>
      <c r="KD32" s="75"/>
      <c r="KE32" s="75"/>
      <c r="KF32" s="75"/>
      <c r="KG32" s="75"/>
      <c r="KH32" s="75"/>
      <c r="KI32" s="75"/>
      <c r="KJ32" s="75"/>
      <c r="KK32" s="75"/>
      <c r="KL32" s="75"/>
      <c r="KM32" s="75"/>
      <c r="KN32" s="75"/>
      <c r="KO32" s="75"/>
      <c r="KP32" s="75"/>
      <c r="KQ32" s="75"/>
      <c r="KR32" s="75"/>
      <c r="KS32" s="75"/>
      <c r="KT32" s="75"/>
      <c r="KU32" s="75"/>
      <c r="KV32" s="75"/>
      <c r="KW32" s="75"/>
      <c r="KX32" s="75"/>
      <c r="KY32" s="75"/>
      <c r="KZ32" s="75"/>
      <c r="LA32" s="75"/>
      <c r="LB32" s="75"/>
      <c r="LC32" s="75"/>
      <c r="LD32" s="75"/>
      <c r="LE32" s="75"/>
      <c r="LF32" s="75"/>
      <c r="LG32" s="75"/>
      <c r="LH32" s="75"/>
      <c r="LI32" s="75"/>
      <c r="LJ32" s="75"/>
      <c r="LK32" s="75"/>
      <c r="LL32" s="75"/>
      <c r="LM32" s="75"/>
      <c r="LN32" s="75"/>
      <c r="LO32" s="75"/>
      <c r="LP32" s="75"/>
      <c r="LQ32" s="75"/>
      <c r="LR32" s="75"/>
      <c r="LS32" s="75"/>
      <c r="LT32" s="75"/>
      <c r="LU32" s="75"/>
      <c r="LV32" s="75"/>
      <c r="LW32" s="75"/>
      <c r="LX32" s="75"/>
      <c r="LY32" s="75"/>
      <c r="LZ32" s="75"/>
      <c r="MA32" s="75"/>
      <c r="MB32" s="75"/>
      <c r="MC32" s="75"/>
      <c r="MD32" s="75"/>
      <c r="ME32" s="75"/>
      <c r="MF32" s="75"/>
      <c r="MG32" s="75"/>
      <c r="MH32" s="75"/>
      <c r="MI32" s="75"/>
      <c r="MJ32" s="75"/>
      <c r="MK32" s="75"/>
      <c r="ML32" s="75"/>
      <c r="MM32" s="75"/>
      <c r="MN32" s="75"/>
      <c r="MO32" s="75"/>
      <c r="MP32" s="75"/>
      <c r="MQ32" s="75"/>
      <c r="MR32" s="75"/>
      <c r="MS32" s="75"/>
      <c r="MT32" s="75"/>
      <c r="MU32" s="75"/>
      <c r="MV32" s="75"/>
      <c r="MW32" s="75"/>
      <c r="MX32" s="75"/>
      <c r="MY32" s="75"/>
      <c r="MZ32" s="75"/>
      <c r="NA32" s="75"/>
      <c r="NB32" s="75"/>
      <c r="NC32" s="75"/>
      <c r="ND32" s="75"/>
      <c r="NE32" s="75"/>
      <c r="NF32" s="75"/>
      <c r="NG32" s="75"/>
      <c r="NH32" s="75"/>
      <c r="NI32" s="75"/>
      <c r="NJ32" s="75"/>
      <c r="NK32" s="75"/>
      <c r="NL32" s="75"/>
      <c r="NM32" s="75"/>
      <c r="NN32" s="75"/>
      <c r="NO32" s="75"/>
      <c r="NP32" s="75"/>
      <c r="NQ32" s="75"/>
      <c r="NR32" s="75"/>
      <c r="NS32" s="75"/>
      <c r="NT32" s="75"/>
      <c r="NU32" s="75"/>
      <c r="NV32" s="75"/>
      <c r="NW32" s="75"/>
      <c r="NX32" s="75"/>
    </row>
    <row r="33" spans="1:57" ht="12" customHeight="1">
      <c r="A33" s="30"/>
      <c r="B33" s="146" t="str">
        <f>UPPER(LEFT(TRIM(Data!B30),1)) &amp; MID(TRIM(Data!B30),2,50)</f>
        <v>Kitų lyties organų</v>
      </c>
      <c r="C33" s="125" t="str">
        <f>Data!C30</f>
        <v>C52, C57-C58, C60, C63</v>
      </c>
      <c r="D33" s="138">
        <f>Data!E30+Data!BR30</f>
        <v>23</v>
      </c>
      <c r="E33" s="127">
        <f t="shared" si="6"/>
        <v>0.78434929870647152</v>
      </c>
      <c r="F33" s="128">
        <f t="shared" si="7"/>
        <v>0.50627894332681422</v>
      </c>
      <c r="G33" s="129">
        <f t="shared" si="8"/>
        <v>0.34137545820749182</v>
      </c>
      <c r="H33" s="58"/>
      <c r="I33" s="58"/>
      <c r="J33" s="58"/>
      <c r="K33" s="58"/>
      <c r="L33" s="58"/>
      <c r="M33" s="58"/>
      <c r="N33" s="58"/>
      <c r="O33" s="58"/>
      <c r="P33" s="58"/>
      <c r="Q33" s="311"/>
      <c r="R33" s="336" t="s">
        <v>353</v>
      </c>
      <c r="S33" s="330">
        <f t="shared" si="4"/>
        <v>50627.894332681426</v>
      </c>
      <c r="T33" s="330">
        <f>(Data!AN30+Data!DA30)/T$6*100000*T$3</f>
        <v>0</v>
      </c>
      <c r="U33" s="330">
        <f>(Data!AO30+Data!DB30)/U$6*100000*U$3</f>
        <v>0</v>
      </c>
      <c r="V33" s="330">
        <f>(Data!AP30+Data!DC30)/V$6*100000*V$3</f>
        <v>0</v>
      </c>
      <c r="W33" s="330">
        <f>(Data!AQ30+Data!DD30)/W$6*100000*W$3</f>
        <v>0</v>
      </c>
      <c r="X33" s="330">
        <f>(Data!AR30+Data!DE30)/X$6*100000*X$3</f>
        <v>0</v>
      </c>
      <c r="Y33" s="330">
        <f>(Data!AS30+Data!DF30)/Y$6*100000*Y$3</f>
        <v>0</v>
      </c>
      <c r="Z33" s="330">
        <f>(Data!AT30+Data!DG30)/Z$6*100000*Z$3</f>
        <v>0</v>
      </c>
      <c r="AA33" s="330">
        <f>(Data!AU30+Data!DH30)/AA$6*100000*AA$3</f>
        <v>0</v>
      </c>
      <c r="AB33" s="330">
        <f>(Data!AV30+Data!DI30)/AB$6*100000*AB$3</f>
        <v>3429.9097933724343</v>
      </c>
      <c r="AC33" s="330">
        <f>(Data!AW30+Data!DJ30)/AC$6*100000*AC$3</f>
        <v>3321.4394169450352</v>
      </c>
      <c r="AD33" s="330">
        <f>(Data!AX30+Data!DK30)/AD$6*100000*AD$3</f>
        <v>3019.0632278098851</v>
      </c>
      <c r="AE33" s="330">
        <f>(Data!AY30+Data!DL30)/AE$6*100000*AE$3</f>
        <v>8761.2131359788946</v>
      </c>
      <c r="AF33" s="330">
        <f>(Data!AZ30+Data!DM30)/AF$6*100000*AF$3</f>
        <v>5862.7644106749212</v>
      </c>
      <c r="AG33" s="330">
        <f>(Data!BA30+Data!DN30)/AG$6*100000*AG$3</f>
        <v>2848.150838068384</v>
      </c>
      <c r="AH33" s="330">
        <f>(Data!BB30+Data!DO30)/AH$6*100000*AH$3</f>
        <v>11006.346993432879</v>
      </c>
      <c r="AI33" s="330">
        <f>(Data!BC30+Data!DP30)/AI$6*100000*AI$3</f>
        <v>3319.9153421587748</v>
      </c>
      <c r="AJ33" s="330">
        <f>(Data!BD30+Data!DQ30)/AJ$6*100000*AJ$3</f>
        <v>5833.2847226273116</v>
      </c>
      <c r="AK33" s="330">
        <f>(Data!BE30+Data!DR30)/AK$6*100000*AK$3</f>
        <v>3225.8064516129034</v>
      </c>
      <c r="AL33" s="336" t="s">
        <v>353</v>
      </c>
      <c r="AM33" s="330">
        <f t="shared" si="5"/>
        <v>34137.545820749183</v>
      </c>
      <c r="AN33" s="330">
        <f>(Data!AN30+Data!DA30)/AN$6*100000*AN$3</f>
        <v>0</v>
      </c>
      <c r="AO33" s="330">
        <f>(Data!AO30+Data!DB30)/AO$6*100000*AO$3</f>
        <v>0</v>
      </c>
      <c r="AP33" s="330">
        <f>(Data!AP30+Data!DC30)/AP$6*100000*AP$3</f>
        <v>0</v>
      </c>
      <c r="AQ33" s="330">
        <f>(Data!AQ30+Data!DD30)/AQ$6*100000*AQ$3</f>
        <v>0</v>
      </c>
      <c r="AR33" s="330">
        <f>(Data!AR30+Data!DE30)/AR$6*100000*AR$3</f>
        <v>0</v>
      </c>
      <c r="AS33" s="330">
        <f>(Data!AS30+Data!DF30)/AS$6*100000*AS$3</f>
        <v>0</v>
      </c>
      <c r="AT33" s="330">
        <f>(Data!AT30+Data!DG30)/AT$6*100000*AT$3</f>
        <v>0</v>
      </c>
      <c r="AU33" s="330">
        <f>(Data!AU30+Data!DH30)/AU$6*100000*AU$3</f>
        <v>0</v>
      </c>
      <c r="AV33" s="330">
        <f>(Data!AV30+Data!DI30)/AV$6*100000*AV$3</f>
        <v>2939.922680033515</v>
      </c>
      <c r="AW33" s="330">
        <f>(Data!AW30+Data!DJ30)/AW$6*100000*AW$3</f>
        <v>2846.9480716671733</v>
      </c>
      <c r="AX33" s="330">
        <f>(Data!AX30+Data!DK30)/AX$6*100000*AX$3</f>
        <v>2156.4737341499181</v>
      </c>
      <c r="AY33" s="330">
        <f>(Data!AY30+Data!DL30)/AY$6*100000*AY$3</f>
        <v>5840.8087573192633</v>
      </c>
      <c r="AZ33" s="330">
        <f>(Data!AZ30+Data!DM30)/AZ$6*100000*AZ$3</f>
        <v>4690.2115285399368</v>
      </c>
      <c r="BA33" s="330">
        <f>(Data!BA30+Data!DN30)/BA$6*100000*BA$3</f>
        <v>2136.1131285512879</v>
      </c>
      <c r="BB33" s="330">
        <f>(Data!BB30+Data!DO30)/BB$6*100000*BB$3</f>
        <v>7337.5646622885861</v>
      </c>
      <c r="BC33" s="330">
        <f>(Data!BC30+Data!DP30)/BC$6*100000*BC$3</f>
        <v>1659.9576710793874</v>
      </c>
      <c r="BD33" s="330">
        <f>(Data!BD30+Data!DQ30)/BD$6*100000*BD$3</f>
        <v>2916.6423613136558</v>
      </c>
      <c r="BE33" s="330">
        <f>(Data!BE30+Data!DR30)/BE$6*100000*BE$3</f>
        <v>1612.9032258064517</v>
      </c>
    </row>
    <row r="34" spans="1:57" ht="12" customHeight="1">
      <c r="A34" s="30"/>
      <c r="B34" s="146" t="str">
        <f>UPPER(LEFT(TRIM(Data!B31),1)) &amp; MID(TRIM(Data!B31),2,50)</f>
        <v>Inkstų</v>
      </c>
      <c r="C34" s="125" t="str">
        <f>Data!C31</f>
        <v>C64</v>
      </c>
      <c r="D34" s="138">
        <f>Data!E31+Data!BR31</f>
        <v>277</v>
      </c>
      <c r="E34" s="127">
        <f t="shared" si="6"/>
        <v>9.446293727899679</v>
      </c>
      <c r="F34" s="128">
        <f t="shared" si="7"/>
        <v>6.12026354610156</v>
      </c>
      <c r="G34" s="129">
        <f t="shared" si="8"/>
        <v>4.1110214750527092</v>
      </c>
      <c r="H34" s="58"/>
      <c r="I34" s="58"/>
      <c r="J34" s="58"/>
      <c r="K34" s="58"/>
      <c r="L34" s="58"/>
      <c r="M34" s="58"/>
      <c r="N34" s="58"/>
      <c r="O34" s="58"/>
      <c r="P34" s="58"/>
      <c r="Q34" s="311"/>
      <c r="R34" s="336" t="s">
        <v>353</v>
      </c>
      <c r="S34" s="330">
        <f t="shared" si="4"/>
        <v>612026.35461015604</v>
      </c>
      <c r="T34" s="330">
        <f>(Data!AN31+Data!DA31)/T$6*100000*T$3</f>
        <v>0</v>
      </c>
      <c r="U34" s="330">
        <f>(Data!AO31+Data!DB31)/U$6*100000*U$3</f>
        <v>5115.6876214975809</v>
      </c>
      <c r="V34" s="330">
        <f>(Data!AP31+Data!DC31)/V$6*100000*V$3</f>
        <v>0</v>
      </c>
      <c r="W34" s="330">
        <f>(Data!AQ31+Data!DD31)/W$6*100000*W$3</f>
        <v>0</v>
      </c>
      <c r="X34" s="330">
        <f>(Data!AR31+Data!DE31)/X$6*100000*X$3</f>
        <v>0</v>
      </c>
      <c r="Y34" s="330">
        <f>(Data!AS31+Data!DF31)/Y$6*100000*Y$3</f>
        <v>0</v>
      </c>
      <c r="Z34" s="330">
        <f>(Data!AT31+Data!DG31)/Z$6*100000*Z$3</f>
        <v>0</v>
      </c>
      <c r="AA34" s="330">
        <f>(Data!AU31+Data!DH31)/AA$6*100000*AA$3</f>
        <v>0</v>
      </c>
      <c r="AB34" s="330">
        <f>(Data!AV31+Data!DI31)/AB$6*100000*AB$3</f>
        <v>6859.8195867448685</v>
      </c>
      <c r="AC34" s="330">
        <f>(Data!AW31+Data!DJ31)/AC$6*100000*AC$3</f>
        <v>33214.394169450352</v>
      </c>
      <c r="AD34" s="330">
        <f>(Data!AX31+Data!DK31)/AD$6*100000*AD$3</f>
        <v>42266.885189338391</v>
      </c>
      <c r="AE34" s="330">
        <f>(Data!AY31+Data!DL31)/AE$6*100000*AE$3</f>
        <v>70089.705087831157</v>
      </c>
      <c r="AF34" s="330">
        <f>(Data!AZ31+Data!DM31)/AF$6*100000*AF$3</f>
        <v>76215.937338773991</v>
      </c>
      <c r="AG34" s="330">
        <f>(Data!BA31+Data!DN31)/AG$6*100000*AG$3</f>
        <v>113926.03352273536</v>
      </c>
      <c r="AH34" s="330">
        <f>(Data!BB31+Data!DO31)/AH$6*100000*AH$3</f>
        <v>83648.237150089888</v>
      </c>
      <c r="AI34" s="330">
        <f>(Data!BC31+Data!DP31)/AI$6*100000*AI$3</f>
        <v>78018.010540731208</v>
      </c>
      <c r="AJ34" s="330">
        <f>(Data!BD31+Data!DQ31)/AJ$6*100000*AJ$3</f>
        <v>47832.93472554395</v>
      </c>
      <c r="AK34" s="330">
        <f>(Data!BE31+Data!DR31)/AK$6*100000*AK$3</f>
        <v>54838.709677419356</v>
      </c>
      <c r="AL34" s="336" t="s">
        <v>353</v>
      </c>
      <c r="AM34" s="330">
        <f t="shared" si="5"/>
        <v>411102.14750527096</v>
      </c>
      <c r="AN34" s="330">
        <f>(Data!AN31+Data!DA31)/AN$6*100000*AN$3</f>
        <v>0</v>
      </c>
      <c r="AO34" s="330">
        <f>(Data!AO31+Data!DB31)/AO$6*100000*AO$3</f>
        <v>7308.1251735679734</v>
      </c>
      <c r="AP34" s="330">
        <f>(Data!AP31+Data!DC31)/AP$6*100000*AP$3</f>
        <v>0</v>
      </c>
      <c r="AQ34" s="330">
        <f>(Data!AQ31+Data!DD31)/AQ$6*100000*AQ$3</f>
        <v>0</v>
      </c>
      <c r="AR34" s="330">
        <f>(Data!AR31+Data!DE31)/AR$6*100000*AR$3</f>
        <v>0</v>
      </c>
      <c r="AS34" s="330">
        <f>(Data!AS31+Data!DF31)/AS$6*100000*AS$3</f>
        <v>0</v>
      </c>
      <c r="AT34" s="330">
        <f>(Data!AT31+Data!DG31)/AT$6*100000*AT$3</f>
        <v>0</v>
      </c>
      <c r="AU34" s="330">
        <f>(Data!AU31+Data!DH31)/AU$6*100000*AU$3</f>
        <v>0</v>
      </c>
      <c r="AV34" s="330">
        <f>(Data!AV31+Data!DI31)/AV$6*100000*AV$3</f>
        <v>5879.84536006703</v>
      </c>
      <c r="AW34" s="330">
        <f>(Data!AW31+Data!DJ31)/AW$6*100000*AW$3</f>
        <v>28469.480716671726</v>
      </c>
      <c r="AX34" s="330">
        <f>(Data!AX31+Data!DK31)/AX$6*100000*AX$3</f>
        <v>30190.632278098852</v>
      </c>
      <c r="AY34" s="330">
        <f>(Data!AY31+Data!DL31)/AY$6*100000*AY$3</f>
        <v>46726.470058554107</v>
      </c>
      <c r="AZ34" s="330">
        <f>(Data!AZ31+Data!DM31)/AZ$6*100000*AZ$3</f>
        <v>60972.749871019187</v>
      </c>
      <c r="BA34" s="330">
        <f>(Data!BA31+Data!DN31)/BA$6*100000*BA$3</f>
        <v>85444.525142051527</v>
      </c>
      <c r="BB34" s="330">
        <f>(Data!BB31+Data!DO31)/BB$6*100000*BB$3</f>
        <v>55765.491433393261</v>
      </c>
      <c r="BC34" s="330">
        <f>(Data!BC31+Data!DP31)/BC$6*100000*BC$3</f>
        <v>39009.005270365604</v>
      </c>
      <c r="BD34" s="330">
        <f>(Data!BD31+Data!DQ31)/BD$6*100000*BD$3</f>
        <v>23916.467362771975</v>
      </c>
      <c r="BE34" s="330">
        <f>(Data!BE31+Data!DR31)/BE$6*100000*BE$3</f>
        <v>27419.354838709678</v>
      </c>
    </row>
    <row r="35" spans="1:57" ht="12" customHeight="1">
      <c r="A35" s="30"/>
      <c r="B35" s="146" t="str">
        <f>UPPER(LEFT(TRIM(Data!B32),1)) &amp; MID(TRIM(Data!B32),2,50)</f>
        <v>Šlapimo pūslės</v>
      </c>
      <c r="C35" s="125" t="str">
        <f>Data!C32</f>
        <v>C67</v>
      </c>
      <c r="D35" s="138">
        <f>Data!E32+Data!BR32</f>
        <v>228</v>
      </c>
      <c r="E35" s="127">
        <f t="shared" si="6"/>
        <v>7.775288700220675</v>
      </c>
      <c r="F35" s="128">
        <f t="shared" si="7"/>
        <v>4.3203301220121864</v>
      </c>
      <c r="G35" s="129">
        <f t="shared" si="8"/>
        <v>2.6640940245263636</v>
      </c>
      <c r="H35" s="58"/>
      <c r="I35" s="58"/>
      <c r="J35" s="58"/>
      <c r="K35" s="58"/>
      <c r="L35" s="58"/>
      <c r="M35" s="58"/>
      <c r="N35" s="58"/>
      <c r="O35" s="58"/>
      <c r="P35" s="58"/>
      <c r="Q35" s="311"/>
      <c r="R35" s="336" t="s">
        <v>353</v>
      </c>
      <c r="S35" s="330">
        <f t="shared" si="4"/>
        <v>432033.01220121863</v>
      </c>
      <c r="T35" s="330">
        <f>(Data!AN32+Data!DA32)/T$6*100000*T$3</f>
        <v>0</v>
      </c>
      <c r="U35" s="330">
        <f>(Data!AO32+Data!DB32)/U$6*100000*U$3</f>
        <v>0</v>
      </c>
      <c r="V35" s="330">
        <f>(Data!AP32+Data!DC32)/V$6*100000*V$3</f>
        <v>0</v>
      </c>
      <c r="W35" s="330">
        <f>(Data!AQ32+Data!DD32)/W$6*100000*W$3</f>
        <v>0</v>
      </c>
      <c r="X35" s="330">
        <f>(Data!AR32+Data!DE32)/X$6*100000*X$3</f>
        <v>0</v>
      </c>
      <c r="Y35" s="330">
        <f>(Data!AS32+Data!DF32)/Y$6*100000*Y$3</f>
        <v>0</v>
      </c>
      <c r="Z35" s="330">
        <f>(Data!AT32+Data!DG32)/Z$6*100000*Z$3</f>
        <v>0</v>
      </c>
      <c r="AA35" s="330">
        <f>(Data!AU32+Data!DH32)/AA$6*100000*AA$3</f>
        <v>0</v>
      </c>
      <c r="AB35" s="330">
        <f>(Data!AV32+Data!DI32)/AB$6*100000*AB$3</f>
        <v>0</v>
      </c>
      <c r="AC35" s="330">
        <f>(Data!AW32+Data!DJ32)/AC$6*100000*AC$3</f>
        <v>3321.4394169450352</v>
      </c>
      <c r="AD35" s="330">
        <f>(Data!AX32+Data!DK32)/AD$6*100000*AD$3</f>
        <v>9057.1896834296567</v>
      </c>
      <c r="AE35" s="330">
        <f>(Data!AY32+Data!DL32)/AE$6*100000*AE$3</f>
        <v>17522.426271957789</v>
      </c>
      <c r="AF35" s="330">
        <f>(Data!AZ32+Data!DM32)/AF$6*100000*AF$3</f>
        <v>46902.11528539937</v>
      </c>
      <c r="AG35" s="330">
        <f>(Data!BA32+Data!DN32)/AG$6*100000*AG$3</f>
        <v>71203.770951709594</v>
      </c>
      <c r="AH35" s="330">
        <f>(Data!BB32+Data!DO32)/AH$6*100000*AH$3</f>
        <v>74843.159555343576</v>
      </c>
      <c r="AI35" s="330">
        <f>(Data!BC32+Data!DP32)/AI$6*100000*AI$3</f>
        <v>92957.629580445704</v>
      </c>
      <c r="AJ35" s="330">
        <f>(Data!BD32+Data!DQ32)/AJ$6*100000*AJ$3</f>
        <v>62999.475004374959</v>
      </c>
      <c r="AK35" s="330">
        <f>(Data!BE32+Data!DR32)/AK$6*100000*AK$3</f>
        <v>53225.806451612902</v>
      </c>
      <c r="AL35" s="336" t="s">
        <v>353</v>
      </c>
      <c r="AM35" s="330">
        <f t="shared" si="5"/>
        <v>266409.40245263634</v>
      </c>
      <c r="AN35" s="330">
        <f>(Data!AN32+Data!DA32)/AN$6*100000*AN$3</f>
        <v>0</v>
      </c>
      <c r="AO35" s="330">
        <f>(Data!AO32+Data!DB32)/AO$6*100000*AO$3</f>
        <v>0</v>
      </c>
      <c r="AP35" s="330">
        <f>(Data!AP32+Data!DC32)/AP$6*100000*AP$3</f>
        <v>0</v>
      </c>
      <c r="AQ35" s="330">
        <f>(Data!AQ32+Data!DD32)/AQ$6*100000*AQ$3</f>
        <v>0</v>
      </c>
      <c r="AR35" s="330">
        <f>(Data!AR32+Data!DE32)/AR$6*100000*AR$3</f>
        <v>0</v>
      </c>
      <c r="AS35" s="330">
        <f>(Data!AS32+Data!DF32)/AS$6*100000*AS$3</f>
        <v>0</v>
      </c>
      <c r="AT35" s="330">
        <f>(Data!AT32+Data!DG32)/AT$6*100000*AT$3</f>
        <v>0</v>
      </c>
      <c r="AU35" s="330">
        <f>(Data!AU32+Data!DH32)/AU$6*100000*AU$3</f>
        <v>0</v>
      </c>
      <c r="AV35" s="330">
        <f>(Data!AV32+Data!DI32)/AV$6*100000*AV$3</f>
        <v>0</v>
      </c>
      <c r="AW35" s="330">
        <f>(Data!AW32+Data!DJ32)/AW$6*100000*AW$3</f>
        <v>2846.9480716671733</v>
      </c>
      <c r="AX35" s="330">
        <f>(Data!AX32+Data!DK32)/AX$6*100000*AX$3</f>
        <v>6469.4212024497547</v>
      </c>
      <c r="AY35" s="330">
        <f>(Data!AY32+Data!DL32)/AY$6*100000*AY$3</f>
        <v>11681.617514638527</v>
      </c>
      <c r="AZ35" s="330">
        <f>(Data!AZ32+Data!DM32)/AZ$6*100000*AZ$3</f>
        <v>37521.692228319494</v>
      </c>
      <c r="BA35" s="330">
        <f>(Data!BA32+Data!DN32)/BA$6*100000*BA$3</f>
        <v>53402.828213782203</v>
      </c>
      <c r="BB35" s="330">
        <f>(Data!BB32+Data!DO32)/BB$6*100000*BB$3</f>
        <v>49895.439703562392</v>
      </c>
      <c r="BC35" s="330">
        <f>(Data!BC32+Data!DP32)/BC$6*100000*BC$3</f>
        <v>46478.814790222852</v>
      </c>
      <c r="BD35" s="330">
        <f>(Data!BD32+Data!DQ32)/BD$6*100000*BD$3</f>
        <v>31499.73750218748</v>
      </c>
      <c r="BE35" s="330">
        <f>(Data!BE32+Data!DR32)/BE$6*100000*BE$3</f>
        <v>26612.903225806451</v>
      </c>
    </row>
    <row r="36" spans="1:57" ht="12" customHeight="1">
      <c r="A36" s="30"/>
      <c r="B36" s="146" t="str">
        <f>UPPER(LEFT(TRIM(Data!B33),1)) &amp; MID(TRIM(Data!B33),2,50)</f>
        <v>Kitų šlapimą išskiriančių organų</v>
      </c>
      <c r="C36" s="125" t="str">
        <f>Data!C33</f>
        <v>C65, C66, C68</v>
      </c>
      <c r="D36" s="138">
        <f>Data!E33+Data!BR33</f>
        <v>19</v>
      </c>
      <c r="E36" s="127">
        <f t="shared" si="6"/>
        <v>0.64794072501838962</v>
      </c>
      <c r="F36" s="128">
        <f t="shared" si="7"/>
        <v>0.4050148401275851</v>
      </c>
      <c r="G36" s="129">
        <f t="shared" si="8"/>
        <v>0.25940852623495569</v>
      </c>
      <c r="H36" s="58"/>
      <c r="I36" s="58"/>
      <c r="J36" s="58"/>
      <c r="K36" s="58"/>
      <c r="L36" s="58"/>
      <c r="M36" s="58"/>
      <c r="N36" s="58"/>
      <c r="O36" s="58"/>
      <c r="P36" s="58"/>
      <c r="Q36" s="311"/>
      <c r="R36" s="336" t="s">
        <v>353</v>
      </c>
      <c r="S36" s="330">
        <f t="shared" si="4"/>
        <v>40501.484012758512</v>
      </c>
      <c r="T36" s="330">
        <f>(Data!AN33+Data!DA33)/T$6*100000*T$3</f>
        <v>0</v>
      </c>
      <c r="U36" s="330">
        <f>(Data!AO33+Data!DB33)/U$6*100000*U$3</f>
        <v>0</v>
      </c>
      <c r="V36" s="330">
        <f>(Data!AP33+Data!DC33)/V$6*100000*V$3</f>
        <v>0</v>
      </c>
      <c r="W36" s="330">
        <f>(Data!AQ33+Data!DD33)/W$6*100000*W$3</f>
        <v>0</v>
      </c>
      <c r="X36" s="330">
        <f>(Data!AR33+Data!DE33)/X$6*100000*X$3</f>
        <v>0</v>
      </c>
      <c r="Y36" s="330">
        <f>(Data!AS33+Data!DF33)/Y$6*100000*Y$3</f>
        <v>0</v>
      </c>
      <c r="Z36" s="330">
        <f>(Data!AT33+Data!DG33)/Z$6*100000*Z$3</f>
        <v>0</v>
      </c>
      <c r="AA36" s="330">
        <f>(Data!AU33+Data!DH33)/AA$6*100000*AA$3</f>
        <v>0</v>
      </c>
      <c r="AB36" s="330">
        <f>(Data!AV33+Data!DI33)/AB$6*100000*AB$3</f>
        <v>0</v>
      </c>
      <c r="AC36" s="330">
        <f>(Data!AW33+Data!DJ33)/AC$6*100000*AC$3</f>
        <v>0</v>
      </c>
      <c r="AD36" s="330">
        <f>(Data!AX33+Data!DK33)/AD$6*100000*AD$3</f>
        <v>9057.1896834296567</v>
      </c>
      <c r="AE36" s="330">
        <f>(Data!AY33+Data!DL33)/AE$6*100000*AE$3</f>
        <v>0</v>
      </c>
      <c r="AF36" s="330">
        <f>(Data!AZ33+Data!DM33)/AF$6*100000*AF$3</f>
        <v>2931.3822053374606</v>
      </c>
      <c r="AG36" s="330">
        <f>(Data!BA33+Data!DN33)/AG$6*100000*AG$3</f>
        <v>8544.4525142051534</v>
      </c>
      <c r="AH36" s="330">
        <f>(Data!BB33+Data!DO33)/AH$6*100000*AH$3</f>
        <v>4402.5387973731513</v>
      </c>
      <c r="AI36" s="330">
        <f>(Data!BC33+Data!DP33)/AI$6*100000*AI$3</f>
        <v>11619.703697555713</v>
      </c>
      <c r="AJ36" s="330">
        <f>(Data!BD33+Data!DQ33)/AJ$6*100000*AJ$3</f>
        <v>2333.3138890509249</v>
      </c>
      <c r="AK36" s="330">
        <f>(Data!BE33+Data!DR33)/AK$6*100000*AK$3</f>
        <v>1612.9032258064517</v>
      </c>
      <c r="AL36" s="336" t="s">
        <v>353</v>
      </c>
      <c r="AM36" s="330">
        <f t="shared" si="5"/>
        <v>25940.852623495568</v>
      </c>
      <c r="AN36" s="330">
        <f>(Data!AN33+Data!DA33)/AN$6*100000*AN$3</f>
        <v>0</v>
      </c>
      <c r="AO36" s="330">
        <f>(Data!AO33+Data!DB33)/AO$6*100000*AO$3</f>
        <v>0</v>
      </c>
      <c r="AP36" s="330">
        <f>(Data!AP33+Data!DC33)/AP$6*100000*AP$3</f>
        <v>0</v>
      </c>
      <c r="AQ36" s="330">
        <f>(Data!AQ33+Data!DD33)/AQ$6*100000*AQ$3</f>
        <v>0</v>
      </c>
      <c r="AR36" s="330">
        <f>(Data!AR33+Data!DE33)/AR$6*100000*AR$3</f>
        <v>0</v>
      </c>
      <c r="AS36" s="330">
        <f>(Data!AS33+Data!DF33)/AS$6*100000*AS$3</f>
        <v>0</v>
      </c>
      <c r="AT36" s="330">
        <f>(Data!AT33+Data!DG33)/AT$6*100000*AT$3</f>
        <v>0</v>
      </c>
      <c r="AU36" s="330">
        <f>(Data!AU33+Data!DH33)/AU$6*100000*AU$3</f>
        <v>0</v>
      </c>
      <c r="AV36" s="330">
        <f>(Data!AV33+Data!DI33)/AV$6*100000*AV$3</f>
        <v>0</v>
      </c>
      <c r="AW36" s="330">
        <f>(Data!AW33+Data!DJ33)/AW$6*100000*AW$3</f>
        <v>0</v>
      </c>
      <c r="AX36" s="330">
        <f>(Data!AX33+Data!DK33)/AX$6*100000*AX$3</f>
        <v>6469.4212024497547</v>
      </c>
      <c r="AY36" s="330">
        <f>(Data!AY33+Data!DL33)/AY$6*100000*AY$3</f>
        <v>0</v>
      </c>
      <c r="AZ36" s="330">
        <f>(Data!AZ33+Data!DM33)/AZ$6*100000*AZ$3</f>
        <v>2345.1057642699684</v>
      </c>
      <c r="BA36" s="330">
        <f>(Data!BA33+Data!DN33)/BA$6*100000*BA$3</f>
        <v>6408.3393856538651</v>
      </c>
      <c r="BB36" s="330">
        <f>(Data!BB33+Data!DO33)/BB$6*100000*BB$3</f>
        <v>2935.0258649154343</v>
      </c>
      <c r="BC36" s="330">
        <f>(Data!BC33+Data!DP33)/BC$6*100000*BC$3</f>
        <v>5809.8518487778565</v>
      </c>
      <c r="BD36" s="330">
        <f>(Data!BD33+Data!DQ33)/BD$6*100000*BD$3</f>
        <v>1166.6569445254624</v>
      </c>
      <c r="BE36" s="330">
        <f>(Data!BE33+Data!DR33)/BE$6*100000*BE$3</f>
        <v>806.45161290322585</v>
      </c>
    </row>
    <row r="37" spans="1:57" ht="12" customHeight="1">
      <c r="A37" s="30"/>
      <c r="B37" s="146" t="str">
        <f>UPPER(LEFT(TRIM(Data!B34),1)) &amp; MID(TRIM(Data!B34),2,50)</f>
        <v>Akių</v>
      </c>
      <c r="C37" s="125" t="str">
        <f>Data!C34</f>
        <v>C69</v>
      </c>
      <c r="D37" s="138">
        <f>Data!E34+Data!BR34</f>
        <v>10</v>
      </c>
      <c r="E37" s="127">
        <f t="shared" si="6"/>
        <v>0.34102143422020503</v>
      </c>
      <c r="F37" s="128">
        <f t="shared" si="7"/>
        <v>0.24381338653735199</v>
      </c>
      <c r="G37" s="129">
        <f t="shared" si="8"/>
        <v>0.16735639185150336</v>
      </c>
      <c r="H37" s="58"/>
      <c r="I37" s="58"/>
      <c r="J37" s="58"/>
      <c r="K37" s="58"/>
      <c r="L37" s="58"/>
      <c r="M37" s="58"/>
      <c r="N37" s="58"/>
      <c r="O37" s="58"/>
      <c r="P37" s="58"/>
      <c r="Q37" s="311"/>
      <c r="R37" s="336" t="s">
        <v>353</v>
      </c>
      <c r="S37" s="330">
        <f t="shared" si="4"/>
        <v>24381.338653735198</v>
      </c>
      <c r="T37" s="330">
        <f>(Data!AN34+Data!DA34)/T$6*100000*T$3</f>
        <v>0</v>
      </c>
      <c r="U37" s="330">
        <f>(Data!AO34+Data!DB34)/U$6*100000*U$3</f>
        <v>0</v>
      </c>
      <c r="V37" s="330">
        <f>(Data!AP34+Data!DC34)/V$6*100000*V$3</f>
        <v>0</v>
      </c>
      <c r="W37" s="330">
        <f>(Data!AQ34+Data!DD34)/W$6*100000*W$3</f>
        <v>0</v>
      </c>
      <c r="X37" s="330">
        <f>(Data!AR34+Data!DE34)/X$6*100000*X$3</f>
        <v>0</v>
      </c>
      <c r="Y37" s="330">
        <f>(Data!AS34+Data!DF34)/Y$6*100000*Y$3</f>
        <v>0</v>
      </c>
      <c r="Z37" s="330">
        <f>(Data!AT34+Data!DG34)/Z$6*100000*Z$3</f>
        <v>0</v>
      </c>
      <c r="AA37" s="330">
        <f>(Data!AU34+Data!DH34)/AA$6*100000*AA$3</f>
        <v>0</v>
      </c>
      <c r="AB37" s="330">
        <f>(Data!AV34+Data!DI34)/AB$6*100000*AB$3</f>
        <v>0</v>
      </c>
      <c r="AC37" s="330">
        <f>(Data!AW34+Data!DJ34)/AC$6*100000*AC$3</f>
        <v>0</v>
      </c>
      <c r="AD37" s="330">
        <f>(Data!AX34+Data!DK34)/AD$6*100000*AD$3</f>
        <v>0</v>
      </c>
      <c r="AE37" s="330">
        <f>(Data!AY34+Data!DL34)/AE$6*100000*AE$3</f>
        <v>5840.8087573192633</v>
      </c>
      <c r="AF37" s="330">
        <f>(Data!AZ34+Data!DM34)/AF$6*100000*AF$3</f>
        <v>5862.7644106749212</v>
      </c>
      <c r="AG37" s="330">
        <f>(Data!BA34+Data!DN34)/AG$6*100000*AG$3</f>
        <v>2848.150838068384</v>
      </c>
      <c r="AH37" s="330">
        <f>(Data!BB34+Data!DO34)/AH$6*100000*AH$3</f>
        <v>6603.8081960597274</v>
      </c>
      <c r="AI37" s="330">
        <f>(Data!BC34+Data!DP34)/AI$6*100000*AI$3</f>
        <v>0</v>
      </c>
      <c r="AJ37" s="330">
        <f>(Data!BD34+Data!DQ34)/AJ$6*100000*AJ$3</f>
        <v>0</v>
      </c>
      <c r="AK37" s="330">
        <f>(Data!BE34+Data!DR34)/AK$6*100000*AK$3</f>
        <v>3225.8064516129034</v>
      </c>
      <c r="AL37" s="336" t="s">
        <v>353</v>
      </c>
      <c r="AM37" s="330">
        <f t="shared" si="5"/>
        <v>16735.639185150336</v>
      </c>
      <c r="AN37" s="330">
        <f>(Data!AN34+Data!DA34)/AN$6*100000*AN$3</f>
        <v>0</v>
      </c>
      <c r="AO37" s="330">
        <f>(Data!AO34+Data!DB34)/AO$6*100000*AO$3</f>
        <v>0</v>
      </c>
      <c r="AP37" s="330">
        <f>(Data!AP34+Data!DC34)/AP$6*100000*AP$3</f>
        <v>0</v>
      </c>
      <c r="AQ37" s="330">
        <f>(Data!AQ34+Data!DD34)/AQ$6*100000*AQ$3</f>
        <v>0</v>
      </c>
      <c r="AR37" s="330">
        <f>(Data!AR34+Data!DE34)/AR$6*100000*AR$3</f>
        <v>0</v>
      </c>
      <c r="AS37" s="330">
        <f>(Data!AS34+Data!DF34)/AS$6*100000*AS$3</f>
        <v>0</v>
      </c>
      <c r="AT37" s="330">
        <f>(Data!AT34+Data!DG34)/AT$6*100000*AT$3</f>
        <v>0</v>
      </c>
      <c r="AU37" s="330">
        <f>(Data!AU34+Data!DH34)/AU$6*100000*AU$3</f>
        <v>0</v>
      </c>
      <c r="AV37" s="330">
        <f>(Data!AV34+Data!DI34)/AV$6*100000*AV$3</f>
        <v>0</v>
      </c>
      <c r="AW37" s="330">
        <f>(Data!AW34+Data!DJ34)/AW$6*100000*AW$3</f>
        <v>0</v>
      </c>
      <c r="AX37" s="330">
        <f>(Data!AX34+Data!DK34)/AX$6*100000*AX$3</f>
        <v>0</v>
      </c>
      <c r="AY37" s="330">
        <f>(Data!AY34+Data!DL34)/AY$6*100000*AY$3</f>
        <v>3893.8725048795091</v>
      </c>
      <c r="AZ37" s="330">
        <f>(Data!AZ34+Data!DM34)/AZ$6*100000*AZ$3</f>
        <v>4690.2115285399368</v>
      </c>
      <c r="BA37" s="330">
        <f>(Data!BA34+Data!DN34)/BA$6*100000*BA$3</f>
        <v>2136.1131285512879</v>
      </c>
      <c r="BB37" s="330">
        <f>(Data!BB34+Data!DO34)/BB$6*100000*BB$3</f>
        <v>4402.5387973731513</v>
      </c>
      <c r="BC37" s="330">
        <f>(Data!BC34+Data!DP34)/BC$6*100000*BC$3</f>
        <v>0</v>
      </c>
      <c r="BD37" s="330">
        <f>(Data!BD34+Data!DQ34)/BD$6*100000*BD$3</f>
        <v>0</v>
      </c>
      <c r="BE37" s="330">
        <f>(Data!BE34+Data!DR34)/BE$6*100000*BE$3</f>
        <v>1612.9032258064517</v>
      </c>
    </row>
    <row r="38" spans="1:57" ht="12" customHeight="1">
      <c r="A38" s="30"/>
      <c r="B38" s="146" t="str">
        <f>UPPER(LEFT(TRIM(Data!B35),1)) &amp; MID(TRIM(Data!B35),2,50)</f>
        <v>Smegenų</v>
      </c>
      <c r="C38" s="125" t="str">
        <f>Data!C35</f>
        <v>C70-C72</v>
      </c>
      <c r="D38" s="138">
        <f>Data!E35+Data!BR35</f>
        <v>239</v>
      </c>
      <c r="E38" s="127">
        <f t="shared" si="6"/>
        <v>8.1504122778629</v>
      </c>
      <c r="F38" s="128">
        <f t="shared" si="7"/>
        <v>6.0338788630470273</v>
      </c>
      <c r="G38" s="129">
        <f t="shared" si="8"/>
        <v>4.5181563010366856</v>
      </c>
      <c r="H38" s="58"/>
      <c r="I38" s="58"/>
      <c r="J38" s="58"/>
      <c r="K38" s="58"/>
      <c r="L38" s="58"/>
      <c r="M38" s="58"/>
      <c r="N38" s="58"/>
      <c r="O38" s="58"/>
      <c r="P38" s="58"/>
      <c r="Q38" s="311"/>
      <c r="R38" s="336" t="s">
        <v>353</v>
      </c>
      <c r="S38" s="330">
        <f t="shared" si="4"/>
        <v>603387.88630470273</v>
      </c>
      <c r="T38" s="330">
        <f>(Data!AN35+Data!DA35)/T$6*100000*T$3</f>
        <v>5305.3916042177862</v>
      </c>
      <c r="U38" s="330">
        <f>(Data!AO35+Data!DB35)/U$6*100000*U$3</f>
        <v>15347.062864492742</v>
      </c>
      <c r="V38" s="330">
        <f>(Data!AP35+Data!DC35)/V$6*100000*V$3</f>
        <v>9989.2259063438705</v>
      </c>
      <c r="W38" s="330">
        <f>(Data!AQ35+Data!DD35)/W$6*100000*W$3</f>
        <v>4027.6874744673382</v>
      </c>
      <c r="X38" s="330">
        <f>(Data!AR35+Data!DE35)/X$6*100000*X$3</f>
        <v>3331.5406471755673</v>
      </c>
      <c r="Y38" s="330">
        <f>(Data!AS35+Data!DF35)/Y$6*100000*Y$3</f>
        <v>3591.7512866166221</v>
      </c>
      <c r="Z38" s="330">
        <f>(Data!AT35+Data!DG35)/Z$6*100000*Z$3</f>
        <v>15855.757905227869</v>
      </c>
      <c r="AA38" s="330">
        <f>(Data!AU35+Data!DH35)/AA$6*100000*AA$3</f>
        <v>26989.215329874307</v>
      </c>
      <c r="AB38" s="330">
        <f>(Data!AV35+Data!DI35)/AB$6*100000*AB$3</f>
        <v>27439.278346979474</v>
      </c>
      <c r="AC38" s="330">
        <f>(Data!AW35+Data!DJ35)/AC$6*100000*AC$3</f>
        <v>26571.515335560282</v>
      </c>
      <c r="AD38" s="330">
        <f>(Data!AX35+Data!DK35)/AD$6*100000*AD$3</f>
        <v>57362.201328387826</v>
      </c>
      <c r="AE38" s="330">
        <f>(Data!AY35+Data!DL35)/AE$6*100000*AE$3</f>
        <v>52567.278815873375</v>
      </c>
      <c r="AF38" s="330">
        <f>(Data!AZ35+Data!DM35)/AF$6*100000*AF$3</f>
        <v>79147.319544111437</v>
      </c>
      <c r="AG38" s="330">
        <f>(Data!BA35+Data!DN35)/AG$6*100000*AG$3</f>
        <v>79748.223465914751</v>
      </c>
      <c r="AH38" s="330">
        <f>(Data!BB35+Data!DO35)/AH$6*100000*AH$3</f>
        <v>94654.584143522763</v>
      </c>
      <c r="AI38" s="330">
        <f>(Data!BC35+Data!DP35)/AI$6*100000*AI$3</f>
        <v>56438.560816699173</v>
      </c>
      <c r="AJ38" s="330">
        <f>(Data!BD35+Data!DQ35)/AJ$6*100000*AJ$3</f>
        <v>25666.452779560172</v>
      </c>
      <c r="AK38" s="330">
        <f>(Data!BE35+Data!DR35)/AK$6*100000*AK$3</f>
        <v>19354.83870967742</v>
      </c>
      <c r="AL38" s="336" t="s">
        <v>353</v>
      </c>
      <c r="AM38" s="330">
        <f t="shared" si="5"/>
        <v>451815.63010366861</v>
      </c>
      <c r="AN38" s="330">
        <f>(Data!AN35+Data!DA35)/AN$6*100000*AN$3</f>
        <v>7958.0874063266792</v>
      </c>
      <c r="AO38" s="330">
        <f>(Data!AO35+Data!DB35)/AO$6*100000*AO$3</f>
        <v>21924.375520703918</v>
      </c>
      <c r="AP38" s="330">
        <f>(Data!AP35+Data!DC35)/AP$6*100000*AP$3</f>
        <v>12843.290451013549</v>
      </c>
      <c r="AQ38" s="330">
        <f>(Data!AQ35+Data!DD35)/AQ$6*100000*AQ$3</f>
        <v>5178.4553243151486</v>
      </c>
      <c r="AR38" s="330">
        <f>(Data!AR35+Data!DE35)/AR$6*100000*AR$3</f>
        <v>3807.4750253435059</v>
      </c>
      <c r="AS38" s="330">
        <f>(Data!AS35+Data!DF35)/AS$6*100000*AS$3</f>
        <v>4104.8586132761393</v>
      </c>
      <c r="AT38" s="330">
        <f>(Data!AT35+Data!DG35)/AT$6*100000*AT$3</f>
        <v>13590.649633052459</v>
      </c>
      <c r="AU38" s="330">
        <f>(Data!AU35+Data!DH35)/AU$6*100000*AU$3</f>
        <v>23133.613139892266</v>
      </c>
      <c r="AV38" s="330">
        <f>(Data!AV35+Data!DI35)/AV$6*100000*AV$3</f>
        <v>23519.38144026812</v>
      </c>
      <c r="AW38" s="330">
        <f>(Data!AW35+Data!DJ35)/AW$6*100000*AW$3</f>
        <v>22775.584573337386</v>
      </c>
      <c r="AX38" s="330">
        <f>(Data!AX35+Data!DK35)/AX$6*100000*AX$3</f>
        <v>40973.000948848443</v>
      </c>
      <c r="AY38" s="330">
        <f>(Data!AY35+Data!DL35)/AY$6*100000*AY$3</f>
        <v>35044.852543915578</v>
      </c>
      <c r="AZ38" s="330">
        <f>(Data!AZ35+Data!DM35)/AZ$6*100000*AZ$3</f>
        <v>63317.855635289146</v>
      </c>
      <c r="BA38" s="330">
        <f>(Data!BA35+Data!DN35)/BA$6*100000*BA$3</f>
        <v>59811.167599436063</v>
      </c>
      <c r="BB38" s="330">
        <f>(Data!BB35+Data!DO35)/BB$6*100000*BB$3</f>
        <v>63103.056095681844</v>
      </c>
      <c r="BC38" s="330">
        <f>(Data!BC35+Data!DP35)/BC$6*100000*BC$3</f>
        <v>28219.280408349587</v>
      </c>
      <c r="BD38" s="330">
        <f>(Data!BD35+Data!DQ35)/BD$6*100000*BD$3</f>
        <v>12833.226389780086</v>
      </c>
      <c r="BE38" s="330">
        <f>(Data!BE35+Data!DR35)/BE$6*100000*BE$3</f>
        <v>9677.4193548387102</v>
      </c>
    </row>
    <row r="39" spans="1:57" ht="12" customHeight="1">
      <c r="A39" s="30"/>
      <c r="B39" s="146" t="str">
        <f>UPPER(LEFT(TRIM(Data!B36),1)) &amp; MID(TRIM(Data!B36),2,50)</f>
        <v>Skydliaukės</v>
      </c>
      <c r="C39" s="125" t="str">
        <f>Data!C36</f>
        <v>C73</v>
      </c>
      <c r="D39" s="138">
        <f>Data!E36+Data!BR36</f>
        <v>26</v>
      </c>
      <c r="E39" s="127">
        <f t="shared" si="6"/>
        <v>0.88665572897253309</v>
      </c>
      <c r="F39" s="128">
        <f t="shared" si="7"/>
        <v>0.54567291041240762</v>
      </c>
      <c r="G39" s="129">
        <f t="shared" si="8"/>
        <v>0.35306133870032985</v>
      </c>
      <c r="H39" s="58"/>
      <c r="I39" s="58"/>
      <c r="J39" s="58"/>
      <c r="K39" s="58"/>
      <c r="L39" s="58"/>
      <c r="M39" s="58"/>
      <c r="N39" s="58"/>
      <c r="O39" s="58"/>
      <c r="P39" s="58"/>
      <c r="Q39" s="311"/>
      <c r="R39" s="336" t="s">
        <v>353</v>
      </c>
      <c r="S39" s="330">
        <f t="shared" si="4"/>
        <v>54567.291041240765</v>
      </c>
      <c r="T39" s="330">
        <f>(Data!AN36+Data!DA36)/T$6*100000*T$3</f>
        <v>0</v>
      </c>
      <c r="U39" s="330">
        <f>(Data!AO36+Data!DB36)/U$6*100000*U$3</f>
        <v>0</v>
      </c>
      <c r="V39" s="330">
        <f>(Data!AP36+Data!DC36)/V$6*100000*V$3</f>
        <v>0</v>
      </c>
      <c r="W39" s="330">
        <f>(Data!AQ36+Data!DD36)/W$6*100000*W$3</f>
        <v>0</v>
      </c>
      <c r="X39" s="330">
        <f>(Data!AR36+Data!DE36)/X$6*100000*X$3</f>
        <v>0</v>
      </c>
      <c r="Y39" s="330">
        <f>(Data!AS36+Data!DF36)/Y$6*100000*Y$3</f>
        <v>0</v>
      </c>
      <c r="Z39" s="330">
        <f>(Data!AT36+Data!DG36)/Z$6*100000*Z$3</f>
        <v>0</v>
      </c>
      <c r="AA39" s="330">
        <f>(Data!AU36+Data!DH36)/AA$6*100000*AA$3</f>
        <v>0</v>
      </c>
      <c r="AB39" s="330">
        <f>(Data!AV36+Data!DI36)/AB$6*100000*AB$3</f>
        <v>0</v>
      </c>
      <c r="AC39" s="330">
        <f>(Data!AW36+Data!DJ36)/AC$6*100000*AC$3</f>
        <v>0</v>
      </c>
      <c r="AD39" s="330">
        <f>(Data!AX36+Data!DK36)/AD$6*100000*AD$3</f>
        <v>6038.1264556197702</v>
      </c>
      <c r="AE39" s="330">
        <f>(Data!AY36+Data!DL36)/AE$6*100000*AE$3</f>
        <v>2920.4043786596317</v>
      </c>
      <c r="AF39" s="330">
        <f>(Data!AZ36+Data!DM36)/AF$6*100000*AF$3</f>
        <v>8794.1466160123819</v>
      </c>
      <c r="AG39" s="330">
        <f>(Data!BA36+Data!DN36)/AG$6*100000*AG$3</f>
        <v>8544.4525142051534</v>
      </c>
      <c r="AH39" s="330">
        <f>(Data!BB36+Data!DO36)/AH$6*100000*AH$3</f>
        <v>8805.0775947463026</v>
      </c>
      <c r="AI39" s="330">
        <f>(Data!BC36+Data!DP36)/AI$6*100000*AI$3</f>
        <v>9959.7460264763249</v>
      </c>
      <c r="AJ39" s="330">
        <f>(Data!BD36+Data!DQ36)/AJ$6*100000*AJ$3</f>
        <v>4666.6277781018498</v>
      </c>
      <c r="AK39" s="330">
        <f>(Data!BE36+Data!DR36)/AK$6*100000*AK$3</f>
        <v>4838.7096774193551</v>
      </c>
      <c r="AL39" s="336" t="s">
        <v>353</v>
      </c>
      <c r="AM39" s="330">
        <f t="shared" si="5"/>
        <v>35306.133870032987</v>
      </c>
      <c r="AN39" s="330">
        <f>(Data!AN36+Data!DA36)/AN$6*100000*AN$3</f>
        <v>0</v>
      </c>
      <c r="AO39" s="330">
        <f>(Data!AO36+Data!DB36)/AO$6*100000*AO$3</f>
        <v>0</v>
      </c>
      <c r="AP39" s="330">
        <f>(Data!AP36+Data!DC36)/AP$6*100000*AP$3</f>
        <v>0</v>
      </c>
      <c r="AQ39" s="330">
        <f>(Data!AQ36+Data!DD36)/AQ$6*100000*AQ$3</f>
        <v>0</v>
      </c>
      <c r="AR39" s="330">
        <f>(Data!AR36+Data!DE36)/AR$6*100000*AR$3</f>
        <v>0</v>
      </c>
      <c r="AS39" s="330">
        <f>(Data!AS36+Data!DF36)/AS$6*100000*AS$3</f>
        <v>0</v>
      </c>
      <c r="AT39" s="330">
        <f>(Data!AT36+Data!DG36)/AT$6*100000*AT$3</f>
        <v>0</v>
      </c>
      <c r="AU39" s="330">
        <f>(Data!AU36+Data!DH36)/AU$6*100000*AU$3</f>
        <v>0</v>
      </c>
      <c r="AV39" s="330">
        <f>(Data!AV36+Data!DI36)/AV$6*100000*AV$3</f>
        <v>0</v>
      </c>
      <c r="AW39" s="330">
        <f>(Data!AW36+Data!DJ36)/AW$6*100000*AW$3</f>
        <v>0</v>
      </c>
      <c r="AX39" s="330">
        <f>(Data!AX36+Data!DK36)/AX$6*100000*AX$3</f>
        <v>4312.9474682998361</v>
      </c>
      <c r="AY39" s="330">
        <f>(Data!AY36+Data!DL36)/AY$6*100000*AY$3</f>
        <v>1946.9362524397545</v>
      </c>
      <c r="AZ39" s="330">
        <f>(Data!AZ36+Data!DM36)/AZ$6*100000*AZ$3</f>
        <v>7035.3172928099057</v>
      </c>
      <c r="BA39" s="330">
        <f>(Data!BA36+Data!DN36)/BA$6*100000*BA$3</f>
        <v>6408.3393856538651</v>
      </c>
      <c r="BB39" s="330">
        <f>(Data!BB36+Data!DO36)/BB$6*100000*BB$3</f>
        <v>5870.0517298308687</v>
      </c>
      <c r="BC39" s="330">
        <f>(Data!BC36+Data!DP36)/BC$6*100000*BC$3</f>
        <v>4979.8730132381625</v>
      </c>
      <c r="BD39" s="330">
        <f>(Data!BD36+Data!DQ36)/BD$6*100000*BD$3</f>
        <v>2333.3138890509249</v>
      </c>
      <c r="BE39" s="330">
        <f>(Data!BE36+Data!DR36)/BE$6*100000*BE$3</f>
        <v>2419.3548387096776</v>
      </c>
    </row>
    <row r="40" spans="1:57" ht="12" customHeight="1">
      <c r="A40" s="30"/>
      <c r="B40" s="146" t="str">
        <f>UPPER(LEFT(TRIM(Data!B37),1)) &amp; MID(TRIM(Data!B37),2,50)</f>
        <v>Kitų endokrininių liaukų</v>
      </c>
      <c r="C40" s="125" t="str">
        <f>Data!C37</f>
        <v>C74-C75</v>
      </c>
      <c r="D40" s="138">
        <f>Data!E37+Data!BR37</f>
        <v>9</v>
      </c>
      <c r="E40" s="127">
        <f t="shared" si="6"/>
        <v>0.30691929079818453</v>
      </c>
      <c r="F40" s="128">
        <f t="shared" si="7"/>
        <v>0.22530011110396689</v>
      </c>
      <c r="G40" s="129">
        <f t="shared" si="8"/>
        <v>0.15741794537924964</v>
      </c>
      <c r="H40" s="58"/>
      <c r="I40" s="58"/>
      <c r="J40" s="58"/>
      <c r="K40" s="58"/>
      <c r="L40" s="58"/>
      <c r="M40" s="58"/>
      <c r="N40" s="58"/>
      <c r="O40" s="58"/>
      <c r="P40" s="58"/>
      <c r="Q40" s="311"/>
      <c r="R40" s="336" t="s">
        <v>353</v>
      </c>
      <c r="S40" s="330">
        <f t="shared" si="4"/>
        <v>22530.011110396688</v>
      </c>
      <c r="T40" s="330">
        <f>(Data!AN37+Data!DA37)/T$6*100000*T$3</f>
        <v>0</v>
      </c>
      <c r="U40" s="330">
        <f>(Data!AO37+Data!DB37)/U$6*100000*U$3</f>
        <v>0</v>
      </c>
      <c r="V40" s="330">
        <f>(Data!AP37+Data!DC37)/V$6*100000*V$3</f>
        <v>0</v>
      </c>
      <c r="W40" s="330">
        <f>(Data!AQ37+Data!DD37)/W$6*100000*W$3</f>
        <v>0</v>
      </c>
      <c r="X40" s="330">
        <f>(Data!AR37+Data!DE37)/X$6*100000*X$3</f>
        <v>0</v>
      </c>
      <c r="Y40" s="330">
        <f>(Data!AS37+Data!DF37)/Y$6*100000*Y$3</f>
        <v>0</v>
      </c>
      <c r="Z40" s="330">
        <f>(Data!AT37+Data!DG37)/Z$6*100000*Z$3</f>
        <v>0</v>
      </c>
      <c r="AA40" s="330">
        <f>(Data!AU37+Data!DH37)/AA$6*100000*AA$3</f>
        <v>0</v>
      </c>
      <c r="AB40" s="330">
        <f>(Data!AV37+Data!DI37)/AB$6*100000*AB$3</f>
        <v>0</v>
      </c>
      <c r="AC40" s="330">
        <f>(Data!AW37+Data!DJ37)/AC$6*100000*AC$3</f>
        <v>0</v>
      </c>
      <c r="AD40" s="330">
        <f>(Data!AX37+Data!DK37)/AD$6*100000*AD$3</f>
        <v>6038.1264556197702</v>
      </c>
      <c r="AE40" s="330">
        <f>(Data!AY37+Data!DL37)/AE$6*100000*AE$3</f>
        <v>0</v>
      </c>
      <c r="AF40" s="330">
        <f>(Data!AZ37+Data!DM37)/AF$6*100000*AF$3</f>
        <v>5862.7644106749212</v>
      </c>
      <c r="AG40" s="330">
        <f>(Data!BA37+Data!DN37)/AG$6*100000*AG$3</f>
        <v>5696.301676136768</v>
      </c>
      <c r="AH40" s="330">
        <f>(Data!BB37+Data!DO37)/AH$6*100000*AH$3</f>
        <v>0</v>
      </c>
      <c r="AI40" s="330">
        <f>(Data!BC37+Data!DP37)/AI$6*100000*AI$3</f>
        <v>3319.9153421587748</v>
      </c>
      <c r="AJ40" s="330">
        <f>(Data!BD37+Data!DQ37)/AJ$6*100000*AJ$3</f>
        <v>0</v>
      </c>
      <c r="AK40" s="330">
        <f>(Data!BE37+Data!DR37)/AK$6*100000*AK$3</f>
        <v>1612.9032258064517</v>
      </c>
      <c r="AL40" s="336" t="s">
        <v>353</v>
      </c>
      <c r="AM40" s="330">
        <f t="shared" si="5"/>
        <v>15741.794537924963</v>
      </c>
      <c r="AN40" s="330">
        <f>(Data!AN37+Data!DA37)/AN$6*100000*AN$3</f>
        <v>0</v>
      </c>
      <c r="AO40" s="330">
        <f>(Data!AO37+Data!DB37)/AO$6*100000*AO$3</f>
        <v>0</v>
      </c>
      <c r="AP40" s="330">
        <f>(Data!AP37+Data!DC37)/AP$6*100000*AP$3</f>
        <v>0</v>
      </c>
      <c r="AQ40" s="330">
        <f>(Data!AQ37+Data!DD37)/AQ$6*100000*AQ$3</f>
        <v>0</v>
      </c>
      <c r="AR40" s="330">
        <f>(Data!AR37+Data!DE37)/AR$6*100000*AR$3</f>
        <v>0</v>
      </c>
      <c r="AS40" s="330">
        <f>(Data!AS37+Data!DF37)/AS$6*100000*AS$3</f>
        <v>0</v>
      </c>
      <c r="AT40" s="330">
        <f>(Data!AT37+Data!DG37)/AT$6*100000*AT$3</f>
        <v>0</v>
      </c>
      <c r="AU40" s="330">
        <f>(Data!AU37+Data!DH37)/AU$6*100000*AU$3</f>
        <v>0</v>
      </c>
      <c r="AV40" s="330">
        <f>(Data!AV37+Data!DI37)/AV$6*100000*AV$3</f>
        <v>0</v>
      </c>
      <c r="AW40" s="330">
        <f>(Data!AW37+Data!DJ37)/AW$6*100000*AW$3</f>
        <v>0</v>
      </c>
      <c r="AX40" s="330">
        <f>(Data!AX37+Data!DK37)/AX$6*100000*AX$3</f>
        <v>4312.9474682998361</v>
      </c>
      <c r="AY40" s="330">
        <f>(Data!AY37+Data!DL37)/AY$6*100000*AY$3</f>
        <v>0</v>
      </c>
      <c r="AZ40" s="330">
        <f>(Data!AZ37+Data!DM37)/AZ$6*100000*AZ$3</f>
        <v>4690.2115285399368</v>
      </c>
      <c r="BA40" s="330">
        <f>(Data!BA37+Data!DN37)/BA$6*100000*BA$3</f>
        <v>4272.2262571025758</v>
      </c>
      <c r="BB40" s="330">
        <f>(Data!BB37+Data!DO37)/BB$6*100000*BB$3</f>
        <v>0</v>
      </c>
      <c r="BC40" s="330">
        <f>(Data!BC37+Data!DP37)/BC$6*100000*BC$3</f>
        <v>1659.9576710793874</v>
      </c>
      <c r="BD40" s="330">
        <f>(Data!BD37+Data!DQ37)/BD$6*100000*BD$3</f>
        <v>0</v>
      </c>
      <c r="BE40" s="330">
        <f>(Data!BE37+Data!DR37)/BE$6*100000*BE$3</f>
        <v>806.45161290322585</v>
      </c>
    </row>
    <row r="41" spans="1:57" ht="12" customHeight="1">
      <c r="A41" s="30"/>
      <c r="B41" s="146" t="str">
        <f>UPPER(LEFT(TRIM(Data!B38),1)) &amp; MID(TRIM(Data!B38),2,50)</f>
        <v>Nepatikslintos lokalizacijos</v>
      </c>
      <c r="C41" s="125" t="str">
        <f>Data!C38</f>
        <v>C76-C80</v>
      </c>
      <c r="D41" s="138">
        <f>Data!E38+Data!BR38</f>
        <v>399</v>
      </c>
      <c r="E41" s="127">
        <f t="shared" si="6"/>
        <v>13.606755225386181</v>
      </c>
      <c r="F41" s="128">
        <f t="shared" si="7"/>
        <v>8.5390631851671586</v>
      </c>
      <c r="G41" s="129">
        <f t="shared" si="8"/>
        <v>5.6398752092968296</v>
      </c>
      <c r="H41" s="58"/>
      <c r="I41" s="58"/>
      <c r="J41" s="58"/>
      <c r="K41" s="58"/>
      <c r="L41" s="58"/>
      <c r="M41" s="58"/>
      <c r="N41" s="58"/>
      <c r="O41" s="58"/>
      <c r="P41" s="58"/>
      <c r="Q41" s="311"/>
      <c r="R41" s="336" t="s">
        <v>353</v>
      </c>
      <c r="S41" s="330">
        <f t="shared" si="4"/>
        <v>853906.31851671578</v>
      </c>
      <c r="T41" s="330">
        <f>(Data!AN38+Data!DA38)/T$6*100000*T$3</f>
        <v>0</v>
      </c>
      <c r="U41" s="330">
        <f>(Data!AO38+Data!DB38)/U$6*100000*U$3</f>
        <v>0</v>
      </c>
      <c r="V41" s="330">
        <f>(Data!AP38+Data!DC38)/V$6*100000*V$3</f>
        <v>0</v>
      </c>
      <c r="W41" s="330">
        <f>(Data!AQ38+Data!DD38)/W$6*100000*W$3</f>
        <v>0</v>
      </c>
      <c r="X41" s="330">
        <f>(Data!AR38+Data!DE38)/X$6*100000*X$3</f>
        <v>0</v>
      </c>
      <c r="Y41" s="330">
        <f>(Data!AS38+Data!DF38)/Y$6*100000*Y$3</f>
        <v>0</v>
      </c>
      <c r="Z41" s="330">
        <f>(Data!AT38+Data!DG38)/Z$6*100000*Z$3</f>
        <v>3963.9394763069672</v>
      </c>
      <c r="AA41" s="330">
        <f>(Data!AU38+Data!DH38)/AA$6*100000*AA$3</f>
        <v>3855.6021899820444</v>
      </c>
      <c r="AB41" s="330">
        <f>(Data!AV38+Data!DI38)/AB$6*100000*AB$3</f>
        <v>17149.54896686217</v>
      </c>
      <c r="AC41" s="330">
        <f>(Data!AW38+Data!DJ38)/AC$6*100000*AC$3</f>
        <v>46500.151837230493</v>
      </c>
      <c r="AD41" s="330">
        <f>(Data!AX38+Data!DK38)/AD$6*100000*AD$3</f>
        <v>42266.885189338391</v>
      </c>
      <c r="AE41" s="330">
        <f>(Data!AY38+Data!DL38)/AE$6*100000*AE$3</f>
        <v>75930.513845150432</v>
      </c>
      <c r="AF41" s="330">
        <f>(Data!AZ38+Data!DM38)/AF$6*100000*AF$3</f>
        <v>114323.90600816098</v>
      </c>
      <c r="AG41" s="330">
        <f>(Data!BA38+Data!DN38)/AG$6*100000*AG$3</f>
        <v>131014.93855114569</v>
      </c>
      <c r="AH41" s="330">
        <f>(Data!BB38+Data!DO38)/AH$6*100000*AH$3</f>
        <v>136478.70271856771</v>
      </c>
      <c r="AI41" s="330">
        <f>(Data!BC38+Data!DP38)/AI$6*100000*AI$3</f>
        <v>102917.37560692203</v>
      </c>
      <c r="AJ41" s="330">
        <f>(Data!BD38+Data!DQ38)/AJ$6*100000*AJ$3</f>
        <v>74666.044449629597</v>
      </c>
      <c r="AK41" s="330">
        <f>(Data!BE38+Data!DR38)/AK$6*100000*AK$3</f>
        <v>104838.70967741935</v>
      </c>
      <c r="AL41" s="336" t="s">
        <v>353</v>
      </c>
      <c r="AM41" s="330">
        <f t="shared" si="5"/>
        <v>563987.520929683</v>
      </c>
      <c r="AN41" s="330">
        <f>(Data!AN38+Data!DA38)/AN$6*100000*AN$3</f>
        <v>0</v>
      </c>
      <c r="AO41" s="330">
        <f>(Data!AO38+Data!DB38)/AO$6*100000*AO$3</f>
        <v>0</v>
      </c>
      <c r="AP41" s="330">
        <f>(Data!AP38+Data!DC38)/AP$6*100000*AP$3</f>
        <v>0</v>
      </c>
      <c r="AQ41" s="330">
        <f>(Data!AQ38+Data!DD38)/AQ$6*100000*AQ$3</f>
        <v>0</v>
      </c>
      <c r="AR41" s="330">
        <f>(Data!AR38+Data!DE38)/AR$6*100000*AR$3</f>
        <v>0</v>
      </c>
      <c r="AS41" s="330">
        <f>(Data!AS38+Data!DF38)/AS$6*100000*AS$3</f>
        <v>0</v>
      </c>
      <c r="AT41" s="330">
        <f>(Data!AT38+Data!DG38)/AT$6*100000*AT$3</f>
        <v>3397.6624082631147</v>
      </c>
      <c r="AU41" s="330">
        <f>(Data!AU38+Data!DH38)/AU$6*100000*AU$3</f>
        <v>3304.8018771274665</v>
      </c>
      <c r="AV41" s="330">
        <f>(Data!AV38+Data!DI38)/AV$6*100000*AV$3</f>
        <v>14699.613400167575</v>
      </c>
      <c r="AW41" s="330">
        <f>(Data!AW38+Data!DJ38)/AW$6*100000*AW$3</f>
        <v>39857.273003340422</v>
      </c>
      <c r="AX41" s="330">
        <f>(Data!AX38+Data!DK38)/AX$6*100000*AX$3</f>
        <v>30190.632278098852</v>
      </c>
      <c r="AY41" s="330">
        <f>(Data!AY38+Data!DL38)/AY$6*100000*AY$3</f>
        <v>50620.342563433616</v>
      </c>
      <c r="AZ41" s="330">
        <f>(Data!AZ38+Data!DM38)/AZ$6*100000*AZ$3</f>
        <v>91459.12480652878</v>
      </c>
      <c r="BA41" s="330">
        <f>(Data!BA38+Data!DN38)/BA$6*100000*BA$3</f>
        <v>98261.203913359263</v>
      </c>
      <c r="BB41" s="330">
        <f>(Data!BB38+Data!DO38)/BB$6*100000*BB$3</f>
        <v>90985.801812378471</v>
      </c>
      <c r="BC41" s="330">
        <f>(Data!BC38+Data!DP38)/BC$6*100000*BC$3</f>
        <v>51458.687803461013</v>
      </c>
      <c r="BD41" s="330">
        <f>(Data!BD38+Data!DQ38)/BD$6*100000*BD$3</f>
        <v>37333.022224814798</v>
      </c>
      <c r="BE41" s="330">
        <f>(Data!BE38+Data!DR38)/BE$6*100000*BE$3</f>
        <v>52419.354838709674</v>
      </c>
    </row>
    <row r="42" spans="1:57" ht="12" customHeight="1">
      <c r="A42" s="30"/>
      <c r="B42" s="146" t="str">
        <f>UPPER(LEFT(TRIM(Data!B39),1)) &amp; MID(TRIM(Data!B39),2,50)</f>
        <v>Hodžkino limfomos</v>
      </c>
      <c r="C42" s="125" t="str">
        <f>Data!C39</f>
        <v>C81</v>
      </c>
      <c r="D42" s="138">
        <f>Data!E39+Data!BR39</f>
        <v>11</v>
      </c>
      <c r="E42" s="127">
        <f t="shared" si="6"/>
        <v>0.37512357764222554</v>
      </c>
      <c r="F42" s="128">
        <f t="shared" si="7"/>
        <v>0.26070009932145172</v>
      </c>
      <c r="G42" s="129">
        <f t="shared" si="8"/>
        <v>0.18016942609626913</v>
      </c>
      <c r="H42" s="58"/>
      <c r="I42" s="58"/>
      <c r="J42" s="58"/>
      <c r="K42" s="58"/>
      <c r="L42" s="58"/>
      <c r="M42" s="58"/>
      <c r="N42" s="58"/>
      <c r="O42" s="58"/>
      <c r="P42" s="58"/>
      <c r="Q42" s="311"/>
      <c r="R42" s="336" t="s">
        <v>353</v>
      </c>
      <c r="S42" s="330">
        <f t="shared" si="4"/>
        <v>26070.009932145171</v>
      </c>
      <c r="T42" s="330">
        <f>(Data!AN39+Data!DA39)/T$6*100000*T$3</f>
        <v>0</v>
      </c>
      <c r="U42" s="330">
        <f>(Data!AO39+Data!DB39)/U$6*100000*U$3</f>
        <v>0</v>
      </c>
      <c r="V42" s="330">
        <f>(Data!AP39+Data!DC39)/V$6*100000*V$3</f>
        <v>0</v>
      </c>
      <c r="W42" s="330">
        <f>(Data!AQ39+Data!DD39)/W$6*100000*W$3</f>
        <v>0</v>
      </c>
      <c r="X42" s="330">
        <f>(Data!AR39+Data!DE39)/X$6*100000*X$3</f>
        <v>0</v>
      </c>
      <c r="Y42" s="330">
        <f>(Data!AS39+Data!DF39)/Y$6*100000*Y$3</f>
        <v>0</v>
      </c>
      <c r="Z42" s="330">
        <f>(Data!AT39+Data!DG39)/Z$6*100000*Z$3</f>
        <v>0</v>
      </c>
      <c r="AA42" s="330">
        <f>(Data!AU39+Data!DH39)/AA$6*100000*AA$3</f>
        <v>3855.6021899820444</v>
      </c>
      <c r="AB42" s="330">
        <f>(Data!AV39+Data!DI39)/AB$6*100000*AB$3</f>
        <v>3429.9097933724343</v>
      </c>
      <c r="AC42" s="330">
        <f>(Data!AW39+Data!DJ39)/AC$6*100000*AC$3</f>
        <v>0</v>
      </c>
      <c r="AD42" s="330">
        <f>(Data!AX39+Data!DK39)/AD$6*100000*AD$3</f>
        <v>3019.0632278098851</v>
      </c>
      <c r="AE42" s="330">
        <f>(Data!AY39+Data!DL39)/AE$6*100000*AE$3</f>
        <v>2920.4043786596317</v>
      </c>
      <c r="AF42" s="330">
        <f>(Data!AZ39+Data!DM39)/AF$6*100000*AF$3</f>
        <v>2931.3822053374606</v>
      </c>
      <c r="AG42" s="330">
        <f>(Data!BA39+Data!DN39)/AG$6*100000*AG$3</f>
        <v>0</v>
      </c>
      <c r="AH42" s="330">
        <f>(Data!BB39+Data!DO39)/AH$6*100000*AH$3</f>
        <v>2201.2693986865756</v>
      </c>
      <c r="AI42" s="330">
        <f>(Data!BC39+Data!DP39)/AI$6*100000*AI$3</f>
        <v>3319.9153421587748</v>
      </c>
      <c r="AJ42" s="330">
        <f>(Data!BD39+Data!DQ39)/AJ$6*100000*AJ$3</f>
        <v>1166.6569445254624</v>
      </c>
      <c r="AK42" s="330">
        <f>(Data!BE39+Data!DR39)/AK$6*100000*AK$3</f>
        <v>3225.8064516129034</v>
      </c>
      <c r="AL42" s="336" t="s">
        <v>353</v>
      </c>
      <c r="AM42" s="330">
        <f t="shared" si="5"/>
        <v>18016.942609626913</v>
      </c>
      <c r="AN42" s="330">
        <f>(Data!AN39+Data!DA39)/AN$6*100000*AN$3</f>
        <v>0</v>
      </c>
      <c r="AO42" s="330">
        <f>(Data!AO39+Data!DB39)/AO$6*100000*AO$3</f>
        <v>0</v>
      </c>
      <c r="AP42" s="330">
        <f>(Data!AP39+Data!DC39)/AP$6*100000*AP$3</f>
        <v>0</v>
      </c>
      <c r="AQ42" s="330">
        <f>(Data!AQ39+Data!DD39)/AQ$6*100000*AQ$3</f>
        <v>0</v>
      </c>
      <c r="AR42" s="330">
        <f>(Data!AR39+Data!DE39)/AR$6*100000*AR$3</f>
        <v>0</v>
      </c>
      <c r="AS42" s="330">
        <f>(Data!AS39+Data!DF39)/AS$6*100000*AS$3</f>
        <v>0</v>
      </c>
      <c r="AT42" s="330">
        <f>(Data!AT39+Data!DG39)/AT$6*100000*AT$3</f>
        <v>0</v>
      </c>
      <c r="AU42" s="330">
        <f>(Data!AU39+Data!DH39)/AU$6*100000*AU$3</f>
        <v>3304.8018771274665</v>
      </c>
      <c r="AV42" s="330">
        <f>(Data!AV39+Data!DI39)/AV$6*100000*AV$3</f>
        <v>2939.922680033515</v>
      </c>
      <c r="AW42" s="330">
        <f>(Data!AW39+Data!DJ39)/AW$6*100000*AW$3</f>
        <v>0</v>
      </c>
      <c r="AX42" s="330">
        <f>(Data!AX39+Data!DK39)/AX$6*100000*AX$3</f>
        <v>2156.4737341499181</v>
      </c>
      <c r="AY42" s="330">
        <f>(Data!AY39+Data!DL39)/AY$6*100000*AY$3</f>
        <v>1946.9362524397545</v>
      </c>
      <c r="AZ42" s="330">
        <f>(Data!AZ39+Data!DM39)/AZ$6*100000*AZ$3</f>
        <v>2345.1057642699684</v>
      </c>
      <c r="BA42" s="330">
        <f>(Data!BA39+Data!DN39)/BA$6*100000*BA$3</f>
        <v>0</v>
      </c>
      <c r="BB42" s="330">
        <f>(Data!BB39+Data!DO39)/BB$6*100000*BB$3</f>
        <v>1467.5129324577172</v>
      </c>
      <c r="BC42" s="330">
        <f>(Data!BC39+Data!DP39)/BC$6*100000*BC$3</f>
        <v>1659.9576710793874</v>
      </c>
      <c r="BD42" s="330">
        <f>(Data!BD39+Data!DQ39)/BD$6*100000*BD$3</f>
        <v>583.32847226273122</v>
      </c>
      <c r="BE42" s="330">
        <f>(Data!BE39+Data!DR39)/BE$6*100000*BE$3</f>
        <v>1612.9032258064517</v>
      </c>
    </row>
    <row r="43" spans="1:57" ht="12" customHeight="1">
      <c r="A43" s="30"/>
      <c r="B43" s="146" t="str">
        <f>UPPER(LEFT(TRIM(Data!B40),1)) &amp; MID(TRIM(Data!B40),2,50)</f>
        <v>Ne Hodžkino limfomos</v>
      </c>
      <c r="C43" s="125" t="str">
        <f>Data!C40</f>
        <v>C82-C85</v>
      </c>
      <c r="D43" s="138">
        <f>Data!E40+Data!BR40</f>
        <v>144</v>
      </c>
      <c r="E43" s="127">
        <f t="shared" si="6"/>
        <v>4.9107086527709525</v>
      </c>
      <c r="F43" s="128">
        <f t="shared" si="7"/>
        <v>3.0666859672962277</v>
      </c>
      <c r="G43" s="129">
        <f t="shared" si="8"/>
        <v>2.0395681807436183</v>
      </c>
      <c r="H43" s="58"/>
      <c r="I43" s="58"/>
      <c r="J43" s="58"/>
      <c r="K43" s="58"/>
      <c r="L43" s="58"/>
      <c r="M43" s="58"/>
      <c r="N43" s="58"/>
      <c r="O43" s="58"/>
      <c r="P43" s="58"/>
      <c r="Q43" s="311"/>
      <c r="R43" s="336" t="s">
        <v>353</v>
      </c>
      <c r="S43" s="330">
        <f t="shared" si="4"/>
        <v>306668.59672962275</v>
      </c>
      <c r="T43" s="330">
        <f>(Data!AN40+Data!DA40)/T$6*100000*T$3</f>
        <v>0</v>
      </c>
      <c r="U43" s="330">
        <f>(Data!AO40+Data!DB40)/U$6*100000*U$3</f>
        <v>0</v>
      </c>
      <c r="V43" s="330">
        <f>(Data!AP40+Data!DC40)/V$6*100000*V$3</f>
        <v>0</v>
      </c>
      <c r="W43" s="330">
        <f>(Data!AQ40+Data!DD40)/W$6*100000*W$3</f>
        <v>4027.6874744673382</v>
      </c>
      <c r="X43" s="330">
        <f>(Data!AR40+Data!DE40)/X$6*100000*X$3</f>
        <v>3331.5406471755673</v>
      </c>
      <c r="Y43" s="330">
        <f>(Data!AS40+Data!DF40)/Y$6*100000*Y$3</f>
        <v>0</v>
      </c>
      <c r="Z43" s="330">
        <f>(Data!AT40+Data!DG40)/Z$6*100000*Z$3</f>
        <v>0</v>
      </c>
      <c r="AA43" s="330">
        <f>(Data!AU40+Data!DH40)/AA$6*100000*AA$3</f>
        <v>3855.6021899820444</v>
      </c>
      <c r="AB43" s="330">
        <f>(Data!AV40+Data!DI40)/AB$6*100000*AB$3</f>
        <v>3429.9097933724343</v>
      </c>
      <c r="AC43" s="330">
        <f>(Data!AW40+Data!DJ40)/AC$6*100000*AC$3</f>
        <v>9964.3182508351056</v>
      </c>
      <c r="AD43" s="330">
        <f>(Data!AX40+Data!DK40)/AD$6*100000*AD$3</f>
        <v>24152.505822479081</v>
      </c>
      <c r="AE43" s="330">
        <f>(Data!AY40+Data!DL40)/AE$6*100000*AE$3</f>
        <v>20442.830650617419</v>
      </c>
      <c r="AF43" s="330">
        <f>(Data!AZ40+Data!DM40)/AF$6*100000*AF$3</f>
        <v>38107.968669386995</v>
      </c>
      <c r="AG43" s="330">
        <f>(Data!BA40+Data!DN40)/AG$6*100000*AG$3</f>
        <v>39874.111732957375</v>
      </c>
      <c r="AH43" s="330">
        <f>(Data!BB40+Data!DO40)/AH$6*100000*AH$3</f>
        <v>55031.73496716439</v>
      </c>
      <c r="AI43" s="330">
        <f>(Data!BC40+Data!DP40)/AI$6*100000*AI$3</f>
        <v>48138.772461302236</v>
      </c>
      <c r="AJ43" s="330">
        <f>(Data!BD40+Data!DQ40)/AJ$6*100000*AJ$3</f>
        <v>25666.452779560172</v>
      </c>
      <c r="AK43" s="330">
        <f>(Data!BE40+Data!DR40)/AK$6*100000*AK$3</f>
        <v>30645.16129032258</v>
      </c>
      <c r="AL43" s="336" t="s">
        <v>353</v>
      </c>
      <c r="AM43" s="330">
        <f t="shared" si="5"/>
        <v>203956.81807436183</v>
      </c>
      <c r="AN43" s="330">
        <f>(Data!AN40+Data!DA40)/AN$6*100000*AN$3</f>
        <v>0</v>
      </c>
      <c r="AO43" s="330">
        <f>(Data!AO40+Data!DB40)/AO$6*100000*AO$3</f>
        <v>0</v>
      </c>
      <c r="AP43" s="330">
        <f>(Data!AP40+Data!DC40)/AP$6*100000*AP$3</f>
        <v>0</v>
      </c>
      <c r="AQ43" s="330">
        <f>(Data!AQ40+Data!DD40)/AQ$6*100000*AQ$3</f>
        <v>5178.4553243151486</v>
      </c>
      <c r="AR43" s="330">
        <f>(Data!AR40+Data!DE40)/AR$6*100000*AR$3</f>
        <v>3807.4750253435059</v>
      </c>
      <c r="AS43" s="330">
        <f>(Data!AS40+Data!DF40)/AS$6*100000*AS$3</f>
        <v>0</v>
      </c>
      <c r="AT43" s="330">
        <f>(Data!AT40+Data!DG40)/AT$6*100000*AT$3</f>
        <v>0</v>
      </c>
      <c r="AU43" s="330">
        <f>(Data!AU40+Data!DH40)/AU$6*100000*AU$3</f>
        <v>3304.8018771274665</v>
      </c>
      <c r="AV43" s="330">
        <f>(Data!AV40+Data!DI40)/AV$6*100000*AV$3</f>
        <v>2939.922680033515</v>
      </c>
      <c r="AW43" s="330">
        <f>(Data!AW40+Data!DJ40)/AW$6*100000*AW$3</f>
        <v>8540.844215001518</v>
      </c>
      <c r="AX43" s="330">
        <f>(Data!AX40+Data!DK40)/AX$6*100000*AX$3</f>
        <v>17251.789873199345</v>
      </c>
      <c r="AY43" s="330">
        <f>(Data!AY40+Data!DL40)/AY$6*100000*AY$3</f>
        <v>13628.55376707828</v>
      </c>
      <c r="AZ43" s="330">
        <f>(Data!AZ40+Data!DM40)/AZ$6*100000*AZ$3</f>
        <v>30486.374935509593</v>
      </c>
      <c r="BA43" s="330">
        <f>(Data!BA40+Data!DN40)/BA$6*100000*BA$3</f>
        <v>29905.583799718032</v>
      </c>
      <c r="BB43" s="330">
        <f>(Data!BB40+Data!DO40)/BB$6*100000*BB$3</f>
        <v>36687.823311442924</v>
      </c>
      <c r="BC43" s="330">
        <f>(Data!BC40+Data!DP40)/BC$6*100000*BC$3</f>
        <v>24069.386230651118</v>
      </c>
      <c r="BD43" s="330">
        <f>(Data!BD40+Data!DQ40)/BD$6*100000*BD$3</f>
        <v>12833.226389780086</v>
      </c>
      <c r="BE43" s="330">
        <f>(Data!BE40+Data!DR40)/BE$6*100000*BE$3</f>
        <v>15322.58064516129</v>
      </c>
    </row>
    <row r="44" spans="1:57" ht="12" customHeight="1">
      <c r="A44" s="30"/>
      <c r="B44" s="146" t="str">
        <f>UPPER(LEFT(TRIM(Data!B41),1)) &amp; MID(TRIM(Data!B41),2,50)</f>
        <v>Mielominės ligos</v>
      </c>
      <c r="C44" s="125" t="str">
        <f>Data!C41</f>
        <v>C90</v>
      </c>
      <c r="D44" s="138">
        <f>Data!E41+Data!BR41</f>
        <v>87</v>
      </c>
      <c r="E44" s="127">
        <f t="shared" si="6"/>
        <v>2.966886477715784</v>
      </c>
      <c r="F44" s="128">
        <f t="shared" si="7"/>
        <v>1.877129427933514</v>
      </c>
      <c r="G44" s="129">
        <f t="shared" si="8"/>
        <v>1.2264768302695674</v>
      </c>
      <c r="H44" s="58"/>
      <c r="I44" s="58"/>
      <c r="J44" s="58"/>
      <c r="K44" s="58"/>
      <c r="L44" s="58"/>
      <c r="M44" s="58"/>
      <c r="N44" s="58"/>
      <c r="O44" s="58"/>
      <c r="P44" s="58"/>
      <c r="Q44" s="311"/>
      <c r="R44" s="336" t="s">
        <v>353</v>
      </c>
      <c r="S44" s="330">
        <f t="shared" si="4"/>
        <v>187712.94279335139</v>
      </c>
      <c r="T44" s="330">
        <f>(Data!AN41+Data!DA41)/T$6*100000*T$3</f>
        <v>0</v>
      </c>
      <c r="U44" s="330">
        <f>(Data!AO41+Data!DB41)/U$6*100000*U$3</f>
        <v>0</v>
      </c>
      <c r="V44" s="330">
        <f>(Data!AP41+Data!DC41)/V$6*100000*V$3</f>
        <v>0</v>
      </c>
      <c r="W44" s="330">
        <f>(Data!AQ41+Data!DD41)/W$6*100000*W$3</f>
        <v>0</v>
      </c>
      <c r="X44" s="330">
        <f>(Data!AR41+Data!DE41)/X$6*100000*X$3</f>
        <v>0</v>
      </c>
      <c r="Y44" s="330">
        <f>(Data!AS41+Data!DF41)/Y$6*100000*Y$3</f>
        <v>3591.7512866166221</v>
      </c>
      <c r="Z44" s="330">
        <f>(Data!AT41+Data!DG41)/Z$6*100000*Z$3</f>
        <v>0</v>
      </c>
      <c r="AA44" s="330">
        <f>(Data!AU41+Data!DH41)/AA$6*100000*AA$3</f>
        <v>0</v>
      </c>
      <c r="AB44" s="330">
        <f>(Data!AV41+Data!DI41)/AB$6*100000*AB$3</f>
        <v>0</v>
      </c>
      <c r="AC44" s="330">
        <f>(Data!AW41+Data!DJ41)/AC$6*100000*AC$3</f>
        <v>6642.8788338900704</v>
      </c>
      <c r="AD44" s="330">
        <f>(Data!AX41+Data!DK41)/AD$6*100000*AD$3</f>
        <v>15095.316139049424</v>
      </c>
      <c r="AE44" s="330">
        <f>(Data!AY41+Data!DL41)/AE$6*100000*AE$3</f>
        <v>32124.448165255948</v>
      </c>
      <c r="AF44" s="330">
        <f>(Data!AZ41+Data!DM41)/AF$6*100000*AF$3</f>
        <v>20519.675437362224</v>
      </c>
      <c r="AG44" s="330">
        <f>(Data!BA41+Data!DN41)/AG$6*100000*AG$3</f>
        <v>22785.206704547072</v>
      </c>
      <c r="AH44" s="330">
        <f>(Data!BB41+Data!DO41)/AH$6*100000*AH$3</f>
        <v>22012.693986865757</v>
      </c>
      <c r="AI44" s="330">
        <f>(Data!BC41+Data!DP41)/AI$6*100000*AI$3</f>
        <v>33199.153421587755</v>
      </c>
      <c r="AJ44" s="330">
        <f>(Data!BD41+Data!DQ41)/AJ$6*100000*AJ$3</f>
        <v>13999.883334305545</v>
      </c>
      <c r="AK44" s="330">
        <f>(Data!BE41+Data!DR41)/AK$6*100000*AK$3</f>
        <v>17741.93548387097</v>
      </c>
      <c r="AL44" s="336" t="s">
        <v>353</v>
      </c>
      <c r="AM44" s="330">
        <f t="shared" si="5"/>
        <v>122647.68302695674</v>
      </c>
      <c r="AN44" s="330">
        <f>(Data!AN41+Data!DA41)/AN$6*100000*AN$3</f>
        <v>0</v>
      </c>
      <c r="AO44" s="330">
        <f>(Data!AO41+Data!DB41)/AO$6*100000*AO$3</f>
        <v>0</v>
      </c>
      <c r="AP44" s="330">
        <f>(Data!AP41+Data!DC41)/AP$6*100000*AP$3</f>
        <v>0</v>
      </c>
      <c r="AQ44" s="330">
        <f>(Data!AQ41+Data!DD41)/AQ$6*100000*AQ$3</f>
        <v>0</v>
      </c>
      <c r="AR44" s="330">
        <f>(Data!AR41+Data!DE41)/AR$6*100000*AR$3</f>
        <v>0</v>
      </c>
      <c r="AS44" s="330">
        <f>(Data!AS41+Data!DF41)/AS$6*100000*AS$3</f>
        <v>4104.8586132761393</v>
      </c>
      <c r="AT44" s="330">
        <f>(Data!AT41+Data!DG41)/AT$6*100000*AT$3</f>
        <v>0</v>
      </c>
      <c r="AU44" s="330">
        <f>(Data!AU41+Data!DH41)/AU$6*100000*AU$3</f>
        <v>0</v>
      </c>
      <c r="AV44" s="330">
        <f>(Data!AV41+Data!DI41)/AV$6*100000*AV$3</f>
        <v>0</v>
      </c>
      <c r="AW44" s="330">
        <f>(Data!AW41+Data!DJ41)/AW$6*100000*AW$3</f>
        <v>5693.8961433343466</v>
      </c>
      <c r="AX44" s="330">
        <f>(Data!AX41+Data!DK41)/AX$6*100000*AX$3</f>
        <v>10782.368670749589</v>
      </c>
      <c r="AY44" s="330">
        <f>(Data!AY41+Data!DL41)/AY$6*100000*AY$3</f>
        <v>21416.298776837299</v>
      </c>
      <c r="AZ44" s="330">
        <f>(Data!AZ41+Data!DM41)/AZ$6*100000*AZ$3</f>
        <v>16415.74034988978</v>
      </c>
      <c r="BA44" s="330">
        <f>(Data!BA41+Data!DN41)/BA$6*100000*BA$3</f>
        <v>17088.905028410303</v>
      </c>
      <c r="BB44" s="330">
        <f>(Data!BB41+Data!DO41)/BB$6*100000*BB$3</f>
        <v>14675.129324577172</v>
      </c>
      <c r="BC44" s="330">
        <f>(Data!BC41+Data!DP41)/BC$6*100000*BC$3</f>
        <v>16599.576710793877</v>
      </c>
      <c r="BD44" s="330">
        <f>(Data!BD41+Data!DQ41)/BD$6*100000*BD$3</f>
        <v>6999.9416671527724</v>
      </c>
      <c r="BE44" s="330">
        <f>(Data!BE41+Data!DR41)/BE$6*100000*BE$3</f>
        <v>8870.9677419354848</v>
      </c>
    </row>
    <row r="45" spans="1:57" ht="12" customHeight="1">
      <c r="A45" s="30"/>
      <c r="B45" s="146" t="str">
        <f>UPPER(LEFT(TRIM(Data!B42),1)) &amp; MID(TRIM(Data!B42),2,50)</f>
        <v>Leukemijos</v>
      </c>
      <c r="C45" s="125" t="str">
        <f>Data!C42</f>
        <v>C91-C95</v>
      </c>
      <c r="D45" s="138">
        <f>Data!E42+Data!BR42</f>
        <v>267</v>
      </c>
      <c r="E45" s="127">
        <f t="shared" si="6"/>
        <v>9.1052722936794748</v>
      </c>
      <c r="F45" s="128">
        <f t="shared" si="7"/>
        <v>5.5448960328444796</v>
      </c>
      <c r="G45" s="129">
        <f t="shared" si="8"/>
        <v>3.7676474473342441</v>
      </c>
      <c r="H45" s="58"/>
      <c r="I45" s="58"/>
      <c r="J45" s="58"/>
      <c r="K45" s="58"/>
      <c r="L45" s="58"/>
      <c r="M45" s="58"/>
      <c r="N45" s="58"/>
      <c r="O45" s="58"/>
      <c r="P45" s="58"/>
      <c r="Q45" s="311"/>
      <c r="R45" s="336" t="s">
        <v>353</v>
      </c>
      <c r="S45" s="330">
        <f t="shared" si="4"/>
        <v>554489.60328444792</v>
      </c>
      <c r="T45" s="330">
        <f>(Data!AN42+Data!DA42)/T$6*100000*T$3</f>
        <v>5305.3916042177862</v>
      </c>
      <c r="U45" s="330">
        <f>(Data!AO42+Data!DB42)/U$6*100000*U$3</f>
        <v>5115.6876214975809</v>
      </c>
      <c r="V45" s="330">
        <f>(Data!AP42+Data!DC42)/V$6*100000*V$3</f>
        <v>4994.6129531719353</v>
      </c>
      <c r="W45" s="330">
        <f>(Data!AQ42+Data!DD42)/W$6*100000*W$3</f>
        <v>4027.6874744673382</v>
      </c>
      <c r="X45" s="330">
        <f>(Data!AR42+Data!DE42)/X$6*100000*X$3</f>
        <v>6663.0812943511346</v>
      </c>
      <c r="Y45" s="330">
        <f>(Data!AS42+Data!DF42)/Y$6*100000*Y$3</f>
        <v>7183.5025732332442</v>
      </c>
      <c r="Z45" s="330">
        <f>(Data!AT42+Data!DG42)/Z$6*100000*Z$3</f>
        <v>7927.8789526139344</v>
      </c>
      <c r="AA45" s="330">
        <f>(Data!AU42+Data!DH42)/AA$6*100000*AA$3</f>
        <v>7711.2043799640887</v>
      </c>
      <c r="AB45" s="330">
        <f>(Data!AV42+Data!DI42)/AB$6*100000*AB$3</f>
        <v>10289.729380117304</v>
      </c>
      <c r="AC45" s="330">
        <f>(Data!AW42+Data!DJ42)/AC$6*100000*AC$3</f>
        <v>13285.757667780141</v>
      </c>
      <c r="AD45" s="330">
        <f>(Data!AX42+Data!DK42)/AD$6*100000*AD$3</f>
        <v>33209.695505908734</v>
      </c>
      <c r="AE45" s="330">
        <f>(Data!AY42+Data!DL42)/AE$6*100000*AE$3</f>
        <v>14602.021893298159</v>
      </c>
      <c r="AF45" s="330">
        <f>(Data!AZ42+Data!DM42)/AF$6*100000*AF$3</f>
        <v>55696.261901411752</v>
      </c>
      <c r="AG45" s="330">
        <f>(Data!BA42+Data!DN42)/AG$6*100000*AG$3</f>
        <v>71203.770951709594</v>
      </c>
      <c r="AH45" s="330">
        <f>(Data!BB42+Data!DO42)/AH$6*100000*AH$3</f>
        <v>92453.314744836185</v>
      </c>
      <c r="AI45" s="330">
        <f>(Data!BC42+Data!DP42)/AI$6*100000*AI$3</f>
        <v>89637.714238286921</v>
      </c>
      <c r="AJ45" s="330">
        <f>(Data!BD42+Data!DQ42)/AJ$6*100000*AJ$3</f>
        <v>60666.161115324045</v>
      </c>
      <c r="AK45" s="330">
        <f>(Data!BE42+Data!DR42)/AK$6*100000*AK$3</f>
        <v>64516.129032258061</v>
      </c>
      <c r="AL45" s="336" t="s">
        <v>353</v>
      </c>
      <c r="AM45" s="330">
        <f t="shared" si="5"/>
        <v>376764.74473342439</v>
      </c>
      <c r="AN45" s="330">
        <f>(Data!AN42+Data!DA42)/AN$6*100000*AN$3</f>
        <v>7958.0874063266792</v>
      </c>
      <c r="AO45" s="330">
        <f>(Data!AO42+Data!DB42)/AO$6*100000*AO$3</f>
        <v>7308.1251735679734</v>
      </c>
      <c r="AP45" s="330">
        <f>(Data!AP42+Data!DC42)/AP$6*100000*AP$3</f>
        <v>6421.6452255067743</v>
      </c>
      <c r="AQ45" s="330">
        <f>(Data!AQ42+Data!DD42)/AQ$6*100000*AQ$3</f>
        <v>5178.4553243151486</v>
      </c>
      <c r="AR45" s="330">
        <f>(Data!AR42+Data!DE42)/AR$6*100000*AR$3</f>
        <v>7614.9500506870118</v>
      </c>
      <c r="AS45" s="330">
        <f>(Data!AS42+Data!DF42)/AS$6*100000*AS$3</f>
        <v>8209.7172265522786</v>
      </c>
      <c r="AT45" s="330">
        <f>(Data!AT42+Data!DG42)/AT$6*100000*AT$3</f>
        <v>6795.3248165262294</v>
      </c>
      <c r="AU45" s="330">
        <f>(Data!AU42+Data!DH42)/AU$6*100000*AU$3</f>
        <v>6609.6037542549329</v>
      </c>
      <c r="AV45" s="330">
        <f>(Data!AV42+Data!DI42)/AV$6*100000*AV$3</f>
        <v>8819.7680401005455</v>
      </c>
      <c r="AW45" s="330">
        <f>(Data!AW42+Data!DJ42)/AW$6*100000*AW$3</f>
        <v>11387.792286668693</v>
      </c>
      <c r="AX45" s="330">
        <f>(Data!AX42+Data!DK42)/AX$6*100000*AX$3</f>
        <v>23721.211075649098</v>
      </c>
      <c r="AY45" s="330">
        <f>(Data!AY42+Data!DL42)/AY$6*100000*AY$3</f>
        <v>9734.6812621987738</v>
      </c>
      <c r="AZ45" s="330">
        <f>(Data!AZ42+Data!DM42)/AZ$6*100000*AZ$3</f>
        <v>44557.009521129403</v>
      </c>
      <c r="BA45" s="330">
        <f>(Data!BA42+Data!DN42)/BA$6*100000*BA$3</f>
        <v>53402.828213782203</v>
      </c>
      <c r="BB45" s="330">
        <f>(Data!BB42+Data!DO42)/BB$6*100000*BB$3</f>
        <v>61635.543163224131</v>
      </c>
      <c r="BC45" s="330">
        <f>(Data!BC42+Data!DP42)/BC$6*100000*BC$3</f>
        <v>44818.85711914346</v>
      </c>
      <c r="BD45" s="330">
        <f>(Data!BD42+Data!DQ42)/BD$6*100000*BD$3</f>
        <v>30333.080557662022</v>
      </c>
      <c r="BE45" s="330">
        <f>(Data!BE42+Data!DR42)/BE$6*100000*BE$3</f>
        <v>32258.06451612903</v>
      </c>
    </row>
    <row r="46" spans="1:57" ht="12" customHeight="1">
      <c r="A46" s="30"/>
      <c r="B46" s="146" t="str">
        <f>UPPER(LEFT(TRIM(Data!B43),1)) &amp; MID(TRIM(Data!B43),2,50)</f>
        <v>Kiti limfinio, kraujodaros audinių</v>
      </c>
      <c r="C46" s="125" t="str">
        <f>Data!C43</f>
        <v>C88, C96</v>
      </c>
      <c r="D46" s="138">
        <f>Data!E43+Data!BR43</f>
        <v>1</v>
      </c>
      <c r="E46" s="127">
        <f t="shared" si="6"/>
        <v>3.4102143422020503E-2</v>
      </c>
      <c r="F46" s="128">
        <f t="shared" si="7"/>
        <v>2.9204043786596318E-2</v>
      </c>
      <c r="G46" s="129">
        <f t="shared" si="8"/>
        <v>1.9469362524397547E-2</v>
      </c>
      <c r="H46" s="58"/>
      <c r="I46" s="58"/>
      <c r="J46" s="58"/>
      <c r="K46" s="58"/>
      <c r="L46" s="58"/>
      <c r="M46" s="58"/>
      <c r="N46" s="58"/>
      <c r="O46" s="58"/>
      <c r="P46" s="58"/>
      <c r="Q46" s="311"/>
      <c r="R46" s="336" t="s">
        <v>353</v>
      </c>
      <c r="S46" s="330">
        <f t="shared" si="4"/>
        <v>2920.4043786596317</v>
      </c>
      <c r="T46" s="330">
        <f>(Data!AN43+Data!DA43)/T$6*100000*T$3</f>
        <v>0</v>
      </c>
      <c r="U46" s="330">
        <f>(Data!AO43+Data!DB43)/U$6*100000*U$3</f>
        <v>0</v>
      </c>
      <c r="V46" s="330">
        <f>(Data!AP43+Data!DC43)/V$6*100000*V$3</f>
        <v>0</v>
      </c>
      <c r="W46" s="330">
        <f>(Data!AQ43+Data!DD43)/W$6*100000*W$3</f>
        <v>0</v>
      </c>
      <c r="X46" s="330">
        <f>(Data!AR43+Data!DE43)/X$6*100000*X$3</f>
        <v>0</v>
      </c>
      <c r="Y46" s="330">
        <f>(Data!AS43+Data!DF43)/Y$6*100000*Y$3</f>
        <v>0</v>
      </c>
      <c r="Z46" s="330">
        <f>(Data!AT43+Data!DG43)/Z$6*100000*Z$3</f>
        <v>0</v>
      </c>
      <c r="AA46" s="330">
        <f>(Data!AU43+Data!DH43)/AA$6*100000*AA$3</f>
        <v>0</v>
      </c>
      <c r="AB46" s="330">
        <f>(Data!AV43+Data!DI43)/AB$6*100000*AB$3</f>
        <v>0</v>
      </c>
      <c r="AC46" s="330">
        <f>(Data!AW43+Data!DJ43)/AC$6*100000*AC$3</f>
        <v>0</v>
      </c>
      <c r="AD46" s="330">
        <f>(Data!AX43+Data!DK43)/AD$6*100000*AD$3</f>
        <v>0</v>
      </c>
      <c r="AE46" s="330">
        <f>(Data!AY43+Data!DL43)/AE$6*100000*AE$3</f>
        <v>2920.4043786596317</v>
      </c>
      <c r="AF46" s="330">
        <f>(Data!AZ43+Data!DM43)/AF$6*100000*AF$3</f>
        <v>0</v>
      </c>
      <c r="AG46" s="330">
        <f>(Data!BA43+Data!DN43)/AG$6*100000*AG$3</f>
        <v>0</v>
      </c>
      <c r="AH46" s="330">
        <f>(Data!BB43+Data!DO43)/AH$6*100000*AH$3</f>
        <v>0</v>
      </c>
      <c r="AI46" s="330">
        <f>(Data!BC43+Data!DP43)/AI$6*100000*AI$3</f>
        <v>0</v>
      </c>
      <c r="AJ46" s="330">
        <f>(Data!BD43+Data!DQ43)/AJ$6*100000*AJ$3</f>
        <v>0</v>
      </c>
      <c r="AK46" s="330">
        <f>(Data!BE43+Data!DR43)/AK$6*100000*AK$3</f>
        <v>0</v>
      </c>
      <c r="AL46" s="336" t="s">
        <v>353</v>
      </c>
      <c r="AM46" s="330">
        <f t="shared" si="5"/>
        <v>1946.9362524397545</v>
      </c>
      <c r="AN46" s="330">
        <f>(Data!AN43+Data!DA43)/AN$6*100000*AN$3</f>
        <v>0</v>
      </c>
      <c r="AO46" s="330">
        <f>(Data!AO43+Data!DB43)/AO$6*100000*AO$3</f>
        <v>0</v>
      </c>
      <c r="AP46" s="330">
        <f>(Data!AP43+Data!DC43)/AP$6*100000*AP$3</f>
        <v>0</v>
      </c>
      <c r="AQ46" s="330">
        <f>(Data!AQ43+Data!DD43)/AQ$6*100000*AQ$3</f>
        <v>0</v>
      </c>
      <c r="AR46" s="330">
        <f>(Data!AR43+Data!DE43)/AR$6*100000*AR$3</f>
        <v>0</v>
      </c>
      <c r="AS46" s="330">
        <f>(Data!AS43+Data!DF43)/AS$6*100000*AS$3</f>
        <v>0</v>
      </c>
      <c r="AT46" s="330">
        <f>(Data!AT43+Data!DG43)/AT$6*100000*AT$3</f>
        <v>0</v>
      </c>
      <c r="AU46" s="330">
        <f>(Data!AU43+Data!DH43)/AU$6*100000*AU$3</f>
        <v>0</v>
      </c>
      <c r="AV46" s="330">
        <f>(Data!AV43+Data!DI43)/AV$6*100000*AV$3</f>
        <v>0</v>
      </c>
      <c r="AW46" s="330">
        <f>(Data!AW43+Data!DJ43)/AW$6*100000*AW$3</f>
        <v>0</v>
      </c>
      <c r="AX46" s="330">
        <f>(Data!AX43+Data!DK43)/AX$6*100000*AX$3</f>
        <v>0</v>
      </c>
      <c r="AY46" s="330">
        <f>(Data!AY43+Data!DL43)/AY$6*100000*AY$3</f>
        <v>1946.9362524397545</v>
      </c>
      <c r="AZ46" s="330">
        <f>(Data!AZ43+Data!DM43)/AZ$6*100000*AZ$3</f>
        <v>0</v>
      </c>
      <c r="BA46" s="330">
        <f>(Data!BA43+Data!DN43)/BA$6*100000*BA$3</f>
        <v>0</v>
      </c>
      <c r="BB46" s="330">
        <f>(Data!BB43+Data!DO43)/BB$6*100000*BB$3</f>
        <v>0</v>
      </c>
      <c r="BC46" s="330">
        <f>(Data!BC43+Data!DP43)/BC$6*100000*BC$3</f>
        <v>0</v>
      </c>
      <c r="BD46" s="330">
        <f>(Data!BD43+Data!DQ43)/BD$6*100000*BD$3</f>
        <v>0</v>
      </c>
      <c r="BE46" s="330">
        <f>(Data!BE43+Data!DR43)/BE$6*100000*BE$3</f>
        <v>0</v>
      </c>
    </row>
    <row r="47" spans="1:57" ht="24" customHeight="1">
      <c r="A47" s="30"/>
      <c r="B47" s="134"/>
      <c r="C47" s="134"/>
      <c r="D47" s="135"/>
      <c r="E47" s="136"/>
      <c r="F47" s="137"/>
      <c r="G47" s="137"/>
      <c r="H47" s="58"/>
      <c r="I47" s="58"/>
      <c r="J47" s="58"/>
      <c r="K47" s="58"/>
      <c r="L47" s="58"/>
      <c r="M47" s="58"/>
      <c r="N47" s="58"/>
      <c r="O47" s="58"/>
      <c r="P47" s="58"/>
      <c r="Q47" s="311"/>
      <c r="R47" s="336"/>
      <c r="S47" s="330"/>
      <c r="T47" s="330"/>
      <c r="U47" s="330"/>
      <c r="V47" s="330"/>
      <c r="W47" s="330"/>
      <c r="X47" s="330"/>
      <c r="Y47" s="330"/>
      <c r="Z47" s="330"/>
      <c r="AA47" s="330"/>
      <c r="AB47" s="330"/>
      <c r="AC47" s="330"/>
      <c r="AD47" s="330"/>
      <c r="AE47" s="330"/>
      <c r="AF47" s="330"/>
      <c r="AG47" s="330"/>
      <c r="AH47" s="330"/>
      <c r="AI47" s="330"/>
      <c r="AJ47" s="330"/>
      <c r="AK47" s="330"/>
      <c r="AL47" s="336"/>
      <c r="AM47" s="330"/>
      <c r="AN47" s="330"/>
      <c r="AO47" s="330"/>
      <c r="AP47" s="330"/>
      <c r="AQ47" s="330"/>
      <c r="AR47" s="330"/>
      <c r="AS47" s="330"/>
      <c r="AT47" s="330"/>
      <c r="AU47" s="330"/>
      <c r="AV47" s="330"/>
      <c r="AW47" s="330"/>
      <c r="AX47" s="330"/>
      <c r="AY47" s="330"/>
      <c r="AZ47" s="330"/>
      <c r="BA47" s="330"/>
      <c r="BB47" s="330"/>
      <c r="BC47" s="330"/>
      <c r="BD47" s="330"/>
      <c r="BE47" s="330"/>
    </row>
    <row r="48" spans="1:57" ht="12" customHeight="1">
      <c r="A48" s="30"/>
      <c r="B48" s="141" t="str">
        <f>UPPER(LEFT(TRIM(Data!B44),1)) &amp; MID(TRIM(Data!B44),2,50)</f>
        <v>Melanoma in situ</v>
      </c>
      <c r="C48" s="141" t="str">
        <f>Data!C44</f>
        <v>D03</v>
      </c>
      <c r="D48" s="142">
        <f>Data!E44</f>
        <v>0</v>
      </c>
      <c r="E48" s="143">
        <f t="shared" si="2"/>
        <v>0</v>
      </c>
      <c r="F48" s="144">
        <f t="shared" si="3"/>
        <v>0</v>
      </c>
      <c r="G48" s="144">
        <f t="shared" ref="G48" si="14">AM48/$AM$3</f>
        <v>0</v>
      </c>
      <c r="H48" s="58"/>
      <c r="I48" s="58"/>
      <c r="J48" s="58"/>
      <c r="K48" s="58"/>
      <c r="L48" s="58"/>
      <c r="M48" s="58"/>
      <c r="N48" s="58"/>
      <c r="O48" s="58"/>
      <c r="P48" s="58"/>
      <c r="Q48" s="311"/>
      <c r="R48" s="336" t="s">
        <v>353</v>
      </c>
      <c r="S48" s="330">
        <f t="shared" si="4"/>
        <v>0</v>
      </c>
      <c r="T48" s="330">
        <f>(Data!AN44+Data!DA44)/T$6*100000*T$3</f>
        <v>0</v>
      </c>
      <c r="U48" s="330">
        <f>(Data!AO44+Data!DB44)/U$6*100000*U$3</f>
        <v>0</v>
      </c>
      <c r="V48" s="330">
        <f>(Data!AP44+Data!DC44)/V$6*100000*V$3</f>
        <v>0</v>
      </c>
      <c r="W48" s="330">
        <f>(Data!AQ44+Data!DD44)/W$6*100000*W$3</f>
        <v>0</v>
      </c>
      <c r="X48" s="330">
        <f>(Data!AR44+Data!DE44)/X$6*100000*X$3</f>
        <v>0</v>
      </c>
      <c r="Y48" s="330">
        <f>(Data!AS44+Data!DF44)/Y$6*100000*Y$3</f>
        <v>0</v>
      </c>
      <c r="Z48" s="330">
        <f>(Data!AT44+Data!DG44)/Z$6*100000*Z$3</f>
        <v>0</v>
      </c>
      <c r="AA48" s="330">
        <f>(Data!AU44+Data!DH44)/AA$6*100000*AA$3</f>
        <v>0</v>
      </c>
      <c r="AB48" s="330">
        <f>(Data!AV44+Data!DI44)/AB$6*100000*AB$3</f>
        <v>0</v>
      </c>
      <c r="AC48" s="330">
        <f>(Data!AW44+Data!DJ44)/AC$6*100000*AC$3</f>
        <v>0</v>
      </c>
      <c r="AD48" s="330">
        <f>(Data!AX44+Data!DK44)/AD$6*100000*AD$3</f>
        <v>0</v>
      </c>
      <c r="AE48" s="330">
        <f>(Data!AY44+Data!DL44)/AE$6*100000*AE$3</f>
        <v>0</v>
      </c>
      <c r="AF48" s="330">
        <f>(Data!AZ44+Data!DM44)/AF$6*100000*AF$3</f>
        <v>0</v>
      </c>
      <c r="AG48" s="330">
        <f>(Data!BA44+Data!DN44)/AG$6*100000*AG$3</f>
        <v>0</v>
      </c>
      <c r="AH48" s="330">
        <f>(Data!BB44+Data!DO44)/AH$6*100000*AH$3</f>
        <v>0</v>
      </c>
      <c r="AI48" s="330">
        <f>(Data!BC44+Data!DP44)/AI$6*100000*AI$3</f>
        <v>0</v>
      </c>
      <c r="AJ48" s="330">
        <f>(Data!BD44+Data!DQ44)/AJ$6*100000*AJ$3</f>
        <v>0</v>
      </c>
      <c r="AK48" s="330">
        <f>(Data!BE44+Data!DR44)/AK$6*100000*AK$3</f>
        <v>0</v>
      </c>
      <c r="AL48" s="336" t="s">
        <v>353</v>
      </c>
      <c r="AM48" s="330">
        <f t="shared" si="5"/>
        <v>0</v>
      </c>
      <c r="AN48" s="330">
        <f>(Data!AN44+Data!DA44)/AN$6*100000*AN$3</f>
        <v>0</v>
      </c>
      <c r="AO48" s="330">
        <f>(Data!AO44+Data!DB44)/AO$6*100000*AO$3</f>
        <v>0</v>
      </c>
      <c r="AP48" s="330">
        <f>(Data!AP44+Data!DC44)/AP$6*100000*AP$3</f>
        <v>0</v>
      </c>
      <c r="AQ48" s="330">
        <f>(Data!AQ44+Data!DD44)/AQ$6*100000*AQ$3</f>
        <v>0</v>
      </c>
      <c r="AR48" s="330">
        <f>(Data!AR44+Data!DE44)/AR$6*100000*AR$3</f>
        <v>0</v>
      </c>
      <c r="AS48" s="330">
        <f>(Data!AS44+Data!DF44)/AS$6*100000*AS$3</f>
        <v>0</v>
      </c>
      <c r="AT48" s="330">
        <f>(Data!AT44+Data!DG44)/AT$6*100000*AT$3</f>
        <v>0</v>
      </c>
      <c r="AU48" s="330">
        <f>(Data!AU44+Data!DH44)/AU$6*100000*AU$3</f>
        <v>0</v>
      </c>
      <c r="AV48" s="330">
        <f>(Data!AV44+Data!DI44)/AV$6*100000*AV$3</f>
        <v>0</v>
      </c>
      <c r="AW48" s="330">
        <f>(Data!AW44+Data!DJ44)/AW$6*100000*AW$3</f>
        <v>0</v>
      </c>
      <c r="AX48" s="330">
        <f>(Data!AX44+Data!DK44)/AX$6*100000*AX$3</f>
        <v>0</v>
      </c>
      <c r="AY48" s="330">
        <f>(Data!AY44+Data!DL44)/AY$6*100000*AY$3</f>
        <v>0</v>
      </c>
      <c r="AZ48" s="330">
        <f>(Data!AZ44+Data!DM44)/AZ$6*100000*AZ$3</f>
        <v>0</v>
      </c>
      <c r="BA48" s="330">
        <f>(Data!BA44+Data!DN44)/BA$6*100000*BA$3</f>
        <v>0</v>
      </c>
      <c r="BB48" s="330">
        <f>(Data!BB44+Data!DO44)/BB$6*100000*BB$3</f>
        <v>0</v>
      </c>
      <c r="BC48" s="330">
        <f>(Data!BC44+Data!DP44)/BC$6*100000*BC$3</f>
        <v>0</v>
      </c>
      <c r="BD48" s="330">
        <f>(Data!BD44+Data!DQ44)/BD$6*100000*BD$3</f>
        <v>0</v>
      </c>
      <c r="BE48" s="330">
        <f>(Data!BE44+Data!DR44)/BE$6*100000*BE$3</f>
        <v>0</v>
      </c>
    </row>
    <row r="49" spans="1:69" ht="12" customHeight="1">
      <c r="A49" s="30"/>
      <c r="B49" s="141" t="str">
        <f>UPPER(LEFT(TRIM(Data!B45),1)) &amp; MID(TRIM(Data!B45),2,50)</f>
        <v>Krūties navikai in situ</v>
      </c>
      <c r="C49" s="141" t="str">
        <f>Data!C45</f>
        <v>D05</v>
      </c>
      <c r="D49" s="142">
        <f>Data!E45</f>
        <v>0</v>
      </c>
      <c r="E49" s="143">
        <f t="shared" ref="E49:E55" si="15">D49/$S$6*100000</f>
        <v>0</v>
      </c>
      <c r="F49" s="144">
        <f t="shared" ref="F49:F55" si="16">S49/$S$3</f>
        <v>0</v>
      </c>
      <c r="G49" s="144">
        <f t="shared" ref="G49:G55" si="17">AM49/$AM$3</f>
        <v>0</v>
      </c>
      <c r="H49" s="58"/>
      <c r="I49" s="58"/>
      <c r="J49" s="58"/>
      <c r="K49" s="58"/>
      <c r="L49" s="58"/>
      <c r="M49" s="58"/>
      <c r="N49" s="58"/>
      <c r="O49" s="58"/>
      <c r="P49" s="58"/>
      <c r="Q49" s="311"/>
      <c r="R49" s="336" t="s">
        <v>353</v>
      </c>
      <c r="S49" s="330">
        <f t="shared" si="4"/>
        <v>0</v>
      </c>
      <c r="T49" s="330">
        <f>(Data!AN45+Data!DA45)/T$6*100000*T$3</f>
        <v>0</v>
      </c>
      <c r="U49" s="330">
        <f>(Data!AO45+Data!DB45)/U$6*100000*U$3</f>
        <v>0</v>
      </c>
      <c r="V49" s="330">
        <f>(Data!AP45+Data!DC45)/V$6*100000*V$3</f>
        <v>0</v>
      </c>
      <c r="W49" s="330">
        <f>(Data!AQ45+Data!DD45)/W$6*100000*W$3</f>
        <v>0</v>
      </c>
      <c r="X49" s="330">
        <f>(Data!AR45+Data!DE45)/X$6*100000*X$3</f>
        <v>0</v>
      </c>
      <c r="Y49" s="330">
        <f>(Data!AS45+Data!DF45)/Y$6*100000*Y$3</f>
        <v>0</v>
      </c>
      <c r="Z49" s="330">
        <f>(Data!AT45+Data!DG45)/Z$6*100000*Z$3</f>
        <v>0</v>
      </c>
      <c r="AA49" s="330">
        <f>(Data!AU45+Data!DH45)/AA$6*100000*AA$3</f>
        <v>0</v>
      </c>
      <c r="AB49" s="330">
        <f>(Data!AV45+Data!DI45)/AB$6*100000*AB$3</f>
        <v>0</v>
      </c>
      <c r="AC49" s="330">
        <f>(Data!AW45+Data!DJ45)/AC$6*100000*AC$3</f>
        <v>0</v>
      </c>
      <c r="AD49" s="330">
        <f>(Data!AX45+Data!DK45)/AD$6*100000*AD$3</f>
        <v>0</v>
      </c>
      <c r="AE49" s="330">
        <f>(Data!AY45+Data!DL45)/AE$6*100000*AE$3</f>
        <v>0</v>
      </c>
      <c r="AF49" s="330">
        <f>(Data!AZ45+Data!DM45)/AF$6*100000*AF$3</f>
        <v>0</v>
      </c>
      <c r="AG49" s="330">
        <f>(Data!BA45+Data!DN45)/AG$6*100000*AG$3</f>
        <v>0</v>
      </c>
      <c r="AH49" s="330">
        <f>(Data!BB45+Data!DO45)/AH$6*100000*AH$3</f>
        <v>0</v>
      </c>
      <c r="AI49" s="330">
        <f>(Data!BC45+Data!DP45)/AI$6*100000*AI$3</f>
        <v>0</v>
      </c>
      <c r="AJ49" s="330">
        <f>(Data!BD45+Data!DQ45)/AJ$6*100000*AJ$3</f>
        <v>0</v>
      </c>
      <c r="AK49" s="330">
        <f>(Data!BE45+Data!DR45)/AK$6*100000*AK$3</f>
        <v>0</v>
      </c>
      <c r="AL49" s="336" t="s">
        <v>353</v>
      </c>
      <c r="AM49" s="330">
        <f t="shared" si="5"/>
        <v>0</v>
      </c>
      <c r="AN49" s="330">
        <f>(Data!AN45+Data!DA45)/AN$6*100000*AN$3</f>
        <v>0</v>
      </c>
      <c r="AO49" s="330">
        <f>(Data!AO45+Data!DB45)/AO$6*100000*AO$3</f>
        <v>0</v>
      </c>
      <c r="AP49" s="330">
        <f>(Data!AP45+Data!DC45)/AP$6*100000*AP$3</f>
        <v>0</v>
      </c>
      <c r="AQ49" s="330">
        <f>(Data!AQ45+Data!DD45)/AQ$6*100000*AQ$3</f>
        <v>0</v>
      </c>
      <c r="AR49" s="330">
        <f>(Data!AR45+Data!DE45)/AR$6*100000*AR$3</f>
        <v>0</v>
      </c>
      <c r="AS49" s="330">
        <f>(Data!AS45+Data!DF45)/AS$6*100000*AS$3</f>
        <v>0</v>
      </c>
      <c r="AT49" s="330">
        <f>(Data!AT45+Data!DG45)/AT$6*100000*AT$3</f>
        <v>0</v>
      </c>
      <c r="AU49" s="330">
        <f>(Data!AU45+Data!DH45)/AU$6*100000*AU$3</f>
        <v>0</v>
      </c>
      <c r="AV49" s="330">
        <f>(Data!AV45+Data!DI45)/AV$6*100000*AV$3</f>
        <v>0</v>
      </c>
      <c r="AW49" s="330">
        <f>(Data!AW45+Data!DJ45)/AW$6*100000*AW$3</f>
        <v>0</v>
      </c>
      <c r="AX49" s="330">
        <f>(Data!AX45+Data!DK45)/AX$6*100000*AX$3</f>
        <v>0</v>
      </c>
      <c r="AY49" s="330">
        <f>(Data!AY45+Data!DL45)/AY$6*100000*AY$3</f>
        <v>0</v>
      </c>
      <c r="AZ49" s="330">
        <f>(Data!AZ45+Data!DM45)/AZ$6*100000*AZ$3</f>
        <v>0</v>
      </c>
      <c r="BA49" s="330">
        <f>(Data!BA45+Data!DN45)/BA$6*100000*BA$3</f>
        <v>0</v>
      </c>
      <c r="BB49" s="330">
        <f>(Data!BB45+Data!DO45)/BB$6*100000*BB$3</f>
        <v>0</v>
      </c>
      <c r="BC49" s="330">
        <f>(Data!BC45+Data!DP45)/BC$6*100000*BC$3</f>
        <v>0</v>
      </c>
      <c r="BD49" s="330">
        <f>(Data!BD45+Data!DQ45)/BD$6*100000*BD$3</f>
        <v>0</v>
      </c>
      <c r="BE49" s="330">
        <f>(Data!BE45+Data!DR45)/BE$6*100000*BE$3</f>
        <v>0</v>
      </c>
    </row>
    <row r="50" spans="1:69" s="210" customFormat="1" ht="12" customHeight="1">
      <c r="A50" s="30"/>
      <c r="B50" s="141" t="str">
        <f>UPPER(LEFT(TRIM(Data!B46),1)) &amp; MID(TRIM(Data!B46),2,50)</f>
        <v>Gimdos kaklelio in situ</v>
      </c>
      <c r="C50" s="141" t="str">
        <f>Data!C46</f>
        <v>D06</v>
      </c>
      <c r="D50" s="142">
        <f>Lent10m!D46</f>
        <v>0</v>
      </c>
      <c r="E50" s="143">
        <f>Lent10m!E46</f>
        <v>0</v>
      </c>
      <c r="F50" s="144">
        <f>Lent10m!F46</f>
        <v>0</v>
      </c>
      <c r="G50" s="144">
        <f>Lent10m!G46</f>
        <v>0</v>
      </c>
      <c r="H50" s="58"/>
      <c r="I50" s="58"/>
      <c r="J50" s="58"/>
      <c r="K50" s="58"/>
      <c r="L50" s="58"/>
      <c r="M50" s="58"/>
      <c r="N50" s="58"/>
      <c r="O50" s="58"/>
      <c r="P50" s="58"/>
      <c r="Q50" s="338"/>
      <c r="R50" s="339"/>
      <c r="S50" s="340"/>
      <c r="T50" s="340"/>
      <c r="U50" s="340"/>
      <c r="V50" s="340"/>
      <c r="W50" s="340"/>
      <c r="X50" s="340"/>
      <c r="Y50" s="340"/>
      <c r="Z50" s="340"/>
      <c r="AA50" s="340"/>
      <c r="AB50" s="340"/>
      <c r="AC50" s="340"/>
      <c r="AD50" s="340"/>
      <c r="AE50" s="340"/>
      <c r="AF50" s="340"/>
      <c r="AG50" s="340"/>
      <c r="AH50" s="340"/>
      <c r="AI50" s="340"/>
      <c r="AJ50" s="340"/>
      <c r="AK50" s="340"/>
      <c r="AL50" s="339"/>
      <c r="AM50" s="340"/>
      <c r="AN50" s="340"/>
      <c r="AO50" s="340"/>
      <c r="AP50" s="340"/>
      <c r="AQ50" s="340"/>
      <c r="AR50" s="340"/>
      <c r="AS50" s="340"/>
      <c r="AT50" s="340"/>
      <c r="AU50" s="340"/>
      <c r="AV50" s="340"/>
      <c r="AW50" s="340"/>
      <c r="AX50" s="340"/>
      <c r="AY50" s="340"/>
      <c r="AZ50" s="340"/>
      <c r="BA50" s="340"/>
      <c r="BB50" s="340"/>
      <c r="BC50" s="340"/>
      <c r="BD50" s="340"/>
      <c r="BE50" s="340"/>
      <c r="BF50" s="75"/>
      <c r="BG50" s="75"/>
      <c r="BH50" s="75"/>
      <c r="BI50" s="75"/>
      <c r="BJ50" s="75"/>
      <c r="BK50" s="75"/>
      <c r="BL50" s="75"/>
      <c r="BM50" s="75"/>
      <c r="BN50" s="75"/>
      <c r="BO50" s="75"/>
      <c r="BP50" s="75"/>
      <c r="BQ50" s="75"/>
    </row>
    <row r="51" spans="1:69" ht="12" customHeight="1">
      <c r="A51" s="30"/>
      <c r="B51" s="141" t="str">
        <f>UPPER(LEFT(TRIM(Data!B47),1)) &amp; MID(TRIM(Data!B47),2,50)</f>
        <v>Šlapimo pūslės in situ</v>
      </c>
      <c r="C51" s="141" t="str">
        <f>Data!C47</f>
        <v>D09.0</v>
      </c>
      <c r="D51" s="142">
        <f>Data!E47</f>
        <v>0</v>
      </c>
      <c r="E51" s="143">
        <f t="shared" si="15"/>
        <v>0</v>
      </c>
      <c r="F51" s="144">
        <f t="shared" si="16"/>
        <v>0</v>
      </c>
      <c r="G51" s="144">
        <f t="shared" si="17"/>
        <v>0</v>
      </c>
      <c r="H51" s="58"/>
      <c r="I51" s="58"/>
      <c r="J51" s="58"/>
      <c r="K51" s="58"/>
      <c r="L51" s="58"/>
      <c r="M51" s="58"/>
      <c r="N51" s="58"/>
      <c r="O51" s="58"/>
      <c r="P51" s="58"/>
      <c r="Q51" s="338"/>
      <c r="R51" s="339" t="s">
        <v>353</v>
      </c>
      <c r="S51" s="340">
        <f t="shared" si="4"/>
        <v>0</v>
      </c>
      <c r="T51" s="340">
        <f>(Data!AN47+Data!DA47)/T$6*100000*T$3</f>
        <v>0</v>
      </c>
      <c r="U51" s="340">
        <f>(Data!AO47+Data!DB47)/U$6*100000*U$3</f>
        <v>0</v>
      </c>
      <c r="V51" s="340">
        <f>(Data!AP47+Data!DC47)/V$6*100000*V$3</f>
        <v>0</v>
      </c>
      <c r="W51" s="340">
        <f>(Data!AQ47+Data!DD47)/W$6*100000*W$3</f>
        <v>0</v>
      </c>
      <c r="X51" s="340">
        <f>(Data!AR47+Data!DE47)/X$6*100000*X$3</f>
        <v>0</v>
      </c>
      <c r="Y51" s="340">
        <f>(Data!AS47+Data!DF47)/Y$6*100000*Y$3</f>
        <v>0</v>
      </c>
      <c r="Z51" s="340">
        <f>(Data!AT47+Data!DG47)/Z$6*100000*Z$3</f>
        <v>0</v>
      </c>
      <c r="AA51" s="340">
        <f>(Data!AU47+Data!DH47)/AA$6*100000*AA$3</f>
        <v>0</v>
      </c>
      <c r="AB51" s="340">
        <f>(Data!AV47+Data!DI47)/AB$6*100000*AB$3</f>
        <v>0</v>
      </c>
      <c r="AC51" s="340">
        <f>(Data!AW47+Data!DJ47)/AC$6*100000*AC$3</f>
        <v>0</v>
      </c>
      <c r="AD51" s="340">
        <f>(Data!AX47+Data!DK47)/AD$6*100000*AD$3</f>
        <v>0</v>
      </c>
      <c r="AE51" s="340">
        <f>(Data!AY47+Data!DL47)/AE$6*100000*AE$3</f>
        <v>0</v>
      </c>
      <c r="AF51" s="340">
        <f>(Data!AZ47+Data!DM47)/AF$6*100000*AF$3</f>
        <v>0</v>
      </c>
      <c r="AG51" s="340">
        <f>(Data!BA47+Data!DN47)/AG$6*100000*AG$3</f>
        <v>0</v>
      </c>
      <c r="AH51" s="340">
        <f>(Data!BB47+Data!DO47)/AH$6*100000*AH$3</f>
        <v>0</v>
      </c>
      <c r="AI51" s="340">
        <f>(Data!BC47+Data!DP47)/AI$6*100000*AI$3</f>
        <v>0</v>
      </c>
      <c r="AJ51" s="340">
        <f>(Data!BD47+Data!DQ47)/AJ$6*100000*AJ$3</f>
        <v>0</v>
      </c>
      <c r="AK51" s="340">
        <f>(Data!BE47+Data!DR47)/AK$6*100000*AK$3</f>
        <v>0</v>
      </c>
      <c r="AL51" s="339" t="s">
        <v>353</v>
      </c>
      <c r="AM51" s="340">
        <f t="shared" si="5"/>
        <v>0</v>
      </c>
      <c r="AN51" s="340">
        <f>(Data!AN47+Data!DA47)/AN$6*100000*AN$3</f>
        <v>0</v>
      </c>
      <c r="AO51" s="340">
        <f>(Data!AO47+Data!DB47)/AO$6*100000*AO$3</f>
        <v>0</v>
      </c>
      <c r="AP51" s="340">
        <f>(Data!AP47+Data!DC47)/AP$6*100000*AP$3</f>
        <v>0</v>
      </c>
      <c r="AQ51" s="340">
        <f>(Data!AQ47+Data!DD47)/AQ$6*100000*AQ$3</f>
        <v>0</v>
      </c>
      <c r="AR51" s="340">
        <f>(Data!AR47+Data!DE47)/AR$6*100000*AR$3</f>
        <v>0</v>
      </c>
      <c r="AS51" s="340">
        <f>(Data!AS47+Data!DF47)/AS$6*100000*AS$3</f>
        <v>0</v>
      </c>
      <c r="AT51" s="340">
        <f>(Data!AT47+Data!DG47)/AT$6*100000*AT$3</f>
        <v>0</v>
      </c>
      <c r="AU51" s="340">
        <f>(Data!AU47+Data!DH47)/AU$6*100000*AU$3</f>
        <v>0</v>
      </c>
      <c r="AV51" s="340">
        <f>(Data!AV47+Data!DI47)/AV$6*100000*AV$3</f>
        <v>0</v>
      </c>
      <c r="AW51" s="340">
        <f>(Data!AW47+Data!DJ47)/AW$6*100000*AW$3</f>
        <v>0</v>
      </c>
      <c r="AX51" s="340">
        <f>(Data!AX47+Data!DK47)/AX$6*100000*AX$3</f>
        <v>0</v>
      </c>
      <c r="AY51" s="340">
        <f>(Data!AY47+Data!DL47)/AY$6*100000*AY$3</f>
        <v>0</v>
      </c>
      <c r="AZ51" s="340">
        <f>(Data!AZ47+Data!DM47)/AZ$6*100000*AZ$3</f>
        <v>0</v>
      </c>
      <c r="BA51" s="340">
        <f>(Data!BA47+Data!DN47)/BA$6*100000*BA$3</f>
        <v>0</v>
      </c>
      <c r="BB51" s="340">
        <f>(Data!BB47+Data!DO47)/BB$6*100000*BB$3</f>
        <v>0</v>
      </c>
      <c r="BC51" s="340">
        <f>(Data!BC47+Data!DP47)/BC$6*100000*BC$3</f>
        <v>0</v>
      </c>
      <c r="BD51" s="340">
        <f>(Data!BD47+Data!DQ47)/BD$6*100000*BD$3</f>
        <v>0</v>
      </c>
      <c r="BE51" s="340">
        <f>(Data!BE47+Data!DR47)/BE$6*100000*BE$3</f>
        <v>0</v>
      </c>
      <c r="BF51" s="75"/>
      <c r="BG51" s="75"/>
      <c r="BH51" s="75"/>
      <c r="BI51" s="75"/>
      <c r="BJ51" s="75"/>
      <c r="BK51" s="75"/>
      <c r="BL51" s="75"/>
      <c r="BM51" s="75"/>
      <c r="BN51" s="75"/>
      <c r="BO51" s="75"/>
      <c r="BP51" s="75"/>
      <c r="BQ51" s="75"/>
    </row>
    <row r="52" spans="1:69" ht="12" customHeight="1">
      <c r="A52" s="30"/>
      <c r="B52" s="141" t="str">
        <f>UPPER(LEFT(TRIM(Data!B48),1)) &amp; MID(TRIM(Data!B48),2,50)</f>
        <v>Nervų sistemos gerybiniai navikai</v>
      </c>
      <c r="C52" s="141" t="str">
        <f>Data!C48</f>
        <v>D32, D33</v>
      </c>
      <c r="D52" s="142">
        <f>Data!E48</f>
        <v>11</v>
      </c>
      <c r="E52" s="143">
        <f t="shared" si="15"/>
        <v>0.37512357764222554</v>
      </c>
      <c r="F52" s="144">
        <f t="shared" si="16"/>
        <v>0.61374194927942172</v>
      </c>
      <c r="G52" s="144">
        <f t="shared" si="17"/>
        <v>0.38661994467609417</v>
      </c>
      <c r="H52" s="58"/>
      <c r="I52" s="58"/>
      <c r="J52" s="58"/>
      <c r="K52" s="58"/>
      <c r="L52" s="58"/>
      <c r="M52" s="58"/>
      <c r="N52" s="58"/>
      <c r="O52" s="58"/>
      <c r="P52" s="58"/>
      <c r="Q52" s="338"/>
      <c r="R52" s="339" t="s">
        <v>353</v>
      </c>
      <c r="S52" s="340">
        <f t="shared" si="4"/>
        <v>61374.194927942168</v>
      </c>
      <c r="T52" s="340">
        <f>(Data!AN48+Data!DA48)/T$6*100000*T$3</f>
        <v>0</v>
      </c>
      <c r="U52" s="340">
        <f>(Data!AO48+Data!DB48)/U$6*100000*U$3</f>
        <v>0</v>
      </c>
      <c r="V52" s="340">
        <f>(Data!AP48+Data!DC48)/V$6*100000*V$3</f>
        <v>0</v>
      </c>
      <c r="W52" s="340">
        <f>(Data!AQ48+Data!DD48)/W$6*100000*W$3</f>
        <v>0</v>
      </c>
      <c r="X52" s="340">
        <f>(Data!AR48+Data!DE48)/X$6*100000*X$3</f>
        <v>0</v>
      </c>
      <c r="Y52" s="340">
        <f>(Data!AS48+Data!DF48)/Y$6*100000*Y$3</f>
        <v>0</v>
      </c>
      <c r="Z52" s="340">
        <f>(Data!AT48+Data!DG48)/Z$6*100000*Z$3</f>
        <v>0</v>
      </c>
      <c r="AA52" s="340">
        <f>(Data!AU48+Data!DH48)/AA$6*100000*AA$3</f>
        <v>0</v>
      </c>
      <c r="AB52" s="340">
        <f>(Data!AV48+Data!DI48)/AB$6*100000*AB$3</f>
        <v>0</v>
      </c>
      <c r="AC52" s="340">
        <f>(Data!AW48+Data!DJ48)/AC$6*100000*AC$3</f>
        <v>0</v>
      </c>
      <c r="AD52" s="340">
        <f>(Data!AX48+Data!DK48)/AD$6*100000*AD$3</f>
        <v>0</v>
      </c>
      <c r="AE52" s="340">
        <f>(Data!AY48+Data!DL48)/AE$6*100000*AE$3</f>
        <v>2920.4043786596317</v>
      </c>
      <c r="AF52" s="340">
        <f>(Data!AZ48+Data!DM48)/AF$6*100000*AF$3</f>
        <v>11725.528821349842</v>
      </c>
      <c r="AG52" s="340">
        <f>(Data!BA48+Data!DN48)/AG$6*100000*AG$3</f>
        <v>8544.4525142051534</v>
      </c>
      <c r="AH52" s="340">
        <f>(Data!BB48+Data!DO48)/AH$6*100000*AH$3</f>
        <v>11006.346993432879</v>
      </c>
      <c r="AI52" s="340">
        <f>(Data!BC48+Data!DP48)/AI$6*100000*AI$3</f>
        <v>13279.661368635099</v>
      </c>
      <c r="AJ52" s="340">
        <f>(Data!BD48+Data!DQ48)/AJ$6*100000*AJ$3</f>
        <v>5833.2847226273116</v>
      </c>
      <c r="AK52" s="340">
        <f>(Data!BE48+Data!DR48)/AK$6*100000*AK$3</f>
        <v>8064.5161290322576</v>
      </c>
      <c r="AL52" s="339" t="s">
        <v>353</v>
      </c>
      <c r="AM52" s="340">
        <f t="shared" si="5"/>
        <v>38661.994467609416</v>
      </c>
      <c r="AN52" s="340">
        <f>(Data!AN48+Data!DA48)/AN$6*100000*AN$3</f>
        <v>0</v>
      </c>
      <c r="AO52" s="340">
        <f>(Data!AO48+Data!DB48)/AO$6*100000*AO$3</f>
        <v>0</v>
      </c>
      <c r="AP52" s="340">
        <f>(Data!AP48+Data!DC48)/AP$6*100000*AP$3</f>
        <v>0</v>
      </c>
      <c r="AQ52" s="340">
        <f>(Data!AQ48+Data!DD48)/AQ$6*100000*AQ$3</f>
        <v>0</v>
      </c>
      <c r="AR52" s="340">
        <f>(Data!AR48+Data!DE48)/AR$6*100000*AR$3</f>
        <v>0</v>
      </c>
      <c r="AS52" s="340">
        <f>(Data!AS48+Data!DF48)/AS$6*100000*AS$3</f>
        <v>0</v>
      </c>
      <c r="AT52" s="340">
        <f>(Data!AT48+Data!DG48)/AT$6*100000*AT$3</f>
        <v>0</v>
      </c>
      <c r="AU52" s="340">
        <f>(Data!AU48+Data!DH48)/AU$6*100000*AU$3</f>
        <v>0</v>
      </c>
      <c r="AV52" s="340">
        <f>(Data!AV48+Data!DI48)/AV$6*100000*AV$3</f>
        <v>0</v>
      </c>
      <c r="AW52" s="340">
        <f>(Data!AW48+Data!DJ48)/AW$6*100000*AW$3</f>
        <v>0</v>
      </c>
      <c r="AX52" s="340">
        <f>(Data!AX48+Data!DK48)/AX$6*100000*AX$3</f>
        <v>0</v>
      </c>
      <c r="AY52" s="340">
        <f>(Data!AY48+Data!DL48)/AY$6*100000*AY$3</f>
        <v>1946.9362524397545</v>
      </c>
      <c r="AZ52" s="340">
        <f>(Data!AZ48+Data!DM48)/AZ$6*100000*AZ$3</f>
        <v>9380.4230570798736</v>
      </c>
      <c r="BA52" s="340">
        <f>(Data!BA48+Data!DN48)/BA$6*100000*BA$3</f>
        <v>6408.3393856538651</v>
      </c>
      <c r="BB52" s="340">
        <f>(Data!BB48+Data!DO48)/BB$6*100000*BB$3</f>
        <v>7337.5646622885861</v>
      </c>
      <c r="BC52" s="340">
        <f>(Data!BC48+Data!DP48)/BC$6*100000*BC$3</f>
        <v>6639.8306843175496</v>
      </c>
      <c r="BD52" s="340">
        <f>(Data!BD48+Data!DQ48)/BD$6*100000*BD$3</f>
        <v>2916.6423613136558</v>
      </c>
      <c r="BE52" s="340">
        <f>(Data!BE48+Data!DR48)/BE$6*100000*BE$3</f>
        <v>4032.2580645161288</v>
      </c>
      <c r="BF52" s="75"/>
      <c r="BG52" s="75"/>
      <c r="BH52" s="75"/>
      <c r="BI52" s="75"/>
      <c r="BJ52" s="75"/>
      <c r="BK52" s="75"/>
      <c r="BL52" s="75"/>
      <c r="BM52" s="75"/>
      <c r="BN52" s="75"/>
      <c r="BO52" s="75"/>
      <c r="BP52" s="75"/>
      <c r="BQ52" s="75"/>
    </row>
    <row r="53" spans="1:69" s="210" customFormat="1" ht="12" customHeight="1">
      <c r="A53" s="30"/>
      <c r="B53" s="141" t="str">
        <f>UPPER(LEFT(TRIM(Data!B49),1)) &amp; MID(TRIM(Data!B49),2,50)</f>
        <v>Kiaušidžių</v>
      </c>
      <c r="C53" s="141" t="str">
        <f>Data!C49</f>
        <v>D39.1</v>
      </c>
      <c r="D53" s="142">
        <f>Lent10m!D49</f>
        <v>0</v>
      </c>
      <c r="E53" s="143">
        <f>Lent10m!E49</f>
        <v>0</v>
      </c>
      <c r="F53" s="144">
        <f>Lent10m!F49</f>
        <v>0</v>
      </c>
      <c r="G53" s="144">
        <f>Lent10m!G49</f>
        <v>0</v>
      </c>
      <c r="H53" s="58"/>
      <c r="I53" s="58"/>
      <c r="J53" s="58"/>
      <c r="K53" s="58"/>
      <c r="L53" s="58"/>
      <c r="M53" s="58"/>
      <c r="N53" s="58"/>
      <c r="O53" s="58"/>
      <c r="P53" s="58"/>
      <c r="Q53" s="338"/>
      <c r="R53" s="339"/>
      <c r="S53" s="340"/>
      <c r="T53" s="340"/>
      <c r="U53" s="340"/>
      <c r="V53" s="340"/>
      <c r="W53" s="340"/>
      <c r="X53" s="340"/>
      <c r="Y53" s="340"/>
      <c r="Z53" s="340"/>
      <c r="AA53" s="340"/>
      <c r="AB53" s="340"/>
      <c r="AC53" s="340"/>
      <c r="AD53" s="340"/>
      <c r="AE53" s="340"/>
      <c r="AF53" s="340"/>
      <c r="AG53" s="340"/>
      <c r="AH53" s="340"/>
      <c r="AI53" s="340"/>
      <c r="AJ53" s="340"/>
      <c r="AK53" s="340"/>
      <c r="AL53" s="339"/>
      <c r="AM53" s="340"/>
      <c r="AN53" s="340"/>
      <c r="AO53" s="340"/>
      <c r="AP53" s="340"/>
      <c r="AQ53" s="340"/>
      <c r="AR53" s="340"/>
      <c r="AS53" s="340"/>
      <c r="AT53" s="340"/>
      <c r="AU53" s="340"/>
      <c r="AV53" s="340"/>
      <c r="AW53" s="340"/>
      <c r="AX53" s="340"/>
      <c r="AY53" s="340"/>
      <c r="AZ53" s="340"/>
      <c r="BA53" s="340"/>
      <c r="BB53" s="340"/>
      <c r="BC53" s="340"/>
      <c r="BD53" s="340"/>
      <c r="BE53" s="340"/>
      <c r="BF53" s="75"/>
      <c r="BG53" s="75"/>
      <c r="BH53" s="75"/>
      <c r="BI53" s="75"/>
      <c r="BJ53" s="75"/>
      <c r="BK53" s="75"/>
      <c r="BL53" s="75"/>
      <c r="BM53" s="75"/>
      <c r="BN53" s="75"/>
      <c r="BO53" s="75"/>
      <c r="BP53" s="75"/>
      <c r="BQ53" s="75"/>
    </row>
    <row r="54" spans="1:69" ht="12" customHeight="1">
      <c r="A54" s="30"/>
      <c r="B54" s="141" t="str">
        <f>UPPER(LEFT(TRIM(Data!B50),1)) &amp; MID(TRIM(Data!B50),2,50)</f>
        <v>Kiti nervų sistemos</v>
      </c>
      <c r="C54" s="141" t="str">
        <f>Data!C50</f>
        <v>D42, D43</v>
      </c>
      <c r="D54" s="142">
        <f>Data!E50</f>
        <v>4</v>
      </c>
      <c r="E54" s="143">
        <f t="shared" si="15"/>
        <v>0.13640857368808201</v>
      </c>
      <c r="F54" s="144">
        <f t="shared" si="16"/>
        <v>0.27781681656521989</v>
      </c>
      <c r="G54" s="144">
        <f t="shared" si="17"/>
        <v>0.22591772332643328</v>
      </c>
      <c r="H54" s="58"/>
      <c r="I54" s="58"/>
      <c r="J54" s="58"/>
      <c r="K54" s="58"/>
      <c r="L54" s="58"/>
      <c r="M54" s="58"/>
      <c r="N54" s="58"/>
      <c r="O54" s="58"/>
      <c r="P54" s="58"/>
      <c r="Q54" s="311"/>
      <c r="R54" s="336" t="s">
        <v>353</v>
      </c>
      <c r="S54" s="330">
        <f t="shared" si="4"/>
        <v>27781.681656521989</v>
      </c>
      <c r="T54" s="330">
        <f>(Data!AN50+Data!DA50)/T$6*100000*T$3</f>
        <v>0</v>
      </c>
      <c r="U54" s="330">
        <f>(Data!AO50+Data!DB50)/U$6*100000*U$3</f>
        <v>5115.6876214975809</v>
      </c>
      <c r="V54" s="330">
        <f>(Data!AP50+Data!DC50)/V$6*100000*V$3</f>
        <v>0</v>
      </c>
      <c r="W54" s="330">
        <f>(Data!AQ50+Data!DD50)/W$6*100000*W$3</f>
        <v>0</v>
      </c>
      <c r="X54" s="330">
        <f>(Data!AR50+Data!DE50)/X$6*100000*X$3</f>
        <v>0</v>
      </c>
      <c r="Y54" s="330">
        <f>(Data!AS50+Data!DF50)/Y$6*100000*Y$3</f>
        <v>0</v>
      </c>
      <c r="Z54" s="330">
        <f>(Data!AT50+Data!DG50)/Z$6*100000*Z$3</f>
        <v>0</v>
      </c>
      <c r="AA54" s="330">
        <f>(Data!AU50+Data!DH50)/AA$6*100000*AA$3</f>
        <v>0</v>
      </c>
      <c r="AB54" s="330">
        <f>(Data!AV50+Data!DI50)/AB$6*100000*AB$3</f>
        <v>0</v>
      </c>
      <c r="AC54" s="330">
        <f>(Data!AW50+Data!DJ50)/AC$6*100000*AC$3</f>
        <v>3321.4394169450352</v>
      </c>
      <c r="AD54" s="330">
        <f>(Data!AX50+Data!DK50)/AD$6*100000*AD$3</f>
        <v>0</v>
      </c>
      <c r="AE54" s="330">
        <f>(Data!AY50+Data!DL50)/AE$6*100000*AE$3</f>
        <v>5840.8087573192633</v>
      </c>
      <c r="AF54" s="330">
        <f>(Data!AZ50+Data!DM50)/AF$6*100000*AF$3</f>
        <v>0</v>
      </c>
      <c r="AG54" s="330">
        <f>(Data!BA50+Data!DN50)/AG$6*100000*AG$3</f>
        <v>5696.301676136768</v>
      </c>
      <c r="AH54" s="330">
        <f>(Data!BB50+Data!DO50)/AH$6*100000*AH$3</f>
        <v>2201.2693986865756</v>
      </c>
      <c r="AI54" s="330">
        <f>(Data!BC50+Data!DP50)/AI$6*100000*AI$3</f>
        <v>1659.9576710793874</v>
      </c>
      <c r="AJ54" s="330">
        <f>(Data!BD50+Data!DQ50)/AJ$6*100000*AJ$3</f>
        <v>2333.3138890509249</v>
      </c>
      <c r="AK54" s="330">
        <f>(Data!BE50+Data!DR50)/AK$6*100000*AK$3</f>
        <v>1612.9032258064517</v>
      </c>
      <c r="AL54" s="336" t="s">
        <v>353</v>
      </c>
      <c r="AM54" s="330">
        <f t="shared" si="5"/>
        <v>22591.77233264333</v>
      </c>
      <c r="AN54" s="330">
        <f>(Data!AN50+Data!DA50)/AN$6*100000*AN$3</f>
        <v>0</v>
      </c>
      <c r="AO54" s="330">
        <f>(Data!AO50+Data!DB50)/AO$6*100000*AO$3</f>
        <v>7308.1251735679734</v>
      </c>
      <c r="AP54" s="330">
        <f>(Data!AP50+Data!DC50)/AP$6*100000*AP$3</f>
        <v>0</v>
      </c>
      <c r="AQ54" s="330">
        <f>(Data!AQ50+Data!DD50)/AQ$6*100000*AQ$3</f>
        <v>0</v>
      </c>
      <c r="AR54" s="330">
        <f>(Data!AR50+Data!DE50)/AR$6*100000*AR$3</f>
        <v>0</v>
      </c>
      <c r="AS54" s="330">
        <f>(Data!AS50+Data!DF50)/AS$6*100000*AS$3</f>
        <v>0</v>
      </c>
      <c r="AT54" s="330">
        <f>(Data!AT50+Data!DG50)/AT$6*100000*AT$3</f>
        <v>0</v>
      </c>
      <c r="AU54" s="330">
        <f>(Data!AU50+Data!DH50)/AU$6*100000*AU$3</f>
        <v>0</v>
      </c>
      <c r="AV54" s="330">
        <f>(Data!AV50+Data!DI50)/AV$6*100000*AV$3</f>
        <v>0</v>
      </c>
      <c r="AW54" s="330">
        <f>(Data!AW50+Data!DJ50)/AW$6*100000*AW$3</f>
        <v>2846.9480716671733</v>
      </c>
      <c r="AX54" s="330">
        <f>(Data!AX50+Data!DK50)/AX$6*100000*AX$3</f>
        <v>0</v>
      </c>
      <c r="AY54" s="330">
        <f>(Data!AY50+Data!DL50)/AY$6*100000*AY$3</f>
        <v>3893.8725048795091</v>
      </c>
      <c r="AZ54" s="330">
        <f>(Data!AZ50+Data!DM50)/AZ$6*100000*AZ$3</f>
        <v>0</v>
      </c>
      <c r="BA54" s="330">
        <f>(Data!BA50+Data!DN50)/BA$6*100000*BA$3</f>
        <v>4272.2262571025758</v>
      </c>
      <c r="BB54" s="330">
        <f>(Data!BB50+Data!DO50)/BB$6*100000*BB$3</f>
        <v>1467.5129324577172</v>
      </c>
      <c r="BC54" s="330">
        <f>(Data!BC50+Data!DP50)/BC$6*100000*BC$3</f>
        <v>829.9788355396937</v>
      </c>
      <c r="BD54" s="330">
        <f>(Data!BD50+Data!DQ50)/BD$6*100000*BD$3</f>
        <v>1166.6569445254624</v>
      </c>
      <c r="BE54" s="330">
        <f>(Data!BE50+Data!DR50)/BE$6*100000*BE$3</f>
        <v>806.45161290322585</v>
      </c>
    </row>
    <row r="55" spans="1:69" ht="12" customHeight="1">
      <c r="A55" s="30"/>
      <c r="B55" s="141" t="str">
        <f>UPPER(LEFT(TRIM(Data!B51),1)) &amp; MID(TRIM(Data!B51),2,50)</f>
        <v>Limfinio ir kraujodaros audinių</v>
      </c>
      <c r="C55" s="141" t="str">
        <f>Data!C51</f>
        <v>D45-D47</v>
      </c>
      <c r="D55" s="142">
        <f>Data!E51</f>
        <v>35</v>
      </c>
      <c r="E55" s="143">
        <f t="shared" si="15"/>
        <v>1.1935750197707176</v>
      </c>
      <c r="F55" s="144">
        <f t="shared" si="16"/>
        <v>1.17432843009653</v>
      </c>
      <c r="G55" s="144">
        <f t="shared" si="17"/>
        <v>0.75190665477363683</v>
      </c>
      <c r="H55" s="58"/>
      <c r="I55" s="58"/>
      <c r="J55" s="58"/>
      <c r="K55" s="58"/>
      <c r="L55" s="58"/>
      <c r="M55" s="58"/>
      <c r="N55" s="58"/>
      <c r="O55" s="58"/>
      <c r="P55" s="58"/>
      <c r="Q55" s="311"/>
      <c r="R55" s="336" t="s">
        <v>353</v>
      </c>
      <c r="S55" s="330">
        <f t="shared" si="4"/>
        <v>117432.84300965301</v>
      </c>
      <c r="T55" s="330">
        <f>(Data!AN51+Data!DA51)/T$6*100000*T$3</f>
        <v>0</v>
      </c>
      <c r="U55" s="330">
        <f>(Data!AO51+Data!DB51)/U$6*100000*U$3</f>
        <v>0</v>
      </c>
      <c r="V55" s="330">
        <f>(Data!AP51+Data!DC51)/V$6*100000*V$3</f>
        <v>0</v>
      </c>
      <c r="W55" s="330">
        <f>(Data!AQ51+Data!DD51)/W$6*100000*W$3</f>
        <v>0</v>
      </c>
      <c r="X55" s="330">
        <f>(Data!AR51+Data!DE51)/X$6*100000*X$3</f>
        <v>3331.5406471755673</v>
      </c>
      <c r="Y55" s="330">
        <f>(Data!AS51+Data!DF51)/Y$6*100000*Y$3</f>
        <v>0</v>
      </c>
      <c r="Z55" s="330">
        <f>(Data!AT51+Data!DG51)/Z$6*100000*Z$3</f>
        <v>0</v>
      </c>
      <c r="AA55" s="330">
        <f>(Data!AU51+Data!DH51)/AA$6*100000*AA$3</f>
        <v>0</v>
      </c>
      <c r="AB55" s="330">
        <f>(Data!AV51+Data!DI51)/AB$6*100000*AB$3</f>
        <v>0</v>
      </c>
      <c r="AC55" s="330">
        <f>(Data!AW51+Data!DJ51)/AC$6*100000*AC$3</f>
        <v>0</v>
      </c>
      <c r="AD55" s="330">
        <f>(Data!AX51+Data!DK51)/AD$6*100000*AD$3</f>
        <v>0</v>
      </c>
      <c r="AE55" s="330">
        <f>(Data!AY51+Data!DL51)/AE$6*100000*AE$3</f>
        <v>8761.2131359788946</v>
      </c>
      <c r="AF55" s="330">
        <f>(Data!AZ51+Data!DM51)/AF$6*100000*AF$3</f>
        <v>17588.293232024764</v>
      </c>
      <c r="AG55" s="330">
        <f>(Data!BA51+Data!DN51)/AG$6*100000*AG$3</f>
        <v>14240.754190341921</v>
      </c>
      <c r="AH55" s="330">
        <f>(Data!BB51+Data!DO51)/AH$6*100000*AH$3</f>
        <v>24213.963385552335</v>
      </c>
      <c r="AI55" s="330">
        <f>(Data!BC51+Data!DP51)/AI$6*100000*AI$3</f>
        <v>24899.36506619081</v>
      </c>
      <c r="AJ55" s="330">
        <f>(Data!BD51+Data!DQ51)/AJ$6*100000*AJ$3</f>
        <v>16333.197223356472</v>
      </c>
      <c r="AK55" s="330">
        <f>(Data!BE51+Data!DR51)/AK$6*100000*AK$3</f>
        <v>8064.5161290322576</v>
      </c>
      <c r="AL55" s="336" t="s">
        <v>353</v>
      </c>
      <c r="AM55" s="330">
        <f t="shared" si="5"/>
        <v>75190.665477363684</v>
      </c>
      <c r="AN55" s="330">
        <f>(Data!AN51+Data!DA51)/AN$6*100000*AN$3</f>
        <v>0</v>
      </c>
      <c r="AO55" s="330">
        <f>(Data!AO51+Data!DB51)/AO$6*100000*AO$3</f>
        <v>0</v>
      </c>
      <c r="AP55" s="330">
        <f>(Data!AP51+Data!DC51)/AP$6*100000*AP$3</f>
        <v>0</v>
      </c>
      <c r="AQ55" s="330">
        <f>(Data!AQ51+Data!DD51)/AQ$6*100000*AQ$3</f>
        <v>0</v>
      </c>
      <c r="AR55" s="330">
        <f>(Data!AR51+Data!DE51)/AR$6*100000*AR$3</f>
        <v>3807.4750253435059</v>
      </c>
      <c r="AS55" s="330">
        <f>(Data!AS51+Data!DF51)/AS$6*100000*AS$3</f>
        <v>0</v>
      </c>
      <c r="AT55" s="330">
        <f>(Data!AT51+Data!DG51)/AT$6*100000*AT$3</f>
        <v>0</v>
      </c>
      <c r="AU55" s="330">
        <f>(Data!AU51+Data!DH51)/AU$6*100000*AU$3</f>
        <v>0</v>
      </c>
      <c r="AV55" s="330">
        <f>(Data!AV51+Data!DI51)/AV$6*100000*AV$3</f>
        <v>0</v>
      </c>
      <c r="AW55" s="330">
        <f>(Data!AW51+Data!DJ51)/AW$6*100000*AW$3</f>
        <v>0</v>
      </c>
      <c r="AX55" s="330">
        <f>(Data!AX51+Data!DK51)/AX$6*100000*AX$3</f>
        <v>0</v>
      </c>
      <c r="AY55" s="330">
        <f>(Data!AY51+Data!DL51)/AY$6*100000*AY$3</f>
        <v>5840.8087573192633</v>
      </c>
      <c r="AZ55" s="330">
        <f>(Data!AZ51+Data!DM51)/AZ$6*100000*AZ$3</f>
        <v>14070.634585619811</v>
      </c>
      <c r="BA55" s="330">
        <f>(Data!BA51+Data!DN51)/BA$6*100000*BA$3</f>
        <v>10680.565642756441</v>
      </c>
      <c r="BB55" s="330">
        <f>(Data!BB51+Data!DO51)/BB$6*100000*BB$3</f>
        <v>16142.64225703489</v>
      </c>
      <c r="BC55" s="330">
        <f>(Data!BC51+Data!DP51)/BC$6*100000*BC$3</f>
        <v>12449.682533095405</v>
      </c>
      <c r="BD55" s="330">
        <f>(Data!BD51+Data!DQ51)/BD$6*100000*BD$3</f>
        <v>8166.598611678236</v>
      </c>
      <c r="BE55" s="330">
        <f>(Data!BE51+Data!DR51)/BE$6*100000*BE$3</f>
        <v>4032.2580645161288</v>
      </c>
    </row>
    <row r="56" spans="1:69">
      <c r="A56" s="30"/>
      <c r="B56" s="30"/>
      <c r="C56" s="30"/>
      <c r="D56" s="30"/>
      <c r="E56" s="30"/>
      <c r="F56" s="30"/>
      <c r="G56" s="30"/>
      <c r="H56" s="58"/>
      <c r="I56" s="58"/>
      <c r="J56" s="58"/>
      <c r="K56" s="58"/>
      <c r="L56" s="58"/>
      <c r="M56" s="58"/>
      <c r="N56" s="58"/>
      <c r="O56" s="58"/>
      <c r="P56" s="58"/>
      <c r="R56" s="27"/>
      <c r="S56" s="27"/>
      <c r="T56" s="27"/>
      <c r="U56" s="27"/>
      <c r="V56" s="27"/>
      <c r="W56" s="27"/>
      <c r="X56" s="27"/>
      <c r="Y56" s="27"/>
      <c r="Z56" s="27"/>
      <c r="AA56" s="27"/>
      <c r="AB56" s="27"/>
      <c r="AC56" s="27"/>
      <c r="AD56" s="27"/>
      <c r="AE56" s="27"/>
      <c r="AF56" s="27"/>
      <c r="AG56" s="27"/>
      <c r="AH56" s="27"/>
      <c r="AI56" s="27"/>
      <c r="AJ56" s="27"/>
      <c r="AK56" s="27"/>
      <c r="AL56" s="27"/>
      <c r="AM56" s="27"/>
      <c r="AN56" s="27"/>
      <c r="AO56" s="27"/>
      <c r="AP56" s="27"/>
      <c r="AQ56" s="27"/>
      <c r="AR56" s="27"/>
      <c r="AS56" s="27"/>
      <c r="AT56" s="27"/>
      <c r="AU56" s="27"/>
      <c r="AV56" s="27"/>
      <c r="AW56" s="27"/>
      <c r="AX56" s="27"/>
      <c r="AY56" s="27"/>
      <c r="AZ56" s="27"/>
      <c r="BA56" s="27"/>
      <c r="BB56" s="27"/>
      <c r="BC56" s="27"/>
      <c r="BD56" s="27"/>
      <c r="BE56" s="27"/>
    </row>
    <row r="57" spans="1:69">
      <c r="A57" s="30"/>
      <c r="B57" s="30"/>
      <c r="C57" s="30"/>
      <c r="D57" s="30"/>
      <c r="E57" s="30"/>
      <c r="F57" s="30"/>
      <c r="G57" s="30"/>
      <c r="H57" s="58"/>
      <c r="I57" s="58"/>
      <c r="J57" s="58"/>
      <c r="K57" s="58"/>
      <c r="L57" s="58"/>
      <c r="M57" s="58"/>
      <c r="N57" s="58"/>
      <c r="O57" s="58"/>
      <c r="P57" s="58"/>
      <c r="R57" s="27"/>
      <c r="S57" s="27"/>
      <c r="T57" s="27"/>
      <c r="U57" s="27"/>
      <c r="V57" s="27"/>
      <c r="W57" s="27"/>
      <c r="X57" s="27"/>
      <c r="Y57" s="27"/>
      <c r="Z57" s="27"/>
      <c r="AA57" s="27"/>
      <c r="AB57" s="27"/>
      <c r="AC57" s="27"/>
      <c r="AD57" s="27"/>
      <c r="AE57" s="27"/>
      <c r="AF57" s="27"/>
      <c r="AG57" s="27"/>
      <c r="AH57" s="27"/>
      <c r="AI57" s="27"/>
      <c r="AJ57" s="27"/>
      <c r="AK57" s="27"/>
      <c r="AL57" s="27"/>
      <c r="AM57" s="27"/>
      <c r="AN57" s="27"/>
      <c r="AO57" s="27"/>
      <c r="AP57" s="27"/>
      <c r="AQ57" s="27"/>
      <c r="AR57" s="27"/>
      <c r="AS57" s="27"/>
      <c r="AT57" s="27"/>
      <c r="AU57" s="27"/>
      <c r="AV57" s="27"/>
      <c r="AW57" s="27"/>
      <c r="AX57" s="27"/>
      <c r="AY57" s="27"/>
      <c r="AZ57" s="27"/>
      <c r="BA57" s="27"/>
      <c r="BB57" s="27"/>
      <c r="BC57" s="27"/>
      <c r="BD57" s="27"/>
      <c r="BE57" s="27"/>
    </row>
    <row r="58" spans="1:69">
      <c r="R58" s="328" t="s">
        <v>408</v>
      </c>
      <c r="S58" s="330">
        <f>SUM(T58:AK58)</f>
        <v>100000</v>
      </c>
      <c r="T58" s="331">
        <v>8000</v>
      </c>
      <c r="U58" s="331">
        <v>7000</v>
      </c>
      <c r="V58" s="331">
        <v>7000</v>
      </c>
      <c r="W58" s="331">
        <v>7000</v>
      </c>
      <c r="X58" s="331">
        <v>7000</v>
      </c>
      <c r="Y58" s="331">
        <v>7000</v>
      </c>
      <c r="Z58" s="331">
        <v>7000</v>
      </c>
      <c r="AA58" s="331">
        <v>7000</v>
      </c>
      <c r="AB58" s="331">
        <v>7000</v>
      </c>
      <c r="AC58" s="331">
        <v>7000</v>
      </c>
      <c r="AD58" s="331">
        <v>7000</v>
      </c>
      <c r="AE58" s="331">
        <v>6000</v>
      </c>
      <c r="AF58" s="331">
        <v>5000</v>
      </c>
      <c r="AG58" s="331">
        <v>4000</v>
      </c>
      <c r="AH58" s="331">
        <v>3000</v>
      </c>
      <c r="AI58" s="331">
        <v>2000</v>
      </c>
      <c r="AJ58" s="331">
        <v>1000</v>
      </c>
      <c r="AK58" s="331">
        <v>1000</v>
      </c>
      <c r="AL58" s="27"/>
      <c r="AM58" s="27"/>
      <c r="AN58" s="27"/>
      <c r="AO58" s="27"/>
      <c r="AP58" s="27"/>
      <c r="AQ58" s="27"/>
      <c r="AR58" s="27"/>
      <c r="AS58" s="27"/>
      <c r="AT58" s="27"/>
      <c r="AU58" s="27"/>
      <c r="AV58" s="27"/>
      <c r="AW58" s="27"/>
      <c r="AX58" s="27"/>
      <c r="AY58" s="27"/>
      <c r="AZ58" s="27"/>
      <c r="BA58" s="27"/>
      <c r="BB58" s="27"/>
      <c r="BC58" s="27"/>
      <c r="BD58" s="27"/>
      <c r="BE58" s="27"/>
    </row>
    <row r="59" spans="1:69">
      <c r="R59" s="328" t="s">
        <v>409</v>
      </c>
      <c r="S59" s="328">
        <v>100000</v>
      </c>
      <c r="T59" s="328">
        <v>12000</v>
      </c>
      <c r="U59" s="328">
        <v>10000</v>
      </c>
      <c r="V59" s="328">
        <v>9000</v>
      </c>
      <c r="W59" s="328">
        <v>9000</v>
      </c>
      <c r="X59" s="328">
        <v>8000</v>
      </c>
      <c r="Y59" s="328">
        <v>8000</v>
      </c>
      <c r="Z59" s="328">
        <v>6000</v>
      </c>
      <c r="AA59" s="328">
        <v>6000</v>
      </c>
      <c r="AB59" s="328">
        <v>6000</v>
      </c>
      <c r="AC59" s="328">
        <v>6000</v>
      </c>
      <c r="AD59" s="328">
        <v>5000</v>
      </c>
      <c r="AE59" s="328">
        <v>4000</v>
      </c>
      <c r="AF59" s="328">
        <v>4000</v>
      </c>
      <c r="AG59" s="328">
        <v>3000</v>
      </c>
      <c r="AH59" s="328">
        <v>2000</v>
      </c>
      <c r="AI59" s="328">
        <v>1000</v>
      </c>
      <c r="AJ59" s="328">
        <v>500</v>
      </c>
      <c r="AK59" s="328">
        <v>500</v>
      </c>
      <c r="AL59" s="27"/>
      <c r="AM59" s="27"/>
      <c r="AN59" s="27"/>
      <c r="AO59" s="27"/>
      <c r="AP59" s="27"/>
      <c r="AQ59" s="27"/>
      <c r="AR59" s="27"/>
      <c r="AS59" s="27"/>
      <c r="AT59" s="27"/>
      <c r="AU59" s="27"/>
      <c r="AV59" s="27"/>
      <c r="AW59" s="27"/>
      <c r="AX59" s="27"/>
      <c r="AY59" s="27"/>
      <c r="AZ59" s="27"/>
      <c r="BA59" s="27"/>
      <c r="BB59" s="27"/>
      <c r="BC59" s="27"/>
      <c r="BD59" s="27"/>
      <c r="BE59" s="27"/>
    </row>
    <row r="60" spans="1:69">
      <c r="R60" s="328"/>
      <c r="S60" s="328"/>
      <c r="T60" s="328"/>
      <c r="U60" s="328"/>
      <c r="V60" s="328"/>
      <c r="W60" s="328"/>
      <c r="X60" s="328"/>
      <c r="Y60" s="328"/>
      <c r="Z60" s="328"/>
      <c r="AA60" s="328"/>
      <c r="AB60" s="328"/>
      <c r="AC60" s="328"/>
      <c r="AD60" s="328"/>
      <c r="AE60" s="328"/>
      <c r="AF60" s="328"/>
      <c r="AG60" s="328"/>
      <c r="AH60" s="328"/>
      <c r="AI60" s="328"/>
      <c r="AJ60" s="328"/>
      <c r="AK60" s="328"/>
      <c r="AL60" s="27"/>
      <c r="AM60" s="27"/>
      <c r="AN60" s="27"/>
      <c r="AO60" s="27"/>
      <c r="AP60" s="27"/>
      <c r="AQ60" s="27"/>
      <c r="AR60" s="27"/>
      <c r="AS60" s="27"/>
      <c r="AT60" s="27"/>
      <c r="AU60" s="27"/>
      <c r="AV60" s="27"/>
      <c r="AW60" s="27"/>
      <c r="AX60" s="27"/>
      <c r="AY60" s="27"/>
      <c r="AZ60" s="27"/>
      <c r="BA60" s="27"/>
      <c r="BB60" s="27"/>
      <c r="BC60" s="27"/>
      <c r="BD60" s="27"/>
      <c r="BE60" s="27"/>
    </row>
    <row r="61" spans="1:69">
      <c r="R61" s="27"/>
      <c r="S61" s="27"/>
      <c r="T61" s="27"/>
      <c r="U61" s="27"/>
      <c r="V61" s="27"/>
      <c r="W61" s="27"/>
      <c r="X61" s="27"/>
      <c r="Y61" s="27"/>
      <c r="Z61" s="27"/>
      <c r="AA61" s="27"/>
      <c r="AB61" s="27"/>
      <c r="AC61" s="27"/>
      <c r="AD61" s="27"/>
      <c r="AE61" s="27"/>
      <c r="AF61" s="27"/>
      <c r="AG61" s="27"/>
      <c r="AH61" s="27"/>
      <c r="AI61" s="27"/>
      <c r="AJ61" s="27"/>
      <c r="AK61" s="27"/>
      <c r="AL61" s="27"/>
      <c r="AM61" s="27"/>
      <c r="AN61" s="27"/>
      <c r="AO61" s="27"/>
      <c r="AP61" s="27"/>
      <c r="AQ61" s="27"/>
      <c r="AR61" s="27"/>
      <c r="AS61" s="27"/>
      <c r="AT61" s="27"/>
      <c r="AU61" s="27"/>
      <c r="AV61" s="27"/>
      <c r="AW61" s="27"/>
      <c r="AX61" s="27"/>
      <c r="AY61" s="27"/>
      <c r="AZ61" s="27"/>
      <c r="BA61" s="27"/>
      <c r="BB61" s="27"/>
      <c r="BC61" s="27"/>
      <c r="BD61" s="27"/>
      <c r="BE61" s="27"/>
    </row>
    <row r="62" spans="1:69">
      <c r="R62" s="27"/>
      <c r="S62" s="27"/>
      <c r="T62" s="27"/>
      <c r="U62" s="27"/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  <c r="AN62" s="27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7"/>
      <c r="BE62" s="27"/>
    </row>
    <row r="63" spans="1:69">
      <c r="R63" s="27"/>
      <c r="S63" s="27"/>
      <c r="T63" s="27"/>
      <c r="U63" s="27"/>
      <c r="V63" s="27"/>
      <c r="W63" s="27"/>
      <c r="X63" s="27"/>
      <c r="Y63" s="27"/>
      <c r="Z63" s="27"/>
      <c r="AA63" s="27"/>
      <c r="AB63" s="27"/>
      <c r="AC63" s="27"/>
      <c r="AD63" s="27"/>
      <c r="AE63" s="27"/>
      <c r="AF63" s="27"/>
      <c r="AG63" s="27"/>
      <c r="AH63" s="27"/>
      <c r="AI63" s="27"/>
      <c r="AJ63" s="27"/>
      <c r="AK63" s="27"/>
      <c r="AL63" s="27"/>
      <c r="AM63" s="27"/>
      <c r="AN63" s="27"/>
      <c r="AO63" s="27"/>
      <c r="AP63" s="27"/>
      <c r="AQ63" s="27"/>
      <c r="AR63" s="27"/>
      <c r="AS63" s="27"/>
      <c r="AT63" s="27"/>
      <c r="AU63" s="27"/>
      <c r="AV63" s="27"/>
      <c r="AW63" s="27"/>
      <c r="AX63" s="27"/>
      <c r="AY63" s="27"/>
      <c r="AZ63" s="27"/>
      <c r="BA63" s="27"/>
      <c r="BB63" s="27"/>
      <c r="BC63" s="27"/>
      <c r="BD63" s="27"/>
      <c r="BE63" s="27"/>
    </row>
    <row r="64" spans="1:69">
      <c r="R64" s="27"/>
      <c r="S64" s="27"/>
      <c r="T64" s="27"/>
      <c r="U64" s="27"/>
      <c r="V64" s="27"/>
      <c r="W64" s="27"/>
      <c r="X64" s="27"/>
      <c r="Y64" s="27"/>
      <c r="Z64" s="27"/>
      <c r="AA64" s="27"/>
      <c r="AB64" s="27"/>
      <c r="AC64" s="27"/>
      <c r="AD64" s="27"/>
      <c r="AE64" s="27"/>
      <c r="AF64" s="27"/>
      <c r="AG64" s="27"/>
      <c r="AH64" s="27"/>
      <c r="AI64" s="27"/>
      <c r="AJ64" s="27"/>
      <c r="AK64" s="27"/>
      <c r="AL64" s="27"/>
      <c r="AM64" s="27"/>
      <c r="AN64" s="27"/>
      <c r="AO64" s="27"/>
      <c r="AP64" s="27"/>
      <c r="AQ64" s="27"/>
      <c r="AR64" s="27"/>
      <c r="AS64" s="27"/>
      <c r="AT64" s="27"/>
      <c r="AU64" s="27"/>
      <c r="AV64" s="27"/>
      <c r="AW64" s="27"/>
      <c r="AX64" s="27"/>
      <c r="AY64" s="27"/>
      <c r="AZ64" s="27"/>
      <c r="BA64" s="27"/>
      <c r="BB64" s="27"/>
      <c r="BC64" s="27"/>
      <c r="BD64" s="27"/>
      <c r="BE64" s="27"/>
    </row>
    <row r="65" spans="18:57">
      <c r="R65" s="27"/>
      <c r="S65" s="27"/>
      <c r="T65" s="27"/>
      <c r="U65" s="27"/>
      <c r="V65" s="27"/>
      <c r="W65" s="27"/>
      <c r="X65" s="27"/>
      <c r="Y65" s="27"/>
      <c r="Z65" s="27"/>
      <c r="AA65" s="27"/>
      <c r="AB65" s="27"/>
      <c r="AC65" s="27"/>
      <c r="AD65" s="27"/>
      <c r="AE65" s="27"/>
      <c r="AF65" s="27"/>
      <c r="AG65" s="27"/>
      <c r="AH65" s="27"/>
      <c r="AI65" s="27"/>
      <c r="AJ65" s="27"/>
      <c r="AK65" s="27"/>
      <c r="AL65" s="27"/>
      <c r="AM65" s="27"/>
      <c r="AN65" s="27"/>
      <c r="AO65" s="27"/>
      <c r="AP65" s="27"/>
      <c r="AQ65" s="27"/>
      <c r="AR65" s="27"/>
      <c r="AS65" s="27"/>
      <c r="AT65" s="27"/>
      <c r="AU65" s="27"/>
      <c r="AV65" s="27"/>
      <c r="AW65" s="27"/>
      <c r="AX65" s="27"/>
      <c r="AY65" s="27"/>
      <c r="AZ65" s="27"/>
      <c r="BA65" s="27"/>
      <c r="BB65" s="27"/>
      <c r="BC65" s="27"/>
      <c r="BD65" s="27"/>
      <c r="BE65" s="27"/>
    </row>
    <row r="66" spans="18:57"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7"/>
      <c r="AF66" s="27"/>
      <c r="AG66" s="27"/>
      <c r="AH66" s="27"/>
      <c r="AI66" s="27"/>
      <c r="AJ66" s="27"/>
      <c r="AK66" s="27"/>
      <c r="AL66" s="27"/>
      <c r="AM66" s="27"/>
      <c r="AN66" s="27"/>
      <c r="AO66" s="27"/>
      <c r="AP66" s="27"/>
      <c r="AQ66" s="27"/>
      <c r="AR66" s="27"/>
      <c r="AS66" s="27"/>
      <c r="AT66" s="27"/>
      <c r="AU66" s="27"/>
      <c r="AV66" s="27"/>
      <c r="AW66" s="27"/>
      <c r="AX66" s="27"/>
      <c r="AY66" s="27"/>
      <c r="AZ66" s="27"/>
      <c r="BA66" s="27"/>
      <c r="BB66" s="27"/>
      <c r="BC66" s="27"/>
      <c r="BD66" s="27"/>
      <c r="BE66" s="27"/>
    </row>
    <row r="67" spans="18:57">
      <c r="R67" s="27"/>
      <c r="S67" s="27"/>
      <c r="T67" s="27"/>
      <c r="U67" s="27"/>
      <c r="V67" s="27"/>
      <c r="W67" s="27"/>
      <c r="X67" s="27"/>
      <c r="Y67" s="27"/>
      <c r="Z67" s="27"/>
      <c r="AA67" s="27"/>
      <c r="AB67" s="27"/>
      <c r="AC67" s="27"/>
      <c r="AD67" s="27"/>
      <c r="AE67" s="27"/>
      <c r="AF67" s="27"/>
      <c r="AG67" s="27"/>
      <c r="AH67" s="27"/>
      <c r="AI67" s="27"/>
      <c r="AJ67" s="27"/>
      <c r="AK67" s="27"/>
      <c r="AL67" s="27"/>
      <c r="AM67" s="27"/>
      <c r="AN67" s="27"/>
      <c r="AO67" s="27"/>
      <c r="AP67" s="27"/>
      <c r="AQ67" s="27"/>
      <c r="AR67" s="27"/>
      <c r="AS67" s="27"/>
      <c r="AT67" s="27"/>
      <c r="AU67" s="27"/>
      <c r="AV67" s="27"/>
      <c r="AW67" s="27"/>
      <c r="AX67" s="27"/>
      <c r="AY67" s="27"/>
      <c r="AZ67" s="27"/>
      <c r="BA67" s="27"/>
      <c r="BB67" s="27"/>
      <c r="BC67" s="27"/>
      <c r="BD67" s="27"/>
      <c r="BE67" s="27"/>
    </row>
    <row r="68" spans="18:57">
      <c r="R68" s="27"/>
      <c r="S68" s="27"/>
      <c r="T68" s="27"/>
      <c r="U68" s="27"/>
      <c r="V68" s="27"/>
      <c r="W68" s="27"/>
      <c r="X68" s="27"/>
      <c r="Y68" s="27"/>
      <c r="Z68" s="27"/>
      <c r="AA68" s="27"/>
      <c r="AB68" s="27"/>
      <c r="AC68" s="27"/>
      <c r="AD68" s="27"/>
      <c r="AE68" s="27"/>
      <c r="AF68" s="27"/>
      <c r="AG68" s="27"/>
      <c r="AH68" s="27"/>
      <c r="AI68" s="27"/>
      <c r="AJ68" s="27"/>
      <c r="AK68" s="27"/>
      <c r="AL68" s="27"/>
      <c r="AM68" s="27"/>
      <c r="AN68" s="27"/>
      <c r="AO68" s="27"/>
      <c r="AP68" s="27"/>
      <c r="AQ68" s="27"/>
      <c r="AR68" s="27"/>
      <c r="AS68" s="27"/>
      <c r="AT68" s="27"/>
      <c r="AU68" s="27"/>
      <c r="AV68" s="27"/>
      <c r="AW68" s="27"/>
      <c r="AX68" s="27"/>
      <c r="AY68" s="27"/>
      <c r="AZ68" s="27"/>
      <c r="BA68" s="27"/>
      <c r="BB68" s="27"/>
      <c r="BC68" s="27"/>
      <c r="BD68" s="27"/>
      <c r="BE68" s="27"/>
    </row>
    <row r="69" spans="18:57">
      <c r="R69" s="27"/>
      <c r="S69" s="27"/>
      <c r="T69" s="27"/>
      <c r="U69" s="27"/>
      <c r="V69" s="27"/>
      <c r="W69" s="27"/>
      <c r="X69" s="27"/>
      <c r="Y69" s="27"/>
      <c r="Z69" s="27"/>
      <c r="AA69" s="27"/>
      <c r="AB69" s="27"/>
      <c r="AC69" s="27"/>
      <c r="AD69" s="27"/>
      <c r="AE69" s="27"/>
      <c r="AF69" s="27"/>
      <c r="AG69" s="27"/>
      <c r="AH69" s="27"/>
      <c r="AI69" s="27"/>
      <c r="AJ69" s="27"/>
      <c r="AK69" s="27"/>
      <c r="AL69" s="27"/>
      <c r="AM69" s="27"/>
      <c r="AN69" s="27"/>
      <c r="AO69" s="27"/>
      <c r="AP69" s="27"/>
      <c r="AQ69" s="27"/>
      <c r="AR69" s="27"/>
      <c r="AS69" s="27"/>
      <c r="AT69" s="27"/>
      <c r="AU69" s="27"/>
      <c r="AV69" s="27"/>
      <c r="AW69" s="27"/>
      <c r="AX69" s="27"/>
      <c r="AY69" s="27"/>
      <c r="AZ69" s="27"/>
      <c r="BA69" s="27"/>
      <c r="BB69" s="27"/>
      <c r="BC69" s="27"/>
      <c r="BD69" s="27"/>
      <c r="BE69" s="27"/>
    </row>
    <row r="70" spans="18:57">
      <c r="R70" s="27"/>
      <c r="S70" s="27"/>
      <c r="T70" s="27"/>
      <c r="U70" s="27"/>
      <c r="V70" s="27"/>
      <c r="W70" s="27"/>
      <c r="X70" s="27"/>
      <c r="Y70" s="27"/>
      <c r="Z70" s="27"/>
      <c r="AA70" s="27"/>
      <c r="AB70" s="27"/>
      <c r="AC70" s="27"/>
      <c r="AD70" s="27"/>
      <c r="AE70" s="27"/>
      <c r="AF70" s="27"/>
      <c r="AG70" s="27"/>
      <c r="AH70" s="27"/>
      <c r="AI70" s="27"/>
      <c r="AJ70" s="27"/>
      <c r="AK70" s="27"/>
      <c r="AL70" s="27"/>
      <c r="AM70" s="27"/>
      <c r="AN70" s="27"/>
      <c r="AO70" s="27"/>
      <c r="AP70" s="27"/>
      <c r="AQ70" s="27"/>
      <c r="AR70" s="27"/>
      <c r="AS70" s="27"/>
      <c r="AT70" s="27"/>
      <c r="AU70" s="27"/>
      <c r="AV70" s="27"/>
      <c r="AW70" s="27"/>
      <c r="AX70" s="27"/>
      <c r="AY70" s="27"/>
      <c r="AZ70" s="27"/>
      <c r="BA70" s="27"/>
      <c r="BB70" s="27"/>
      <c r="BC70" s="27"/>
      <c r="BD70" s="27"/>
      <c r="BE70" s="27"/>
    </row>
    <row r="71" spans="18:57">
      <c r="R71" s="27"/>
      <c r="S71" s="27"/>
      <c r="T71" s="27"/>
      <c r="U71" s="27"/>
      <c r="V71" s="27"/>
      <c r="W71" s="27"/>
      <c r="X71" s="27"/>
      <c r="Y71" s="27"/>
      <c r="Z71" s="27"/>
      <c r="AA71" s="27"/>
      <c r="AB71" s="27"/>
      <c r="AC71" s="27"/>
      <c r="AD71" s="27"/>
      <c r="AE71" s="27"/>
      <c r="AF71" s="27"/>
      <c r="AG71" s="27"/>
      <c r="AH71" s="27"/>
      <c r="AI71" s="27"/>
      <c r="AJ71" s="27"/>
      <c r="AK71" s="27"/>
      <c r="AL71" s="27"/>
      <c r="AM71" s="27"/>
      <c r="AN71" s="27"/>
      <c r="AO71" s="27"/>
      <c r="AP71" s="27"/>
      <c r="AQ71" s="27"/>
      <c r="AR71" s="27"/>
      <c r="AS71" s="27"/>
      <c r="AT71" s="27"/>
      <c r="AU71" s="27"/>
      <c r="AV71" s="27"/>
      <c r="AW71" s="27"/>
      <c r="AX71" s="27"/>
      <c r="AY71" s="27"/>
      <c r="AZ71" s="27"/>
      <c r="BA71" s="27"/>
      <c r="BB71" s="27"/>
      <c r="BC71" s="27"/>
      <c r="BD71" s="27"/>
      <c r="BE71" s="27"/>
    </row>
    <row r="72" spans="18:57">
      <c r="R72" s="27"/>
      <c r="S72" s="27"/>
      <c r="T72" s="27"/>
      <c r="U72" s="27"/>
      <c r="V72" s="27"/>
      <c r="W72" s="27"/>
      <c r="X72" s="27"/>
      <c r="Y72" s="27"/>
      <c r="Z72" s="27"/>
      <c r="AA72" s="27"/>
      <c r="AB72" s="27"/>
      <c r="AC72" s="27"/>
      <c r="AD72" s="27"/>
      <c r="AE72" s="27"/>
      <c r="AF72" s="27"/>
      <c r="AG72" s="27"/>
      <c r="AH72" s="27"/>
      <c r="AI72" s="27"/>
      <c r="AJ72" s="27"/>
      <c r="AK72" s="27"/>
      <c r="AL72" s="27"/>
      <c r="AM72" s="27"/>
      <c r="AN72" s="27"/>
      <c r="AO72" s="27"/>
      <c r="AP72" s="27"/>
      <c r="AQ72" s="27"/>
      <c r="AR72" s="27"/>
      <c r="AS72" s="27"/>
      <c r="AT72" s="27"/>
      <c r="AU72" s="27"/>
      <c r="AV72" s="27"/>
      <c r="AW72" s="27"/>
      <c r="AX72" s="27"/>
      <c r="AY72" s="27"/>
      <c r="AZ72" s="27"/>
      <c r="BA72" s="27"/>
      <c r="BB72" s="27"/>
      <c r="BC72" s="27"/>
      <c r="BD72" s="27"/>
      <c r="BE72" s="27"/>
    </row>
    <row r="73" spans="18:57">
      <c r="R73" s="27"/>
      <c r="S73" s="27"/>
      <c r="T73" s="27"/>
      <c r="U73" s="27"/>
      <c r="V73" s="27"/>
      <c r="W73" s="27"/>
      <c r="X73" s="27"/>
      <c r="Y73" s="27"/>
      <c r="Z73" s="27"/>
      <c r="AA73" s="27"/>
      <c r="AB73" s="27"/>
      <c r="AC73" s="27"/>
      <c r="AD73" s="27"/>
      <c r="AE73" s="27"/>
      <c r="AF73" s="27"/>
      <c r="AG73" s="27"/>
      <c r="AH73" s="27"/>
      <c r="AI73" s="27"/>
      <c r="AJ73" s="27"/>
      <c r="AK73" s="27"/>
      <c r="AL73" s="27"/>
      <c r="AM73" s="27"/>
      <c r="AN73" s="27"/>
      <c r="AO73" s="27"/>
      <c r="AP73" s="27"/>
      <c r="AQ73" s="27"/>
      <c r="AR73" s="27"/>
      <c r="AS73" s="27"/>
      <c r="AT73" s="27"/>
      <c r="AU73" s="27"/>
      <c r="AV73" s="27"/>
      <c r="AW73" s="27"/>
      <c r="AX73" s="27"/>
      <c r="AY73" s="27"/>
      <c r="AZ73" s="27"/>
      <c r="BA73" s="27"/>
      <c r="BB73" s="27"/>
      <c r="BC73" s="27"/>
      <c r="BD73" s="27"/>
      <c r="BE73" s="27"/>
    </row>
    <row r="74" spans="18:57">
      <c r="R74" s="27"/>
      <c r="S74" s="27"/>
      <c r="T74" s="27"/>
      <c r="U74" s="27"/>
      <c r="V74" s="27"/>
      <c r="W74" s="27"/>
      <c r="X74" s="27"/>
      <c r="Y74" s="27"/>
      <c r="Z74" s="27"/>
      <c r="AA74" s="27"/>
      <c r="AB74" s="27"/>
      <c r="AC74" s="27"/>
      <c r="AD74" s="27"/>
      <c r="AE74" s="27"/>
      <c r="AF74" s="27"/>
      <c r="AG74" s="27"/>
      <c r="AH74" s="27"/>
      <c r="AI74" s="27"/>
      <c r="AJ74" s="27"/>
      <c r="AK74" s="27"/>
      <c r="AL74" s="27"/>
      <c r="AM74" s="27"/>
      <c r="AN74" s="27"/>
      <c r="AO74" s="27"/>
      <c r="AP74" s="27"/>
      <c r="AQ74" s="27"/>
      <c r="AR74" s="27"/>
      <c r="AS74" s="27"/>
      <c r="AT74" s="27"/>
      <c r="AU74" s="27"/>
      <c r="AV74" s="27"/>
      <c r="AW74" s="27"/>
      <c r="AX74" s="27"/>
      <c r="AY74" s="27"/>
      <c r="AZ74" s="27"/>
      <c r="BA74" s="27"/>
      <c r="BB74" s="27"/>
      <c r="BC74" s="27"/>
      <c r="BD74" s="27"/>
      <c r="BE74" s="27"/>
    </row>
    <row r="75" spans="18:57">
      <c r="R75" s="27"/>
      <c r="S75" s="27"/>
      <c r="T75" s="27"/>
      <c r="U75" s="27"/>
      <c r="V75" s="27"/>
      <c r="W75" s="27"/>
      <c r="X75" s="27"/>
      <c r="Y75" s="27"/>
      <c r="Z75" s="27"/>
      <c r="AA75" s="27"/>
      <c r="AB75" s="27"/>
      <c r="AC75" s="27"/>
      <c r="AD75" s="27"/>
      <c r="AE75" s="27"/>
      <c r="AF75" s="27"/>
      <c r="AG75" s="27"/>
      <c r="AH75" s="27"/>
      <c r="AI75" s="27"/>
      <c r="AJ75" s="27"/>
      <c r="AK75" s="27"/>
      <c r="AL75" s="27"/>
      <c r="AM75" s="27"/>
      <c r="AN75" s="27"/>
      <c r="AO75" s="27"/>
      <c r="AP75" s="27"/>
      <c r="AQ75" s="27"/>
      <c r="AR75" s="27"/>
      <c r="AS75" s="27"/>
      <c r="AT75" s="27"/>
      <c r="AU75" s="27"/>
      <c r="AV75" s="27"/>
      <c r="AW75" s="27"/>
      <c r="AX75" s="27"/>
      <c r="AY75" s="27"/>
      <c r="AZ75" s="27"/>
      <c r="BA75" s="27"/>
      <c r="BB75" s="27"/>
      <c r="BC75" s="27"/>
      <c r="BD75" s="27"/>
      <c r="BE75" s="27"/>
    </row>
    <row r="76" spans="18:57">
      <c r="R76" s="27"/>
      <c r="S76" s="27"/>
      <c r="T76" s="27"/>
      <c r="U76" s="27"/>
      <c r="V76" s="27"/>
      <c r="W76" s="27"/>
      <c r="X76" s="27"/>
      <c r="Y76" s="27"/>
      <c r="Z76" s="27"/>
      <c r="AA76" s="27"/>
      <c r="AB76" s="27"/>
      <c r="AC76" s="27"/>
      <c r="AD76" s="27"/>
      <c r="AE76" s="27"/>
      <c r="AF76" s="27"/>
      <c r="AG76" s="27"/>
      <c r="AH76" s="27"/>
      <c r="AI76" s="27"/>
      <c r="AJ76" s="27"/>
      <c r="AK76" s="27"/>
      <c r="AL76" s="27"/>
      <c r="AM76" s="27"/>
      <c r="AN76" s="27"/>
      <c r="AO76" s="27"/>
      <c r="AP76" s="27"/>
      <c r="AQ76" s="27"/>
      <c r="AR76" s="27"/>
      <c r="AS76" s="27"/>
      <c r="AT76" s="27"/>
      <c r="AU76" s="27"/>
      <c r="AV76" s="27"/>
      <c r="AW76" s="27"/>
      <c r="AX76" s="27"/>
      <c r="AY76" s="27"/>
      <c r="AZ76" s="27"/>
      <c r="BA76" s="27"/>
      <c r="BB76" s="27"/>
      <c r="BC76" s="27"/>
      <c r="BD76" s="27"/>
      <c r="BE76" s="27"/>
    </row>
    <row r="77" spans="18:57">
      <c r="R77" s="27"/>
      <c r="S77" s="27"/>
      <c r="T77" s="27"/>
      <c r="U77" s="27"/>
      <c r="V77" s="27"/>
      <c r="W77" s="27"/>
      <c r="X77" s="27"/>
      <c r="Y77" s="27"/>
      <c r="Z77" s="27"/>
      <c r="AA77" s="27"/>
      <c r="AB77" s="27"/>
      <c r="AC77" s="27"/>
      <c r="AD77" s="27"/>
      <c r="AE77" s="27"/>
      <c r="AF77" s="27"/>
      <c r="AG77" s="27"/>
      <c r="AH77" s="27"/>
      <c r="AI77" s="27"/>
      <c r="AJ77" s="27"/>
      <c r="AK77" s="27"/>
      <c r="AL77" s="27"/>
      <c r="AM77" s="27"/>
      <c r="AN77" s="27"/>
      <c r="AO77" s="27"/>
      <c r="AP77" s="27"/>
      <c r="AQ77" s="27"/>
      <c r="AR77" s="27"/>
      <c r="AS77" s="27"/>
      <c r="AT77" s="27"/>
      <c r="AU77" s="27"/>
      <c r="AV77" s="27"/>
      <c r="AW77" s="27"/>
      <c r="AX77" s="27"/>
      <c r="AY77" s="27"/>
      <c r="AZ77" s="27"/>
      <c r="BA77" s="27"/>
      <c r="BB77" s="27"/>
      <c r="BC77" s="27"/>
      <c r="BD77" s="27"/>
      <c r="BE77" s="27"/>
    </row>
    <row r="78" spans="18:57"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7"/>
      <c r="BE78" s="27"/>
    </row>
    <row r="79" spans="18:57">
      <c r="R79" s="27"/>
      <c r="S79" s="27"/>
      <c r="T79" s="27"/>
      <c r="U79" s="27"/>
      <c r="V79" s="27"/>
      <c r="W79" s="27"/>
      <c r="X79" s="27"/>
      <c r="Y79" s="27"/>
      <c r="Z79" s="27"/>
      <c r="AA79" s="27"/>
      <c r="AB79" s="27"/>
      <c r="AC79" s="27"/>
      <c r="AD79" s="27"/>
      <c r="AE79" s="27"/>
      <c r="AF79" s="27"/>
      <c r="AG79" s="27"/>
      <c r="AH79" s="27"/>
      <c r="AI79" s="27"/>
      <c r="AJ79" s="27"/>
      <c r="AK79" s="27"/>
      <c r="AL79" s="27"/>
      <c r="AM79" s="27"/>
      <c r="AN79" s="27"/>
      <c r="AO79" s="27"/>
      <c r="AP79" s="27"/>
      <c r="AQ79" s="27"/>
      <c r="AR79" s="27"/>
      <c r="AS79" s="27"/>
      <c r="AT79" s="27"/>
      <c r="AU79" s="27"/>
      <c r="AV79" s="27"/>
      <c r="AW79" s="27"/>
      <c r="AX79" s="27"/>
      <c r="AY79" s="27"/>
      <c r="AZ79" s="27"/>
      <c r="BA79" s="27"/>
      <c r="BB79" s="27"/>
      <c r="BC79" s="27"/>
      <c r="BD79" s="27"/>
      <c r="BE79" s="27"/>
    </row>
    <row r="80" spans="18:57">
      <c r="R80" s="27"/>
      <c r="S80" s="27"/>
      <c r="T80" s="27"/>
      <c r="U80" s="27"/>
      <c r="V80" s="27"/>
      <c r="W80" s="27"/>
      <c r="X80" s="27"/>
      <c r="Y80" s="27"/>
      <c r="Z80" s="27"/>
      <c r="AA80" s="27"/>
      <c r="AB80" s="27"/>
      <c r="AC80" s="27"/>
      <c r="AD80" s="27"/>
      <c r="AE80" s="27"/>
      <c r="AF80" s="27"/>
      <c r="AG80" s="27"/>
      <c r="AH80" s="27"/>
      <c r="AI80" s="27"/>
      <c r="AJ80" s="27"/>
      <c r="AK80" s="27"/>
      <c r="AL80" s="27"/>
      <c r="AM80" s="27"/>
      <c r="AN80" s="27"/>
      <c r="AO80" s="27"/>
      <c r="AP80" s="27"/>
      <c r="AQ80" s="27"/>
      <c r="AR80" s="27"/>
      <c r="AS80" s="27"/>
      <c r="AT80" s="27"/>
      <c r="AU80" s="27"/>
      <c r="AV80" s="27"/>
      <c r="AW80" s="27"/>
      <c r="AX80" s="27"/>
      <c r="AY80" s="27"/>
      <c r="AZ80" s="27"/>
      <c r="BA80" s="27"/>
      <c r="BB80" s="27"/>
      <c r="BC80" s="27"/>
      <c r="BD80" s="27"/>
      <c r="BE80" s="27"/>
    </row>
    <row r="81" spans="18:57">
      <c r="R81" s="27"/>
      <c r="S81" s="27"/>
      <c r="T81" s="27"/>
      <c r="U81" s="27"/>
      <c r="V81" s="27"/>
      <c r="W81" s="27"/>
      <c r="X81" s="27"/>
      <c r="Y81" s="27"/>
      <c r="Z81" s="27"/>
      <c r="AA81" s="27"/>
      <c r="AB81" s="27"/>
      <c r="AC81" s="27"/>
      <c r="AD81" s="27"/>
      <c r="AE81" s="27"/>
      <c r="AF81" s="27"/>
      <c r="AG81" s="27"/>
      <c r="AH81" s="27"/>
      <c r="AI81" s="27"/>
      <c r="AJ81" s="27"/>
      <c r="AK81" s="27"/>
      <c r="AL81" s="27"/>
      <c r="AM81" s="27"/>
      <c r="AN81" s="27"/>
      <c r="AO81" s="27"/>
      <c r="AP81" s="27"/>
      <c r="AQ81" s="27"/>
      <c r="AR81" s="27"/>
      <c r="AS81" s="27"/>
      <c r="AT81" s="27"/>
      <c r="AU81" s="27"/>
      <c r="AV81" s="27"/>
      <c r="AW81" s="27"/>
      <c r="AX81" s="27"/>
      <c r="AY81" s="27"/>
      <c r="AZ81" s="27"/>
      <c r="BA81" s="27"/>
      <c r="BB81" s="27"/>
      <c r="BC81" s="27"/>
      <c r="BD81" s="27"/>
      <c r="BE81" s="27"/>
    </row>
    <row r="82" spans="18:57">
      <c r="R82" s="27"/>
      <c r="S82" s="27"/>
      <c r="T82" s="27"/>
      <c r="U82" s="27"/>
      <c r="V82" s="27"/>
      <c r="W82" s="27"/>
      <c r="X82" s="27"/>
      <c r="Y82" s="27"/>
      <c r="Z82" s="27"/>
      <c r="AA82" s="27"/>
      <c r="AB82" s="27"/>
      <c r="AC82" s="27"/>
      <c r="AD82" s="27"/>
      <c r="AE82" s="27"/>
      <c r="AF82" s="27"/>
      <c r="AG82" s="27"/>
      <c r="AH82" s="27"/>
      <c r="AI82" s="27"/>
      <c r="AJ82" s="27"/>
      <c r="AK82" s="27"/>
      <c r="AL82" s="27"/>
      <c r="AM82" s="27"/>
      <c r="AN82" s="27"/>
      <c r="AO82" s="27"/>
      <c r="AP82" s="27"/>
      <c r="AQ82" s="27"/>
      <c r="AR82" s="27"/>
      <c r="AS82" s="27"/>
      <c r="AT82" s="27"/>
      <c r="AU82" s="27"/>
      <c r="AV82" s="27"/>
      <c r="AW82" s="27"/>
      <c r="AX82" s="27"/>
      <c r="AY82" s="27"/>
      <c r="AZ82" s="27"/>
      <c r="BA82" s="27"/>
      <c r="BB82" s="27"/>
      <c r="BC82" s="27"/>
      <c r="BD82" s="27"/>
      <c r="BE82" s="27"/>
    </row>
    <row r="83" spans="18:57"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7"/>
      <c r="BE83" s="27"/>
    </row>
    <row r="84" spans="18:57">
      <c r="R84" s="27"/>
      <c r="S84" s="27"/>
      <c r="T84" s="27"/>
      <c r="U84" s="27"/>
      <c r="V84" s="27"/>
      <c r="W84" s="27"/>
      <c r="X84" s="27"/>
      <c r="Y84" s="27"/>
      <c r="Z84" s="27"/>
      <c r="AA84" s="27"/>
      <c r="AB84" s="27"/>
      <c r="AC84" s="27"/>
      <c r="AD84" s="27"/>
      <c r="AE84" s="27"/>
      <c r="AF84" s="27"/>
      <c r="AG84" s="27"/>
      <c r="AH84" s="27"/>
      <c r="AI84" s="27"/>
      <c r="AJ84" s="27"/>
      <c r="AK84" s="27"/>
      <c r="AL84" s="27"/>
      <c r="AM84" s="27"/>
      <c r="AN84" s="27"/>
      <c r="AO84" s="27"/>
      <c r="AP84" s="27"/>
      <c r="AQ84" s="27"/>
      <c r="AR84" s="27"/>
      <c r="AS84" s="27"/>
      <c r="AT84" s="27"/>
      <c r="AU84" s="27"/>
      <c r="AV84" s="27"/>
      <c r="AW84" s="27"/>
      <c r="AX84" s="27"/>
      <c r="AY84" s="27"/>
      <c r="AZ84" s="27"/>
      <c r="BA84" s="27"/>
      <c r="BB84" s="27"/>
      <c r="BC84" s="27"/>
      <c r="BD84" s="27"/>
      <c r="BE84" s="27"/>
    </row>
    <row r="85" spans="18:57">
      <c r="R85" s="27"/>
      <c r="S85" s="27"/>
      <c r="T85" s="27"/>
      <c r="U85" s="27"/>
      <c r="V85" s="27"/>
      <c r="W85" s="27"/>
      <c r="X85" s="27"/>
      <c r="Y85" s="27"/>
      <c r="Z85" s="27"/>
      <c r="AA85" s="27"/>
      <c r="AB85" s="27"/>
      <c r="AC85" s="27"/>
      <c r="AD85" s="27"/>
      <c r="AE85" s="27"/>
      <c r="AF85" s="27"/>
      <c r="AG85" s="27"/>
      <c r="AH85" s="27"/>
      <c r="AI85" s="27"/>
      <c r="AJ85" s="27"/>
      <c r="AK85" s="27"/>
      <c r="AL85" s="27"/>
      <c r="AM85" s="27"/>
      <c r="AN85" s="27"/>
      <c r="AO85" s="27"/>
      <c r="AP85" s="27"/>
      <c r="AQ85" s="27"/>
      <c r="AR85" s="27"/>
      <c r="AS85" s="27"/>
      <c r="AT85" s="27"/>
      <c r="AU85" s="27"/>
      <c r="AV85" s="27"/>
      <c r="AW85" s="27"/>
      <c r="AX85" s="27"/>
      <c r="AY85" s="27"/>
      <c r="AZ85" s="27"/>
      <c r="BA85" s="27"/>
      <c r="BB85" s="27"/>
      <c r="BC85" s="27"/>
      <c r="BD85" s="27"/>
      <c r="BE85" s="27"/>
    </row>
    <row r="86" spans="18:57">
      <c r="R86" s="27"/>
      <c r="S86" s="27"/>
      <c r="T86" s="27"/>
      <c r="U86" s="27"/>
      <c r="V86" s="27"/>
      <c r="W86" s="27"/>
      <c r="X86" s="27"/>
      <c r="Y86" s="27"/>
      <c r="Z86" s="27"/>
      <c r="AA86" s="27"/>
      <c r="AB86" s="27"/>
      <c r="AC86" s="27"/>
      <c r="AD86" s="27"/>
      <c r="AE86" s="27"/>
      <c r="AF86" s="27"/>
      <c r="AG86" s="27"/>
      <c r="AH86" s="27"/>
      <c r="AI86" s="27"/>
      <c r="AJ86" s="27"/>
      <c r="AK86" s="27"/>
      <c r="AL86" s="27"/>
      <c r="AM86" s="27"/>
      <c r="AN86" s="27"/>
      <c r="AO86" s="27"/>
      <c r="AP86" s="27"/>
      <c r="AQ86" s="27"/>
      <c r="AR86" s="27"/>
      <c r="AS86" s="27"/>
      <c r="AT86" s="27"/>
      <c r="AU86" s="27"/>
      <c r="AV86" s="27"/>
      <c r="AW86" s="27"/>
      <c r="AX86" s="27"/>
      <c r="AY86" s="27"/>
      <c r="AZ86" s="27"/>
      <c r="BA86" s="27"/>
      <c r="BB86" s="27"/>
      <c r="BC86" s="27"/>
      <c r="BD86" s="27"/>
      <c r="BE86" s="27"/>
    </row>
    <row r="87" spans="18:57">
      <c r="R87" s="27"/>
      <c r="S87" s="27"/>
      <c r="T87" s="27"/>
      <c r="U87" s="27"/>
      <c r="V87" s="27"/>
      <c r="W87" s="27"/>
      <c r="X87" s="27"/>
      <c r="Y87" s="27"/>
      <c r="Z87" s="27"/>
      <c r="AA87" s="27"/>
      <c r="AB87" s="27"/>
      <c r="AC87" s="27"/>
      <c r="AD87" s="27"/>
      <c r="AE87" s="27"/>
      <c r="AF87" s="27"/>
      <c r="AG87" s="27"/>
      <c r="AH87" s="27"/>
      <c r="AI87" s="27"/>
      <c r="AJ87" s="27"/>
      <c r="AK87" s="27"/>
      <c r="AL87" s="27"/>
      <c r="AM87" s="27"/>
      <c r="AN87" s="27"/>
      <c r="AO87" s="27"/>
      <c r="AP87" s="27"/>
      <c r="AQ87" s="27"/>
      <c r="AR87" s="27"/>
      <c r="AS87" s="27"/>
      <c r="AT87" s="27"/>
      <c r="AU87" s="27"/>
      <c r="AV87" s="27"/>
      <c r="AW87" s="27"/>
      <c r="AX87" s="27"/>
      <c r="AY87" s="27"/>
      <c r="AZ87" s="27"/>
      <c r="BA87" s="27"/>
      <c r="BB87" s="27"/>
      <c r="BC87" s="27"/>
      <c r="BD87" s="27"/>
      <c r="BE87" s="27"/>
    </row>
    <row r="88" spans="18:57">
      <c r="R88" s="27"/>
      <c r="S88" s="27"/>
      <c r="T88" s="27"/>
      <c r="U88" s="27"/>
      <c r="V88" s="27"/>
      <c r="W88" s="27"/>
      <c r="X88" s="27"/>
      <c r="Y88" s="27"/>
      <c r="Z88" s="27"/>
      <c r="AA88" s="27"/>
      <c r="AB88" s="27"/>
      <c r="AC88" s="27"/>
      <c r="AD88" s="27"/>
      <c r="AE88" s="27"/>
      <c r="AF88" s="27"/>
      <c r="AG88" s="27"/>
      <c r="AH88" s="27"/>
      <c r="AI88" s="27"/>
      <c r="AJ88" s="27"/>
      <c r="AK88" s="27"/>
      <c r="AL88" s="27"/>
      <c r="AM88" s="27"/>
      <c r="AN88" s="27"/>
      <c r="AO88" s="27"/>
      <c r="AP88" s="27"/>
      <c r="AQ88" s="27"/>
      <c r="AR88" s="27"/>
      <c r="AS88" s="27"/>
      <c r="AT88" s="27"/>
      <c r="AU88" s="27"/>
      <c r="AV88" s="27"/>
      <c r="AW88" s="27"/>
      <c r="AX88" s="27"/>
      <c r="AY88" s="27"/>
      <c r="AZ88" s="27"/>
      <c r="BA88" s="27"/>
      <c r="BB88" s="27"/>
      <c r="BC88" s="27"/>
      <c r="BD88" s="27"/>
      <c r="BE88" s="27"/>
    </row>
    <row r="89" spans="18:57">
      <c r="R89" s="27"/>
      <c r="S89" s="27"/>
      <c r="T89" s="27"/>
      <c r="U89" s="27"/>
      <c r="V89" s="27"/>
      <c r="W89" s="27"/>
      <c r="X89" s="27"/>
      <c r="Y89" s="27"/>
      <c r="Z89" s="27"/>
      <c r="AA89" s="27"/>
      <c r="AB89" s="27"/>
      <c r="AC89" s="27"/>
      <c r="AD89" s="27"/>
      <c r="AE89" s="27"/>
      <c r="AF89" s="27"/>
      <c r="AG89" s="27"/>
      <c r="AH89" s="27"/>
      <c r="AI89" s="27"/>
      <c r="AJ89" s="27"/>
      <c r="AK89" s="27"/>
      <c r="AL89" s="27"/>
      <c r="AM89" s="27"/>
      <c r="AN89" s="27"/>
      <c r="AO89" s="27"/>
      <c r="AP89" s="27"/>
      <c r="AQ89" s="27"/>
      <c r="AR89" s="27"/>
      <c r="AS89" s="27"/>
      <c r="AT89" s="27"/>
      <c r="AU89" s="27"/>
      <c r="AV89" s="27"/>
      <c r="AW89" s="27"/>
      <c r="AX89" s="27"/>
      <c r="AY89" s="27"/>
      <c r="AZ89" s="27"/>
      <c r="BA89" s="27"/>
      <c r="BB89" s="27"/>
      <c r="BC89" s="27"/>
      <c r="BD89" s="27"/>
      <c r="BE89" s="27"/>
    </row>
    <row r="90" spans="18:57"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27"/>
      <c r="BE90" s="27"/>
    </row>
    <row r="91" spans="18:57">
      <c r="R91" s="27"/>
      <c r="S91" s="27"/>
      <c r="T91" s="27"/>
      <c r="U91" s="27"/>
      <c r="V91" s="27"/>
      <c r="W91" s="27"/>
      <c r="X91" s="27"/>
      <c r="Y91" s="27"/>
      <c r="Z91" s="27"/>
      <c r="AA91" s="27"/>
      <c r="AB91" s="27"/>
      <c r="AC91" s="27"/>
      <c r="AD91" s="27"/>
      <c r="AE91" s="27"/>
      <c r="AF91" s="27"/>
      <c r="AG91" s="27"/>
      <c r="AH91" s="27"/>
      <c r="AI91" s="27"/>
      <c r="AJ91" s="27"/>
      <c r="AK91" s="27"/>
      <c r="AL91" s="27"/>
      <c r="AM91" s="27"/>
      <c r="AN91" s="27"/>
      <c r="AO91" s="27"/>
      <c r="AP91" s="27"/>
      <c r="AQ91" s="27"/>
      <c r="AR91" s="27"/>
      <c r="AS91" s="27"/>
      <c r="AT91" s="27"/>
      <c r="AU91" s="27"/>
      <c r="AV91" s="27"/>
      <c r="AW91" s="27"/>
      <c r="AX91" s="27"/>
      <c r="AY91" s="27"/>
      <c r="AZ91" s="27"/>
      <c r="BA91" s="27"/>
      <c r="BB91" s="27"/>
      <c r="BC91" s="27"/>
      <c r="BD91" s="27"/>
      <c r="BE91" s="27"/>
    </row>
    <row r="92" spans="18:57">
      <c r="R92" s="27"/>
      <c r="S92" s="27"/>
      <c r="T92" s="27"/>
      <c r="U92" s="27"/>
      <c r="V92" s="27"/>
      <c r="W92" s="27"/>
      <c r="X92" s="27"/>
      <c r="Y92" s="27"/>
      <c r="Z92" s="27"/>
      <c r="AA92" s="27"/>
      <c r="AB92" s="27"/>
      <c r="AC92" s="27"/>
      <c r="AD92" s="27"/>
      <c r="AE92" s="27"/>
      <c r="AF92" s="27"/>
      <c r="AG92" s="27"/>
      <c r="AH92" s="27"/>
      <c r="AI92" s="27"/>
      <c r="AJ92" s="27"/>
      <c r="AK92" s="27"/>
      <c r="AL92" s="27"/>
      <c r="AM92" s="27"/>
      <c r="AN92" s="27"/>
      <c r="AO92" s="27"/>
      <c r="AP92" s="27"/>
      <c r="AQ92" s="27"/>
      <c r="AR92" s="27"/>
      <c r="AS92" s="27"/>
      <c r="AT92" s="27"/>
      <c r="AU92" s="27"/>
      <c r="AV92" s="27"/>
      <c r="AW92" s="27"/>
      <c r="AX92" s="27"/>
      <c r="AY92" s="27"/>
      <c r="AZ92" s="27"/>
      <c r="BA92" s="27"/>
      <c r="BB92" s="27"/>
      <c r="BC92" s="27"/>
      <c r="BD92" s="27"/>
      <c r="BE92" s="27"/>
    </row>
    <row r="93" spans="18:57">
      <c r="R93" s="27"/>
      <c r="S93" s="27"/>
      <c r="T93" s="27"/>
      <c r="U93" s="27"/>
      <c r="V93" s="27"/>
      <c r="W93" s="27"/>
      <c r="X93" s="27"/>
      <c r="Y93" s="27"/>
      <c r="Z93" s="27"/>
      <c r="AA93" s="27"/>
      <c r="AB93" s="27"/>
      <c r="AC93" s="27"/>
      <c r="AD93" s="27"/>
      <c r="AE93" s="27"/>
      <c r="AF93" s="27"/>
      <c r="AG93" s="27"/>
      <c r="AH93" s="27"/>
      <c r="AI93" s="27"/>
      <c r="AJ93" s="27"/>
      <c r="AK93" s="27"/>
      <c r="AL93" s="27"/>
      <c r="AM93" s="27"/>
      <c r="AN93" s="27"/>
      <c r="AO93" s="27"/>
      <c r="AP93" s="27"/>
      <c r="AQ93" s="27"/>
      <c r="AR93" s="27"/>
      <c r="AS93" s="27"/>
      <c r="AT93" s="27"/>
      <c r="AU93" s="27"/>
      <c r="AV93" s="27"/>
      <c r="AW93" s="27"/>
      <c r="AX93" s="27"/>
      <c r="AY93" s="27"/>
      <c r="AZ93" s="27"/>
      <c r="BA93" s="27"/>
      <c r="BB93" s="27"/>
      <c r="BC93" s="27"/>
      <c r="BD93" s="27"/>
      <c r="BE93" s="27"/>
    </row>
    <row r="94" spans="18:57">
      <c r="R94" s="27"/>
      <c r="S94" s="27"/>
      <c r="T94" s="27"/>
      <c r="U94" s="27"/>
      <c r="V94" s="27"/>
      <c r="W94" s="27"/>
      <c r="X94" s="27"/>
      <c r="Y94" s="27"/>
      <c r="Z94" s="27"/>
      <c r="AA94" s="27"/>
      <c r="AB94" s="27"/>
      <c r="AC94" s="27"/>
      <c r="AD94" s="27"/>
      <c r="AE94" s="27"/>
      <c r="AF94" s="27"/>
      <c r="AG94" s="27"/>
      <c r="AH94" s="27"/>
      <c r="AI94" s="27"/>
      <c r="AJ94" s="27"/>
      <c r="AK94" s="27"/>
      <c r="AL94" s="27"/>
      <c r="AM94" s="27"/>
      <c r="AN94" s="27"/>
      <c r="AO94" s="27"/>
      <c r="AP94" s="27"/>
      <c r="AQ94" s="27"/>
      <c r="AR94" s="27"/>
      <c r="AS94" s="27"/>
      <c r="AT94" s="27"/>
      <c r="AU94" s="27"/>
      <c r="AV94" s="27"/>
      <c r="AW94" s="27"/>
      <c r="AX94" s="27"/>
      <c r="AY94" s="27"/>
      <c r="AZ94" s="27"/>
      <c r="BA94" s="27"/>
      <c r="BB94" s="27"/>
      <c r="BC94" s="27"/>
      <c r="BD94" s="27"/>
      <c r="BE94" s="27"/>
    </row>
    <row r="95" spans="18:57">
      <c r="R95" s="27"/>
      <c r="S95" s="27"/>
      <c r="T95" s="27"/>
      <c r="U95" s="27"/>
      <c r="V95" s="27"/>
      <c r="W95" s="27"/>
      <c r="X95" s="27"/>
      <c r="Y95" s="27"/>
      <c r="Z95" s="27"/>
      <c r="AA95" s="27"/>
      <c r="AB95" s="27"/>
      <c r="AC95" s="27"/>
      <c r="AD95" s="27"/>
      <c r="AE95" s="27"/>
      <c r="AF95" s="27"/>
      <c r="AG95" s="27"/>
      <c r="AH95" s="27"/>
      <c r="AI95" s="27"/>
      <c r="AJ95" s="27"/>
      <c r="AK95" s="27"/>
      <c r="AL95" s="27"/>
      <c r="AM95" s="27"/>
      <c r="AN95" s="27"/>
      <c r="AO95" s="27"/>
      <c r="AP95" s="27"/>
      <c r="AQ95" s="27"/>
      <c r="AR95" s="27"/>
      <c r="AS95" s="27"/>
      <c r="AT95" s="27"/>
      <c r="AU95" s="27"/>
      <c r="AV95" s="27"/>
      <c r="AW95" s="27"/>
      <c r="AX95" s="27"/>
      <c r="AY95" s="27"/>
      <c r="AZ95" s="27"/>
      <c r="BA95" s="27"/>
      <c r="BB95" s="27"/>
      <c r="BC95" s="27"/>
      <c r="BD95" s="27"/>
      <c r="BE95" s="27"/>
    </row>
    <row r="96" spans="18:57">
      <c r="R96" s="27"/>
      <c r="S96" s="27"/>
      <c r="T96" s="27"/>
      <c r="U96" s="27"/>
      <c r="V96" s="27"/>
      <c r="W96" s="27"/>
      <c r="X96" s="27"/>
      <c r="Y96" s="27"/>
      <c r="Z96" s="27"/>
      <c r="AA96" s="27"/>
      <c r="AB96" s="27"/>
      <c r="AC96" s="27"/>
      <c r="AD96" s="27"/>
      <c r="AE96" s="27"/>
      <c r="AF96" s="27"/>
      <c r="AG96" s="27"/>
      <c r="AH96" s="27"/>
      <c r="AI96" s="27"/>
      <c r="AJ96" s="27"/>
      <c r="AK96" s="27"/>
      <c r="AL96" s="27"/>
      <c r="AM96" s="27"/>
      <c r="AN96" s="27"/>
      <c r="AO96" s="27"/>
      <c r="AP96" s="27"/>
      <c r="AQ96" s="27"/>
      <c r="AR96" s="27"/>
      <c r="AS96" s="27"/>
      <c r="AT96" s="27"/>
      <c r="AU96" s="27"/>
      <c r="AV96" s="27"/>
      <c r="AW96" s="27"/>
      <c r="AX96" s="27"/>
      <c r="AY96" s="27"/>
      <c r="AZ96" s="27"/>
      <c r="BA96" s="27"/>
      <c r="BB96" s="27"/>
      <c r="BC96" s="27"/>
      <c r="BD96" s="27"/>
      <c r="BE96" s="27"/>
    </row>
    <row r="97" spans="18:57">
      <c r="R97" s="27"/>
      <c r="S97" s="27"/>
      <c r="T97" s="27"/>
      <c r="U97" s="27"/>
      <c r="V97" s="27"/>
      <c r="W97" s="27"/>
      <c r="X97" s="27"/>
      <c r="Y97" s="27"/>
      <c r="Z97" s="27"/>
      <c r="AA97" s="27"/>
      <c r="AB97" s="27"/>
      <c r="AC97" s="27"/>
      <c r="AD97" s="27"/>
      <c r="AE97" s="27"/>
      <c r="AF97" s="27"/>
      <c r="AG97" s="27"/>
      <c r="AH97" s="27"/>
      <c r="AI97" s="27"/>
      <c r="AJ97" s="27"/>
      <c r="AK97" s="27"/>
      <c r="AL97" s="27"/>
      <c r="AM97" s="27"/>
      <c r="AN97" s="27"/>
      <c r="AO97" s="27"/>
      <c r="AP97" s="27"/>
      <c r="AQ97" s="27"/>
      <c r="AR97" s="27"/>
      <c r="AS97" s="27"/>
      <c r="AT97" s="27"/>
      <c r="AU97" s="27"/>
      <c r="AV97" s="27"/>
      <c r="AW97" s="27"/>
      <c r="AX97" s="27"/>
      <c r="AY97" s="27"/>
      <c r="AZ97" s="27"/>
      <c r="BA97" s="27"/>
      <c r="BB97" s="27"/>
      <c r="BC97" s="27"/>
      <c r="BD97" s="27"/>
      <c r="BE97" s="27"/>
    </row>
    <row r="98" spans="18:57">
      <c r="R98" s="27"/>
      <c r="S98" s="27"/>
      <c r="T98" s="27"/>
      <c r="U98" s="27"/>
      <c r="V98" s="27"/>
      <c r="W98" s="27"/>
      <c r="X98" s="27"/>
      <c r="Y98" s="27"/>
      <c r="Z98" s="27"/>
      <c r="AA98" s="27"/>
      <c r="AB98" s="27"/>
      <c r="AC98" s="27"/>
      <c r="AD98" s="27"/>
      <c r="AE98" s="27"/>
      <c r="AF98" s="27"/>
      <c r="AG98" s="27"/>
      <c r="AH98" s="27"/>
      <c r="AI98" s="27"/>
      <c r="AJ98" s="27"/>
      <c r="AK98" s="27"/>
      <c r="AL98" s="27"/>
      <c r="AM98" s="27"/>
      <c r="AN98" s="27"/>
      <c r="AO98" s="27"/>
      <c r="AP98" s="27"/>
      <c r="AQ98" s="27"/>
      <c r="AR98" s="27"/>
      <c r="AS98" s="27"/>
      <c r="AT98" s="27"/>
      <c r="AU98" s="27"/>
      <c r="AV98" s="27"/>
      <c r="AW98" s="27"/>
      <c r="AX98" s="27"/>
      <c r="AY98" s="27"/>
      <c r="AZ98" s="27"/>
      <c r="BA98" s="27"/>
      <c r="BB98" s="27"/>
      <c r="BC98" s="27"/>
      <c r="BD98" s="27"/>
      <c r="BE98" s="27"/>
    </row>
    <row r="99" spans="18:57">
      <c r="R99" s="27"/>
      <c r="S99" s="27"/>
      <c r="T99" s="27"/>
      <c r="U99" s="27"/>
      <c r="V99" s="27"/>
      <c r="W99" s="27"/>
      <c r="X99" s="27"/>
      <c r="Y99" s="27"/>
      <c r="Z99" s="27"/>
      <c r="AA99" s="27"/>
      <c r="AB99" s="27"/>
      <c r="AC99" s="27"/>
      <c r="AD99" s="27"/>
      <c r="AE99" s="27"/>
      <c r="AF99" s="27"/>
      <c r="AG99" s="27"/>
      <c r="AH99" s="27"/>
      <c r="AI99" s="27"/>
      <c r="AJ99" s="27"/>
      <c r="AK99" s="27"/>
      <c r="AL99" s="27"/>
      <c r="AM99" s="27"/>
      <c r="AN99" s="27"/>
      <c r="AO99" s="27"/>
      <c r="AP99" s="27"/>
      <c r="AQ99" s="27"/>
      <c r="AR99" s="27"/>
      <c r="AS99" s="27"/>
      <c r="AT99" s="27"/>
      <c r="AU99" s="27"/>
      <c r="AV99" s="27"/>
      <c r="AW99" s="27"/>
      <c r="AX99" s="27"/>
      <c r="AY99" s="27"/>
      <c r="AZ99" s="27"/>
      <c r="BA99" s="27"/>
      <c r="BB99" s="27"/>
      <c r="BC99" s="27"/>
      <c r="BD99" s="27"/>
      <c r="BE99" s="27"/>
    </row>
    <row r="100" spans="18:57">
      <c r="R100" s="27"/>
      <c r="S100" s="27"/>
      <c r="T100" s="27"/>
      <c r="U100" s="27"/>
      <c r="V100" s="27"/>
      <c r="W100" s="27"/>
      <c r="X100" s="27"/>
      <c r="Y100" s="27"/>
      <c r="Z100" s="27"/>
      <c r="AA100" s="27"/>
      <c r="AB100" s="27"/>
      <c r="AC100" s="27"/>
      <c r="AD100" s="27"/>
      <c r="AE100" s="27"/>
      <c r="AF100" s="27"/>
      <c r="AG100" s="27"/>
      <c r="AH100" s="27"/>
      <c r="AI100" s="27"/>
      <c r="AJ100" s="27"/>
      <c r="AK100" s="27"/>
      <c r="AL100" s="27"/>
      <c r="AM100" s="27"/>
      <c r="AN100" s="27"/>
      <c r="AO100" s="27"/>
      <c r="AP100" s="27"/>
      <c r="AQ100" s="27"/>
      <c r="AR100" s="27"/>
      <c r="AS100" s="27"/>
      <c r="AT100" s="27"/>
      <c r="AU100" s="27"/>
      <c r="AV100" s="27"/>
      <c r="AW100" s="27"/>
      <c r="AX100" s="27"/>
      <c r="AY100" s="27"/>
      <c r="AZ100" s="27"/>
      <c r="BA100" s="27"/>
      <c r="BB100" s="27"/>
      <c r="BC100" s="27"/>
      <c r="BD100" s="27"/>
      <c r="BE100" s="27"/>
    </row>
    <row r="101" spans="18:57">
      <c r="R101" s="27"/>
      <c r="S101" s="27"/>
      <c r="T101" s="27"/>
      <c r="U101" s="27"/>
      <c r="V101" s="27"/>
      <c r="W101" s="27"/>
      <c r="X101" s="27"/>
      <c r="Y101" s="27"/>
      <c r="Z101" s="27"/>
      <c r="AA101" s="27"/>
      <c r="AB101" s="27"/>
      <c r="AC101" s="27"/>
      <c r="AD101" s="27"/>
      <c r="AE101" s="27"/>
      <c r="AF101" s="27"/>
      <c r="AG101" s="27"/>
      <c r="AH101" s="27"/>
      <c r="AI101" s="27"/>
      <c r="AJ101" s="27"/>
      <c r="AK101" s="27"/>
      <c r="AL101" s="27"/>
      <c r="AM101" s="27"/>
      <c r="AN101" s="27"/>
      <c r="AO101" s="27"/>
      <c r="AP101" s="27"/>
      <c r="AQ101" s="27"/>
      <c r="AR101" s="27"/>
      <c r="AS101" s="27"/>
      <c r="AT101" s="27"/>
      <c r="AU101" s="27"/>
      <c r="AV101" s="27"/>
      <c r="AW101" s="27"/>
      <c r="AX101" s="27"/>
      <c r="AY101" s="27"/>
      <c r="AZ101" s="27"/>
      <c r="BA101" s="27"/>
      <c r="BB101" s="27"/>
      <c r="BC101" s="27"/>
      <c r="BD101" s="27"/>
      <c r="BE101" s="27"/>
    </row>
    <row r="102" spans="18:57">
      <c r="R102" s="27"/>
      <c r="S102" s="27"/>
      <c r="T102" s="27"/>
      <c r="U102" s="27"/>
      <c r="V102" s="27"/>
      <c r="W102" s="27"/>
      <c r="X102" s="27"/>
      <c r="Y102" s="27"/>
      <c r="Z102" s="27"/>
      <c r="AA102" s="27"/>
      <c r="AB102" s="27"/>
      <c r="AC102" s="27"/>
      <c r="AD102" s="27"/>
      <c r="AE102" s="27"/>
      <c r="AF102" s="27"/>
      <c r="AG102" s="27"/>
      <c r="AH102" s="27"/>
      <c r="AI102" s="27"/>
      <c r="AJ102" s="27"/>
      <c r="AK102" s="27"/>
      <c r="AL102" s="27"/>
      <c r="AM102" s="27"/>
      <c r="AN102" s="27"/>
      <c r="AO102" s="27"/>
      <c r="AP102" s="27"/>
      <c r="AQ102" s="27"/>
      <c r="AR102" s="27"/>
      <c r="AS102" s="27"/>
      <c r="AT102" s="27"/>
      <c r="AU102" s="27"/>
      <c r="AV102" s="27"/>
      <c r="AW102" s="27"/>
      <c r="AX102" s="27"/>
      <c r="AY102" s="27"/>
      <c r="AZ102" s="27"/>
      <c r="BA102" s="27"/>
      <c r="BB102" s="27"/>
      <c r="BC102" s="27"/>
      <c r="BD102" s="27"/>
      <c r="BE102" s="27"/>
    </row>
    <row r="103" spans="18:57">
      <c r="R103" s="27"/>
      <c r="S103" s="27"/>
      <c r="T103" s="27"/>
      <c r="U103" s="27"/>
      <c r="V103" s="27"/>
      <c r="W103" s="27"/>
      <c r="X103" s="27"/>
      <c r="Y103" s="27"/>
      <c r="Z103" s="27"/>
      <c r="AA103" s="27"/>
      <c r="AB103" s="27"/>
      <c r="AC103" s="27"/>
      <c r="AD103" s="27"/>
      <c r="AE103" s="27"/>
      <c r="AF103" s="27"/>
      <c r="AG103" s="27"/>
      <c r="AH103" s="27"/>
      <c r="AI103" s="27"/>
      <c r="AJ103" s="27"/>
      <c r="AK103" s="27"/>
      <c r="AL103" s="27"/>
      <c r="AM103" s="27"/>
      <c r="AN103" s="27"/>
      <c r="AO103" s="27"/>
      <c r="AP103" s="27"/>
      <c r="AQ103" s="27"/>
      <c r="AR103" s="27"/>
      <c r="AS103" s="27"/>
      <c r="AT103" s="27"/>
      <c r="AU103" s="27"/>
      <c r="AV103" s="27"/>
      <c r="AW103" s="27"/>
      <c r="AX103" s="27"/>
      <c r="AY103" s="27"/>
      <c r="AZ103" s="27"/>
      <c r="BA103" s="27"/>
      <c r="BB103" s="27"/>
      <c r="BC103" s="27"/>
      <c r="BD103" s="27"/>
      <c r="BE103" s="27"/>
    </row>
    <row r="104" spans="18:57">
      <c r="R104" s="27"/>
      <c r="S104" s="27"/>
      <c r="T104" s="27"/>
      <c r="U104" s="27"/>
      <c r="V104" s="27"/>
      <c r="W104" s="27"/>
      <c r="X104" s="27"/>
      <c r="Y104" s="27"/>
      <c r="Z104" s="27"/>
      <c r="AA104" s="27"/>
      <c r="AB104" s="27"/>
      <c r="AC104" s="27"/>
      <c r="AD104" s="27"/>
      <c r="AE104" s="27"/>
      <c r="AF104" s="27"/>
      <c r="AG104" s="27"/>
      <c r="AH104" s="27"/>
      <c r="AI104" s="27"/>
      <c r="AJ104" s="27"/>
      <c r="AK104" s="27"/>
      <c r="AL104" s="27"/>
      <c r="AM104" s="27"/>
      <c r="AN104" s="27"/>
      <c r="AO104" s="27"/>
      <c r="AP104" s="27"/>
      <c r="AQ104" s="27"/>
      <c r="AR104" s="27"/>
      <c r="AS104" s="27"/>
      <c r="AT104" s="27"/>
      <c r="AU104" s="27"/>
      <c r="AV104" s="27"/>
      <c r="AW104" s="27"/>
      <c r="AX104" s="27"/>
      <c r="AY104" s="27"/>
      <c r="AZ104" s="27"/>
      <c r="BA104" s="27"/>
      <c r="BB104" s="27"/>
      <c r="BC104" s="27"/>
      <c r="BD104" s="27"/>
      <c r="BE104" s="27"/>
    </row>
    <row r="105" spans="18:57">
      <c r="R105" s="27"/>
      <c r="S105" s="27"/>
      <c r="T105" s="27"/>
      <c r="U105" s="27"/>
      <c r="V105" s="27"/>
      <c r="W105" s="27"/>
      <c r="X105" s="27"/>
      <c r="Y105" s="27"/>
      <c r="Z105" s="27"/>
      <c r="AA105" s="27"/>
      <c r="AB105" s="27"/>
      <c r="AC105" s="27"/>
      <c r="AD105" s="27"/>
      <c r="AE105" s="27"/>
      <c r="AF105" s="27"/>
      <c r="AG105" s="27"/>
      <c r="AH105" s="27"/>
      <c r="AI105" s="27"/>
      <c r="AJ105" s="27"/>
      <c r="AK105" s="27"/>
      <c r="AL105" s="27"/>
      <c r="AM105" s="27"/>
      <c r="AN105" s="27"/>
      <c r="AO105" s="27"/>
      <c r="AP105" s="27"/>
      <c r="AQ105" s="27"/>
      <c r="AR105" s="27"/>
      <c r="AS105" s="27"/>
      <c r="AT105" s="27"/>
      <c r="AU105" s="27"/>
      <c r="AV105" s="27"/>
      <c r="AW105" s="27"/>
      <c r="AX105" s="27"/>
      <c r="AY105" s="27"/>
      <c r="AZ105" s="27"/>
      <c r="BA105" s="27"/>
      <c r="BB105" s="27"/>
      <c r="BC105" s="27"/>
      <c r="BD105" s="27"/>
      <c r="BE105" s="27"/>
    </row>
    <row r="106" spans="18:57">
      <c r="R106" s="27"/>
      <c r="S106" s="27"/>
      <c r="T106" s="27"/>
      <c r="U106" s="27"/>
      <c r="V106" s="27"/>
      <c r="W106" s="27"/>
      <c r="X106" s="27"/>
      <c r="Y106" s="27"/>
      <c r="Z106" s="27"/>
      <c r="AA106" s="27"/>
      <c r="AB106" s="27"/>
      <c r="AC106" s="27"/>
      <c r="AD106" s="27"/>
      <c r="AE106" s="27"/>
      <c r="AF106" s="27"/>
      <c r="AG106" s="27"/>
      <c r="AH106" s="27"/>
      <c r="AI106" s="27"/>
      <c r="AJ106" s="27"/>
      <c r="AK106" s="27"/>
      <c r="AL106" s="27"/>
      <c r="AM106" s="27"/>
      <c r="AN106" s="27"/>
      <c r="AO106" s="27"/>
      <c r="AP106" s="27"/>
      <c r="AQ106" s="27"/>
      <c r="AR106" s="27"/>
      <c r="AS106" s="27"/>
      <c r="AT106" s="27"/>
      <c r="AU106" s="27"/>
      <c r="AV106" s="27"/>
      <c r="AW106" s="27"/>
      <c r="AX106" s="27"/>
      <c r="AY106" s="27"/>
      <c r="AZ106" s="27"/>
      <c r="BA106" s="27"/>
      <c r="BB106" s="27"/>
      <c r="BC106" s="27"/>
      <c r="BD106" s="27"/>
      <c r="BE106" s="27"/>
    </row>
    <row r="107" spans="18:57">
      <c r="R107" s="27"/>
      <c r="S107" s="27"/>
      <c r="T107" s="27"/>
      <c r="U107" s="27"/>
      <c r="V107" s="27"/>
      <c r="W107" s="27"/>
      <c r="X107" s="27"/>
      <c r="Y107" s="27"/>
      <c r="Z107" s="27"/>
      <c r="AA107" s="27"/>
      <c r="AB107" s="27"/>
      <c r="AC107" s="27"/>
      <c r="AD107" s="27"/>
      <c r="AE107" s="27"/>
      <c r="AF107" s="27"/>
      <c r="AG107" s="27"/>
      <c r="AH107" s="27"/>
      <c r="AI107" s="27"/>
      <c r="AJ107" s="27"/>
      <c r="AK107" s="27"/>
      <c r="AL107" s="27"/>
      <c r="AM107" s="27"/>
      <c r="AN107" s="27"/>
      <c r="AO107" s="27"/>
      <c r="AP107" s="27"/>
      <c r="AQ107" s="27"/>
      <c r="AR107" s="27"/>
      <c r="AS107" s="27"/>
      <c r="AT107" s="27"/>
      <c r="AU107" s="27"/>
      <c r="AV107" s="27"/>
      <c r="AW107" s="27"/>
      <c r="AX107" s="27"/>
      <c r="AY107" s="27"/>
      <c r="AZ107" s="27"/>
      <c r="BA107" s="27"/>
      <c r="BB107" s="27"/>
      <c r="BC107" s="27"/>
      <c r="BD107" s="27"/>
      <c r="BE107" s="27"/>
    </row>
    <row r="108" spans="18:57">
      <c r="R108" s="27"/>
      <c r="S108" s="27"/>
      <c r="T108" s="27"/>
      <c r="U108" s="27"/>
      <c r="V108" s="27"/>
      <c r="W108" s="27"/>
      <c r="X108" s="27"/>
      <c r="Y108" s="27"/>
      <c r="Z108" s="27"/>
      <c r="AA108" s="27"/>
      <c r="AB108" s="27"/>
      <c r="AC108" s="27"/>
      <c r="AD108" s="27"/>
      <c r="AE108" s="27"/>
      <c r="AF108" s="27"/>
      <c r="AG108" s="27"/>
      <c r="AH108" s="27"/>
      <c r="AI108" s="27"/>
      <c r="AJ108" s="27"/>
      <c r="AK108" s="27"/>
      <c r="AL108" s="27"/>
      <c r="AM108" s="27"/>
      <c r="AN108" s="27"/>
      <c r="AO108" s="27"/>
      <c r="AP108" s="27"/>
      <c r="AQ108" s="27"/>
      <c r="AR108" s="27"/>
      <c r="AS108" s="27"/>
      <c r="AT108" s="27"/>
      <c r="AU108" s="27"/>
      <c r="AV108" s="27"/>
      <c r="AW108" s="27"/>
      <c r="AX108" s="27"/>
      <c r="AY108" s="27"/>
      <c r="AZ108" s="27"/>
      <c r="BA108" s="27"/>
      <c r="BB108" s="27"/>
      <c r="BC108" s="27"/>
      <c r="BD108" s="27"/>
      <c r="BE108" s="27"/>
    </row>
    <row r="109" spans="18:57">
      <c r="R109" s="27"/>
      <c r="S109" s="27"/>
      <c r="T109" s="27"/>
      <c r="U109" s="27"/>
      <c r="V109" s="27"/>
      <c r="W109" s="27"/>
      <c r="X109" s="27"/>
      <c r="Y109" s="27"/>
      <c r="Z109" s="27"/>
      <c r="AA109" s="27"/>
      <c r="AB109" s="27"/>
      <c r="AC109" s="27"/>
      <c r="AD109" s="27"/>
      <c r="AE109" s="27"/>
      <c r="AF109" s="27"/>
      <c r="AG109" s="27"/>
      <c r="AH109" s="27"/>
      <c r="AI109" s="27"/>
      <c r="AJ109" s="27"/>
      <c r="AK109" s="27"/>
      <c r="AL109" s="27"/>
      <c r="AM109" s="27"/>
      <c r="AN109" s="27"/>
      <c r="AO109" s="27"/>
      <c r="AP109" s="27"/>
      <c r="AQ109" s="27"/>
      <c r="AR109" s="27"/>
      <c r="AS109" s="27"/>
      <c r="AT109" s="27"/>
      <c r="AU109" s="27"/>
      <c r="AV109" s="27"/>
      <c r="AW109" s="27"/>
      <c r="AX109" s="27"/>
      <c r="AY109" s="27"/>
      <c r="AZ109" s="27"/>
      <c r="BA109" s="27"/>
      <c r="BB109" s="27"/>
      <c r="BC109" s="27"/>
      <c r="BD109" s="27"/>
      <c r="BE109" s="27"/>
    </row>
    <row r="110" spans="18:57">
      <c r="R110" s="27"/>
      <c r="S110" s="27"/>
      <c r="T110" s="27"/>
      <c r="U110" s="27"/>
      <c r="V110" s="27"/>
      <c r="W110" s="27"/>
      <c r="X110" s="27"/>
      <c r="Y110" s="27"/>
      <c r="Z110" s="27"/>
      <c r="AA110" s="27"/>
      <c r="AB110" s="27"/>
      <c r="AC110" s="27"/>
      <c r="AD110" s="27"/>
      <c r="AE110" s="27"/>
      <c r="AF110" s="27"/>
      <c r="AG110" s="27"/>
      <c r="AH110" s="27"/>
      <c r="AI110" s="27"/>
      <c r="AJ110" s="27"/>
      <c r="AK110" s="27"/>
      <c r="AL110" s="27"/>
      <c r="AM110" s="27"/>
      <c r="AN110" s="27"/>
      <c r="AO110" s="27"/>
      <c r="AP110" s="27"/>
      <c r="AQ110" s="27"/>
      <c r="AR110" s="27"/>
      <c r="AS110" s="27"/>
      <c r="AT110" s="27"/>
      <c r="AU110" s="27"/>
      <c r="AV110" s="27"/>
      <c r="AW110" s="27"/>
      <c r="AX110" s="27"/>
      <c r="AY110" s="27"/>
      <c r="AZ110" s="27"/>
      <c r="BA110" s="27"/>
      <c r="BB110" s="27"/>
      <c r="BC110" s="27"/>
      <c r="BD110" s="27"/>
      <c r="BE110" s="27"/>
    </row>
    <row r="111" spans="18:57">
      <c r="R111" s="27"/>
      <c r="S111" s="27"/>
      <c r="T111" s="27"/>
      <c r="U111" s="27"/>
      <c r="V111" s="27"/>
      <c r="W111" s="27"/>
      <c r="X111" s="27"/>
      <c r="Y111" s="27"/>
      <c r="Z111" s="27"/>
      <c r="AA111" s="27"/>
      <c r="AB111" s="27"/>
      <c r="AC111" s="27"/>
      <c r="AD111" s="27"/>
      <c r="AE111" s="27"/>
      <c r="AF111" s="27"/>
      <c r="AG111" s="27"/>
      <c r="AH111" s="27"/>
      <c r="AI111" s="27"/>
      <c r="AJ111" s="27"/>
      <c r="AK111" s="27"/>
      <c r="AL111" s="27"/>
      <c r="AM111" s="27"/>
      <c r="AN111" s="27"/>
      <c r="AO111" s="27"/>
      <c r="AP111" s="27"/>
      <c r="AQ111" s="27"/>
      <c r="AR111" s="27"/>
      <c r="AS111" s="27"/>
      <c r="AT111" s="27"/>
      <c r="AU111" s="27"/>
      <c r="AV111" s="27"/>
      <c r="AW111" s="27"/>
      <c r="AX111" s="27"/>
      <c r="AY111" s="27"/>
      <c r="AZ111" s="27"/>
      <c r="BA111" s="27"/>
      <c r="BB111" s="27"/>
      <c r="BC111" s="27"/>
      <c r="BD111" s="27"/>
      <c r="BE111" s="27"/>
    </row>
    <row r="112" spans="18:57">
      <c r="R112" s="27"/>
      <c r="S112" s="27"/>
      <c r="T112" s="27"/>
      <c r="U112" s="27"/>
      <c r="V112" s="27"/>
      <c r="W112" s="27"/>
      <c r="X112" s="27"/>
      <c r="Y112" s="27"/>
      <c r="Z112" s="27"/>
      <c r="AA112" s="27"/>
      <c r="AB112" s="27"/>
      <c r="AC112" s="27"/>
      <c r="AD112" s="27"/>
      <c r="AE112" s="27"/>
      <c r="AF112" s="27"/>
      <c r="AG112" s="27"/>
      <c r="AH112" s="27"/>
      <c r="AI112" s="27"/>
      <c r="AJ112" s="27"/>
      <c r="AK112" s="27"/>
      <c r="AL112" s="27"/>
      <c r="AM112" s="27"/>
      <c r="AN112" s="27"/>
      <c r="AO112" s="27"/>
      <c r="AP112" s="27"/>
      <c r="AQ112" s="27"/>
      <c r="AR112" s="27"/>
      <c r="AS112" s="27"/>
      <c r="AT112" s="27"/>
      <c r="AU112" s="27"/>
      <c r="AV112" s="27"/>
      <c r="AW112" s="27"/>
      <c r="AX112" s="27"/>
      <c r="AY112" s="27"/>
      <c r="AZ112" s="27"/>
      <c r="BA112" s="27"/>
      <c r="BB112" s="27"/>
      <c r="BC112" s="27"/>
      <c r="BD112" s="27"/>
      <c r="BE112" s="27"/>
    </row>
    <row r="113" spans="18:57">
      <c r="R113" s="27"/>
      <c r="S113" s="27"/>
      <c r="T113" s="27"/>
      <c r="U113" s="27"/>
      <c r="V113" s="27"/>
      <c r="W113" s="27"/>
      <c r="X113" s="27"/>
      <c r="Y113" s="27"/>
      <c r="Z113" s="27"/>
      <c r="AA113" s="27"/>
      <c r="AB113" s="27"/>
      <c r="AC113" s="27"/>
      <c r="AD113" s="27"/>
      <c r="AE113" s="27"/>
      <c r="AF113" s="27"/>
      <c r="AG113" s="27"/>
      <c r="AH113" s="27"/>
      <c r="AI113" s="27"/>
      <c r="AJ113" s="27"/>
      <c r="AK113" s="27"/>
      <c r="AL113" s="27"/>
      <c r="AM113" s="27"/>
      <c r="AN113" s="27"/>
      <c r="AO113" s="27"/>
      <c r="AP113" s="27"/>
      <c r="AQ113" s="27"/>
      <c r="AR113" s="27"/>
      <c r="AS113" s="27"/>
      <c r="AT113" s="27"/>
      <c r="AU113" s="27"/>
      <c r="AV113" s="27"/>
      <c r="AW113" s="27"/>
      <c r="AX113" s="27"/>
      <c r="AY113" s="27"/>
      <c r="AZ113" s="27"/>
      <c r="BA113" s="27"/>
      <c r="BB113" s="27"/>
      <c r="BC113" s="27"/>
      <c r="BD113" s="27"/>
      <c r="BE113" s="27"/>
    </row>
    <row r="114" spans="18:57">
      <c r="R114" s="27"/>
      <c r="S114" s="27"/>
      <c r="T114" s="27"/>
      <c r="U114" s="27"/>
      <c r="V114" s="27"/>
      <c r="W114" s="27"/>
      <c r="X114" s="27"/>
      <c r="Y114" s="27"/>
      <c r="Z114" s="27"/>
      <c r="AA114" s="27"/>
      <c r="AB114" s="27"/>
      <c r="AC114" s="27"/>
      <c r="AD114" s="27"/>
      <c r="AE114" s="27"/>
      <c r="AF114" s="27"/>
      <c r="AG114" s="27"/>
      <c r="AH114" s="27"/>
      <c r="AI114" s="27"/>
      <c r="AJ114" s="27"/>
      <c r="AK114" s="27"/>
      <c r="AL114" s="27"/>
      <c r="AM114" s="27"/>
      <c r="AN114" s="27"/>
      <c r="AO114" s="27"/>
      <c r="AP114" s="27"/>
      <c r="AQ114" s="27"/>
      <c r="AR114" s="27"/>
      <c r="AS114" s="27"/>
      <c r="AT114" s="27"/>
      <c r="AU114" s="27"/>
      <c r="AV114" s="27"/>
      <c r="AW114" s="27"/>
      <c r="AX114" s="27"/>
      <c r="AY114" s="27"/>
      <c r="AZ114" s="27"/>
      <c r="BA114" s="27"/>
      <c r="BB114" s="27"/>
      <c r="BC114" s="27"/>
      <c r="BD114" s="27"/>
      <c r="BE114" s="27"/>
    </row>
    <row r="115" spans="18:57">
      <c r="R115" s="27"/>
      <c r="S115" s="27"/>
      <c r="T115" s="27"/>
      <c r="U115" s="27"/>
      <c r="V115" s="27"/>
      <c r="W115" s="27"/>
      <c r="X115" s="27"/>
      <c r="Y115" s="27"/>
      <c r="Z115" s="27"/>
      <c r="AA115" s="27"/>
      <c r="AB115" s="27"/>
      <c r="AC115" s="27"/>
      <c r="AD115" s="27"/>
      <c r="AE115" s="27"/>
      <c r="AF115" s="27"/>
      <c r="AG115" s="27"/>
      <c r="AH115" s="27"/>
      <c r="AI115" s="27"/>
      <c r="AJ115" s="27"/>
      <c r="AK115" s="27"/>
      <c r="AL115" s="27"/>
      <c r="AM115" s="27"/>
      <c r="AN115" s="27"/>
      <c r="AO115" s="27"/>
      <c r="AP115" s="27"/>
      <c r="AQ115" s="27"/>
      <c r="AR115" s="27"/>
      <c r="AS115" s="27"/>
      <c r="AT115" s="27"/>
      <c r="AU115" s="27"/>
      <c r="AV115" s="27"/>
      <c r="AW115" s="27"/>
      <c r="AX115" s="27"/>
      <c r="AY115" s="27"/>
      <c r="AZ115" s="27"/>
      <c r="BA115" s="27"/>
      <c r="BB115" s="27"/>
      <c r="BC115" s="27"/>
      <c r="BD115" s="27"/>
      <c r="BE115" s="27"/>
    </row>
    <row r="116" spans="18:57">
      <c r="R116" s="27"/>
      <c r="S116" s="27"/>
      <c r="T116" s="27"/>
      <c r="U116" s="27"/>
      <c r="V116" s="27"/>
      <c r="W116" s="27"/>
      <c r="X116" s="27"/>
      <c r="Y116" s="27"/>
      <c r="Z116" s="27"/>
      <c r="AA116" s="27"/>
      <c r="AB116" s="27"/>
      <c r="AC116" s="27"/>
      <c r="AD116" s="27"/>
      <c r="AE116" s="27"/>
      <c r="AF116" s="27"/>
      <c r="AG116" s="27"/>
      <c r="AH116" s="27"/>
      <c r="AI116" s="27"/>
      <c r="AJ116" s="27"/>
      <c r="AK116" s="27"/>
      <c r="AL116" s="27"/>
      <c r="AM116" s="27"/>
      <c r="AN116" s="27"/>
      <c r="AO116" s="27"/>
      <c r="AP116" s="27"/>
      <c r="AQ116" s="27"/>
      <c r="AR116" s="27"/>
      <c r="AS116" s="27"/>
      <c r="AT116" s="27"/>
      <c r="AU116" s="27"/>
      <c r="AV116" s="27"/>
      <c r="AW116" s="27"/>
      <c r="AX116" s="27"/>
      <c r="AY116" s="27"/>
      <c r="AZ116" s="27"/>
      <c r="BA116" s="27"/>
      <c r="BB116" s="27"/>
      <c r="BC116" s="27"/>
      <c r="BD116" s="27"/>
      <c r="BE116" s="27"/>
    </row>
    <row r="117" spans="18:57">
      <c r="R117" s="27"/>
      <c r="S117" s="27"/>
      <c r="T117" s="27"/>
      <c r="U117" s="27"/>
      <c r="V117" s="27"/>
      <c r="W117" s="27"/>
      <c r="X117" s="27"/>
      <c r="Y117" s="27"/>
      <c r="Z117" s="27"/>
      <c r="AA117" s="27"/>
      <c r="AB117" s="27"/>
      <c r="AC117" s="27"/>
      <c r="AD117" s="27"/>
      <c r="AE117" s="27"/>
      <c r="AF117" s="27"/>
      <c r="AG117" s="27"/>
      <c r="AH117" s="27"/>
      <c r="AI117" s="27"/>
      <c r="AJ117" s="27"/>
      <c r="AK117" s="27"/>
      <c r="AL117" s="27"/>
      <c r="AM117" s="27"/>
      <c r="AN117" s="27"/>
      <c r="AO117" s="27"/>
      <c r="AP117" s="27"/>
      <c r="AQ117" s="27"/>
      <c r="AR117" s="27"/>
      <c r="AS117" s="27"/>
      <c r="AT117" s="27"/>
      <c r="AU117" s="27"/>
      <c r="AV117" s="27"/>
      <c r="AW117" s="27"/>
      <c r="AX117" s="27"/>
      <c r="AY117" s="27"/>
      <c r="AZ117" s="27"/>
      <c r="BA117" s="27"/>
      <c r="BB117" s="27"/>
      <c r="BC117" s="27"/>
      <c r="BD117" s="27"/>
      <c r="BE117" s="27"/>
    </row>
    <row r="118" spans="18:57">
      <c r="R118" s="27"/>
      <c r="S118" s="27"/>
      <c r="T118" s="27"/>
      <c r="U118" s="27"/>
      <c r="V118" s="27"/>
      <c r="W118" s="27"/>
      <c r="X118" s="27"/>
      <c r="Y118" s="27"/>
      <c r="Z118" s="27"/>
      <c r="AA118" s="27"/>
      <c r="AB118" s="27"/>
      <c r="AC118" s="27"/>
      <c r="AD118" s="27"/>
      <c r="AE118" s="27"/>
      <c r="AF118" s="27"/>
      <c r="AG118" s="27"/>
      <c r="AH118" s="27"/>
      <c r="AI118" s="27"/>
      <c r="AJ118" s="27"/>
      <c r="AK118" s="27"/>
      <c r="AL118" s="27"/>
      <c r="AM118" s="27"/>
      <c r="AN118" s="27"/>
      <c r="AO118" s="27"/>
      <c r="AP118" s="27"/>
      <c r="AQ118" s="27"/>
      <c r="AR118" s="27"/>
      <c r="AS118" s="27"/>
      <c r="AT118" s="27"/>
      <c r="AU118" s="27"/>
      <c r="AV118" s="27"/>
      <c r="AW118" s="27"/>
      <c r="AX118" s="27"/>
      <c r="AY118" s="27"/>
      <c r="AZ118" s="27"/>
      <c r="BA118" s="27"/>
      <c r="BB118" s="27"/>
      <c r="BC118" s="27"/>
      <c r="BD118" s="27"/>
      <c r="BE118" s="27"/>
    </row>
    <row r="119" spans="18:57">
      <c r="R119" s="27"/>
      <c r="S119" s="27"/>
      <c r="T119" s="27"/>
      <c r="U119" s="27"/>
      <c r="V119" s="27"/>
      <c r="W119" s="27"/>
      <c r="X119" s="27"/>
      <c r="Y119" s="27"/>
      <c r="Z119" s="27"/>
      <c r="AA119" s="27"/>
      <c r="AB119" s="27"/>
      <c r="AC119" s="27"/>
      <c r="AD119" s="27"/>
      <c r="AE119" s="27"/>
      <c r="AF119" s="27"/>
      <c r="AG119" s="27"/>
      <c r="AH119" s="27"/>
      <c r="AI119" s="27"/>
      <c r="AJ119" s="27"/>
      <c r="AK119" s="27"/>
      <c r="AL119" s="27"/>
      <c r="AM119" s="27"/>
      <c r="AN119" s="27"/>
      <c r="AO119" s="27"/>
      <c r="AP119" s="27"/>
      <c r="AQ119" s="27"/>
      <c r="AR119" s="27"/>
      <c r="AS119" s="27"/>
      <c r="AT119" s="27"/>
      <c r="AU119" s="27"/>
      <c r="AV119" s="27"/>
      <c r="AW119" s="27"/>
      <c r="AX119" s="27"/>
      <c r="AY119" s="27"/>
      <c r="AZ119" s="27"/>
      <c r="BA119" s="27"/>
      <c r="BB119" s="27"/>
      <c r="BC119" s="27"/>
      <c r="BD119" s="27"/>
      <c r="BE119" s="27"/>
    </row>
    <row r="120" spans="18:57">
      <c r="R120" s="27"/>
      <c r="S120" s="27"/>
      <c r="T120" s="27"/>
      <c r="U120" s="27"/>
      <c r="V120" s="27"/>
      <c r="W120" s="27"/>
      <c r="X120" s="27"/>
      <c r="Y120" s="27"/>
      <c r="Z120" s="27"/>
      <c r="AA120" s="27"/>
      <c r="AB120" s="27"/>
      <c r="AC120" s="27"/>
      <c r="AD120" s="27"/>
      <c r="AE120" s="27"/>
      <c r="AF120" s="27"/>
      <c r="AG120" s="27"/>
      <c r="AH120" s="27"/>
      <c r="AI120" s="27"/>
      <c r="AJ120" s="27"/>
      <c r="AK120" s="27"/>
      <c r="AL120" s="27"/>
      <c r="AM120" s="27"/>
      <c r="AN120" s="27"/>
      <c r="AO120" s="27"/>
      <c r="AP120" s="27"/>
      <c r="AQ120" s="27"/>
      <c r="AR120" s="27"/>
      <c r="AS120" s="27"/>
      <c r="AT120" s="27"/>
      <c r="AU120" s="27"/>
      <c r="AV120" s="27"/>
      <c r="AW120" s="27"/>
      <c r="AX120" s="27"/>
      <c r="AY120" s="27"/>
      <c r="AZ120" s="27"/>
      <c r="BA120" s="27"/>
      <c r="BB120" s="27"/>
      <c r="BC120" s="27"/>
      <c r="BD120" s="27"/>
      <c r="BE120" s="27"/>
    </row>
    <row r="121" spans="18:57">
      <c r="R121" s="27"/>
      <c r="S121" s="27"/>
      <c r="T121" s="27"/>
      <c r="U121" s="27"/>
      <c r="V121" s="27"/>
      <c r="W121" s="27"/>
      <c r="X121" s="27"/>
      <c r="Y121" s="27"/>
      <c r="Z121" s="27"/>
      <c r="AA121" s="27"/>
      <c r="AB121" s="27"/>
      <c r="AC121" s="27"/>
      <c r="AD121" s="27"/>
      <c r="AE121" s="27"/>
      <c r="AF121" s="27"/>
      <c r="AG121" s="27"/>
      <c r="AH121" s="27"/>
      <c r="AI121" s="27"/>
      <c r="AJ121" s="27"/>
      <c r="AK121" s="27"/>
      <c r="AL121" s="27"/>
      <c r="AM121" s="27"/>
      <c r="AN121" s="27"/>
      <c r="AO121" s="27"/>
      <c r="AP121" s="27"/>
      <c r="AQ121" s="27"/>
      <c r="AR121" s="27"/>
      <c r="AS121" s="27"/>
      <c r="AT121" s="27"/>
      <c r="AU121" s="27"/>
      <c r="AV121" s="27"/>
      <c r="AW121" s="27"/>
      <c r="AX121" s="27"/>
      <c r="AY121" s="27"/>
      <c r="AZ121" s="27"/>
      <c r="BA121" s="27"/>
      <c r="BB121" s="27"/>
      <c r="BC121" s="27"/>
      <c r="BD121" s="27"/>
      <c r="BE121" s="27"/>
    </row>
    <row r="122" spans="18:57">
      <c r="R122" s="27"/>
      <c r="S122" s="27"/>
      <c r="T122" s="27"/>
      <c r="U122" s="27"/>
      <c r="V122" s="27"/>
      <c r="W122" s="27"/>
      <c r="X122" s="27"/>
      <c r="Y122" s="27"/>
      <c r="Z122" s="27"/>
      <c r="AA122" s="27"/>
      <c r="AB122" s="27"/>
      <c r="AC122" s="27"/>
      <c r="AD122" s="27"/>
      <c r="AE122" s="27"/>
      <c r="AF122" s="27"/>
      <c r="AG122" s="27"/>
      <c r="AH122" s="27"/>
      <c r="AI122" s="27"/>
      <c r="AJ122" s="27"/>
      <c r="AK122" s="27"/>
      <c r="AL122" s="27"/>
      <c r="AM122" s="27"/>
      <c r="AN122" s="27"/>
      <c r="AO122" s="27"/>
      <c r="AP122" s="27"/>
      <c r="AQ122" s="27"/>
      <c r="AR122" s="27"/>
      <c r="AS122" s="27"/>
      <c r="AT122" s="27"/>
      <c r="AU122" s="27"/>
      <c r="AV122" s="27"/>
      <c r="AW122" s="27"/>
      <c r="AX122" s="27"/>
      <c r="AY122" s="27"/>
      <c r="AZ122" s="27"/>
      <c r="BA122" s="27"/>
      <c r="BB122" s="27"/>
      <c r="BC122" s="27"/>
      <c r="BD122" s="27"/>
      <c r="BE122" s="27"/>
    </row>
    <row r="123" spans="18:57">
      <c r="R123" s="27"/>
      <c r="S123" s="27"/>
      <c r="T123" s="27"/>
      <c r="U123" s="27"/>
      <c r="V123" s="27"/>
      <c r="W123" s="27"/>
      <c r="X123" s="27"/>
      <c r="Y123" s="27"/>
      <c r="Z123" s="27"/>
      <c r="AA123" s="27"/>
      <c r="AB123" s="27"/>
      <c r="AC123" s="27"/>
      <c r="AD123" s="27"/>
      <c r="AE123" s="27"/>
      <c r="AF123" s="27"/>
      <c r="AG123" s="27"/>
      <c r="AH123" s="27"/>
      <c r="AI123" s="27"/>
      <c r="AJ123" s="27"/>
      <c r="AK123" s="27"/>
      <c r="AL123" s="27"/>
      <c r="AM123" s="27"/>
      <c r="AN123" s="27"/>
      <c r="AO123" s="27"/>
      <c r="AP123" s="27"/>
      <c r="AQ123" s="27"/>
      <c r="AR123" s="27"/>
      <c r="AS123" s="27"/>
      <c r="AT123" s="27"/>
      <c r="AU123" s="27"/>
      <c r="AV123" s="27"/>
      <c r="AW123" s="27"/>
      <c r="AX123" s="27"/>
      <c r="AY123" s="27"/>
      <c r="AZ123" s="27"/>
      <c r="BA123" s="27"/>
      <c r="BB123" s="27"/>
      <c r="BC123" s="27"/>
      <c r="BD123" s="27"/>
      <c r="BE123" s="27"/>
    </row>
    <row r="124" spans="18:57">
      <c r="R124" s="27"/>
      <c r="S124" s="27"/>
      <c r="T124" s="27"/>
      <c r="U124" s="27"/>
      <c r="V124" s="27"/>
      <c r="W124" s="27"/>
      <c r="X124" s="27"/>
      <c r="Y124" s="27"/>
      <c r="Z124" s="27"/>
      <c r="AA124" s="27"/>
      <c r="AB124" s="27"/>
      <c r="AC124" s="27"/>
      <c r="AD124" s="27"/>
      <c r="AE124" s="27"/>
      <c r="AF124" s="27"/>
      <c r="AG124" s="27"/>
      <c r="AH124" s="27"/>
      <c r="AI124" s="27"/>
      <c r="AJ124" s="27"/>
      <c r="AK124" s="27"/>
      <c r="AL124" s="27"/>
      <c r="AM124" s="27"/>
      <c r="AN124" s="27"/>
      <c r="AO124" s="27"/>
      <c r="AP124" s="27"/>
      <c r="AQ124" s="27"/>
      <c r="AR124" s="27"/>
      <c r="AS124" s="27"/>
      <c r="AT124" s="27"/>
      <c r="AU124" s="27"/>
      <c r="AV124" s="27"/>
      <c r="AW124" s="27"/>
      <c r="AX124" s="27"/>
      <c r="AY124" s="27"/>
      <c r="AZ124" s="27"/>
      <c r="BA124" s="27"/>
      <c r="BB124" s="27"/>
      <c r="BC124" s="27"/>
      <c r="BD124" s="27"/>
      <c r="BE124" s="27"/>
    </row>
    <row r="125" spans="18:57">
      <c r="R125" s="27"/>
      <c r="S125" s="27"/>
      <c r="T125" s="27"/>
      <c r="U125" s="27"/>
      <c r="V125" s="27"/>
      <c r="W125" s="27"/>
      <c r="X125" s="27"/>
      <c r="Y125" s="27"/>
      <c r="Z125" s="27"/>
      <c r="AA125" s="27"/>
      <c r="AB125" s="27"/>
      <c r="AC125" s="27"/>
      <c r="AD125" s="27"/>
      <c r="AE125" s="27"/>
      <c r="AF125" s="27"/>
      <c r="AG125" s="27"/>
      <c r="AH125" s="27"/>
      <c r="AI125" s="27"/>
      <c r="AJ125" s="27"/>
      <c r="AK125" s="27"/>
      <c r="AL125" s="27"/>
      <c r="AM125" s="27"/>
      <c r="AN125" s="27"/>
      <c r="AO125" s="27"/>
      <c r="AP125" s="27"/>
      <c r="AQ125" s="27"/>
      <c r="AR125" s="27"/>
      <c r="AS125" s="27"/>
      <c r="AT125" s="27"/>
      <c r="AU125" s="27"/>
      <c r="AV125" s="27"/>
      <c r="AW125" s="27"/>
      <c r="AX125" s="27"/>
      <c r="AY125" s="27"/>
      <c r="AZ125" s="27"/>
      <c r="BA125" s="27"/>
      <c r="BB125" s="27"/>
      <c r="BC125" s="27"/>
      <c r="BD125" s="27"/>
      <c r="BE125" s="27"/>
    </row>
    <row r="126" spans="18:57">
      <c r="R126" s="27"/>
      <c r="S126" s="27"/>
      <c r="T126" s="27"/>
      <c r="U126" s="27"/>
      <c r="V126" s="27"/>
      <c r="W126" s="27"/>
      <c r="X126" s="27"/>
      <c r="Y126" s="27"/>
      <c r="Z126" s="27"/>
      <c r="AA126" s="27"/>
      <c r="AB126" s="27"/>
      <c r="AC126" s="27"/>
      <c r="AD126" s="27"/>
      <c r="AE126" s="27"/>
      <c r="AF126" s="27"/>
      <c r="AG126" s="27"/>
      <c r="AH126" s="27"/>
      <c r="AI126" s="27"/>
      <c r="AJ126" s="27"/>
      <c r="AK126" s="27"/>
      <c r="AL126" s="27"/>
      <c r="AM126" s="27"/>
      <c r="AN126" s="27"/>
      <c r="AO126" s="27"/>
      <c r="AP126" s="27"/>
      <c r="AQ126" s="27"/>
      <c r="AR126" s="27"/>
      <c r="AS126" s="27"/>
      <c r="AT126" s="27"/>
      <c r="AU126" s="27"/>
      <c r="AV126" s="27"/>
      <c r="AW126" s="27"/>
      <c r="AX126" s="27"/>
      <c r="AY126" s="27"/>
      <c r="AZ126" s="27"/>
      <c r="BA126" s="27"/>
      <c r="BB126" s="27"/>
      <c r="BC126" s="27"/>
      <c r="BD126" s="27"/>
      <c r="BE126" s="27"/>
    </row>
    <row r="127" spans="18:57">
      <c r="R127" s="27"/>
      <c r="S127" s="27"/>
      <c r="T127" s="27"/>
      <c r="U127" s="27"/>
      <c r="V127" s="27"/>
      <c r="W127" s="27"/>
      <c r="X127" s="27"/>
      <c r="Y127" s="27"/>
      <c r="Z127" s="27"/>
      <c r="AA127" s="27"/>
      <c r="AB127" s="27"/>
      <c r="AC127" s="27"/>
      <c r="AD127" s="27"/>
      <c r="AE127" s="27"/>
      <c r="AF127" s="27"/>
      <c r="AG127" s="27"/>
      <c r="AH127" s="27"/>
      <c r="AI127" s="27"/>
      <c r="AJ127" s="27"/>
      <c r="AK127" s="27"/>
      <c r="AL127" s="27"/>
      <c r="AM127" s="27"/>
      <c r="AN127" s="27"/>
      <c r="AO127" s="27"/>
      <c r="AP127" s="27"/>
      <c r="AQ127" s="27"/>
      <c r="AR127" s="27"/>
      <c r="AS127" s="27"/>
      <c r="AT127" s="27"/>
      <c r="AU127" s="27"/>
      <c r="AV127" s="27"/>
      <c r="AW127" s="27"/>
      <c r="AX127" s="27"/>
      <c r="AY127" s="27"/>
      <c r="AZ127" s="27"/>
      <c r="BA127" s="27"/>
      <c r="BB127" s="27"/>
      <c r="BC127" s="27"/>
      <c r="BD127" s="27"/>
      <c r="BE127" s="27"/>
    </row>
    <row r="128" spans="18:57">
      <c r="R128" s="27"/>
      <c r="S128" s="27"/>
      <c r="T128" s="27"/>
      <c r="U128" s="27"/>
      <c r="V128" s="27"/>
      <c r="W128" s="27"/>
      <c r="X128" s="27"/>
      <c r="Y128" s="27"/>
      <c r="Z128" s="27"/>
      <c r="AA128" s="27"/>
      <c r="AB128" s="27"/>
      <c r="AC128" s="27"/>
      <c r="AD128" s="27"/>
      <c r="AE128" s="27"/>
      <c r="AF128" s="27"/>
      <c r="AG128" s="27"/>
      <c r="AH128" s="27"/>
      <c r="AI128" s="27"/>
      <c r="AJ128" s="27"/>
      <c r="AK128" s="27"/>
      <c r="AL128" s="27"/>
      <c r="AM128" s="27"/>
      <c r="AN128" s="27"/>
      <c r="AO128" s="27"/>
      <c r="AP128" s="27"/>
      <c r="AQ128" s="27"/>
      <c r="AR128" s="27"/>
      <c r="AS128" s="27"/>
      <c r="AT128" s="27"/>
      <c r="AU128" s="27"/>
      <c r="AV128" s="27"/>
      <c r="AW128" s="27"/>
      <c r="AX128" s="27"/>
      <c r="AY128" s="27"/>
      <c r="AZ128" s="27"/>
      <c r="BA128" s="27"/>
      <c r="BB128" s="27"/>
      <c r="BC128" s="27"/>
      <c r="BD128" s="27"/>
      <c r="BE128" s="27"/>
    </row>
    <row r="129" spans="18:57">
      <c r="R129" s="27"/>
      <c r="S129" s="27"/>
      <c r="T129" s="27"/>
      <c r="U129" s="27"/>
      <c r="V129" s="27"/>
      <c r="W129" s="27"/>
      <c r="X129" s="27"/>
      <c r="Y129" s="27"/>
      <c r="Z129" s="27"/>
      <c r="AA129" s="27"/>
      <c r="AB129" s="27"/>
      <c r="AC129" s="27"/>
      <c r="AD129" s="27"/>
      <c r="AE129" s="27"/>
      <c r="AF129" s="27"/>
      <c r="AG129" s="27"/>
      <c r="AH129" s="27"/>
      <c r="AI129" s="27"/>
      <c r="AJ129" s="27"/>
      <c r="AK129" s="27"/>
      <c r="AL129" s="27"/>
      <c r="AM129" s="27"/>
      <c r="AN129" s="27"/>
      <c r="AO129" s="27"/>
      <c r="AP129" s="27"/>
      <c r="AQ129" s="27"/>
      <c r="AR129" s="27"/>
      <c r="AS129" s="27"/>
      <c r="AT129" s="27"/>
      <c r="AU129" s="27"/>
      <c r="AV129" s="27"/>
      <c r="AW129" s="27"/>
      <c r="AX129" s="27"/>
      <c r="AY129" s="27"/>
      <c r="AZ129" s="27"/>
      <c r="BA129" s="27"/>
      <c r="BB129" s="27"/>
      <c r="BC129" s="27"/>
      <c r="BD129" s="27"/>
      <c r="BE129" s="27"/>
    </row>
    <row r="130" spans="18:57">
      <c r="R130" s="27"/>
      <c r="S130" s="27"/>
      <c r="T130" s="27"/>
      <c r="U130" s="27"/>
      <c r="V130" s="27"/>
      <c r="W130" s="27"/>
      <c r="X130" s="27"/>
      <c r="Y130" s="27"/>
      <c r="Z130" s="27"/>
      <c r="AA130" s="27"/>
      <c r="AB130" s="27"/>
      <c r="AC130" s="27"/>
      <c r="AD130" s="27"/>
      <c r="AE130" s="27"/>
      <c r="AF130" s="27"/>
      <c r="AG130" s="27"/>
      <c r="AH130" s="27"/>
      <c r="AI130" s="27"/>
      <c r="AJ130" s="27"/>
      <c r="AK130" s="27"/>
      <c r="AL130" s="27"/>
      <c r="AM130" s="27"/>
      <c r="AN130" s="27"/>
      <c r="AO130" s="27"/>
      <c r="AP130" s="27"/>
      <c r="AQ130" s="27"/>
      <c r="AR130" s="27"/>
      <c r="AS130" s="27"/>
      <c r="AT130" s="27"/>
      <c r="AU130" s="27"/>
      <c r="AV130" s="27"/>
      <c r="AW130" s="27"/>
      <c r="AX130" s="27"/>
      <c r="AY130" s="27"/>
      <c r="AZ130" s="27"/>
      <c r="BA130" s="27"/>
      <c r="BB130" s="27"/>
      <c r="BC130" s="27"/>
      <c r="BD130" s="27"/>
      <c r="BE130" s="27"/>
    </row>
    <row r="131" spans="18:57">
      <c r="R131" s="27"/>
      <c r="S131" s="27"/>
      <c r="T131" s="27"/>
      <c r="U131" s="27"/>
      <c r="V131" s="27"/>
      <c r="W131" s="27"/>
      <c r="X131" s="27"/>
      <c r="Y131" s="27"/>
      <c r="Z131" s="27"/>
      <c r="AA131" s="27"/>
      <c r="AB131" s="27"/>
      <c r="AC131" s="27"/>
      <c r="AD131" s="27"/>
      <c r="AE131" s="27"/>
      <c r="AF131" s="27"/>
      <c r="AG131" s="27"/>
      <c r="AH131" s="27"/>
      <c r="AI131" s="27"/>
      <c r="AJ131" s="27"/>
      <c r="AK131" s="27"/>
      <c r="AL131" s="27"/>
      <c r="AM131" s="27"/>
      <c r="AN131" s="27"/>
      <c r="AO131" s="27"/>
      <c r="AP131" s="27"/>
      <c r="AQ131" s="27"/>
      <c r="AR131" s="27"/>
      <c r="AS131" s="27"/>
      <c r="AT131" s="27"/>
      <c r="AU131" s="27"/>
      <c r="AV131" s="27"/>
      <c r="AW131" s="27"/>
      <c r="AX131" s="27"/>
      <c r="AY131" s="27"/>
      <c r="AZ131" s="27"/>
      <c r="BA131" s="27"/>
      <c r="BB131" s="27"/>
      <c r="BC131" s="27"/>
      <c r="BD131" s="27"/>
      <c r="BE131" s="27"/>
    </row>
    <row r="132" spans="18:57">
      <c r="R132" s="27"/>
      <c r="S132" s="27"/>
      <c r="T132" s="27"/>
      <c r="U132" s="27"/>
      <c r="V132" s="27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  <c r="AN132" s="27"/>
      <c r="AO132" s="27"/>
      <c r="AP132" s="27"/>
      <c r="AQ132" s="27"/>
      <c r="AR132" s="27"/>
      <c r="AS132" s="27"/>
      <c r="AT132" s="27"/>
      <c r="AU132" s="27"/>
      <c r="AV132" s="27"/>
      <c r="AW132" s="27"/>
      <c r="AX132" s="27"/>
      <c r="AY132" s="27"/>
      <c r="AZ132" s="27"/>
      <c r="BA132" s="27"/>
      <c r="BB132" s="27"/>
      <c r="BC132" s="27"/>
      <c r="BD132" s="27"/>
      <c r="BE132" s="27"/>
    </row>
    <row r="133" spans="18:57">
      <c r="R133" s="27"/>
      <c r="S133" s="27"/>
      <c r="T133" s="27"/>
      <c r="U133" s="27"/>
      <c r="V133" s="27"/>
      <c r="W133" s="27"/>
      <c r="X133" s="27"/>
      <c r="Y133" s="27"/>
      <c r="Z133" s="27"/>
      <c r="AA133" s="27"/>
      <c r="AB133" s="27"/>
      <c r="AC133" s="27"/>
      <c r="AD133" s="27"/>
      <c r="AE133" s="27"/>
      <c r="AF133" s="27"/>
      <c r="AG133" s="27"/>
      <c r="AH133" s="27"/>
      <c r="AI133" s="27"/>
      <c r="AJ133" s="27"/>
      <c r="AK133" s="27"/>
      <c r="AL133" s="27"/>
      <c r="AM133" s="27"/>
      <c r="AN133" s="27"/>
      <c r="AO133" s="27"/>
      <c r="AP133" s="27"/>
      <c r="AQ133" s="27"/>
      <c r="AR133" s="27"/>
      <c r="AS133" s="27"/>
      <c r="AT133" s="27"/>
      <c r="AU133" s="27"/>
      <c r="AV133" s="27"/>
      <c r="AW133" s="27"/>
      <c r="AX133" s="27"/>
      <c r="AY133" s="27"/>
      <c r="AZ133" s="27"/>
      <c r="BA133" s="27"/>
      <c r="BB133" s="27"/>
      <c r="BC133" s="27"/>
      <c r="BD133" s="27"/>
      <c r="BE133" s="27"/>
    </row>
    <row r="134" spans="18:57">
      <c r="R134" s="27"/>
      <c r="S134" s="27"/>
      <c r="T134" s="27"/>
      <c r="U134" s="27"/>
      <c r="V134" s="27"/>
      <c r="W134" s="27"/>
      <c r="X134" s="27"/>
      <c r="Y134" s="27"/>
      <c r="Z134" s="27"/>
      <c r="AA134" s="27"/>
      <c r="AB134" s="27"/>
      <c r="AC134" s="27"/>
      <c r="AD134" s="27"/>
      <c r="AE134" s="27"/>
      <c r="AF134" s="27"/>
      <c r="AG134" s="27"/>
      <c r="AH134" s="27"/>
      <c r="AI134" s="27"/>
      <c r="AJ134" s="27"/>
      <c r="AK134" s="27"/>
      <c r="AL134" s="27"/>
      <c r="AM134" s="27"/>
      <c r="AN134" s="27"/>
      <c r="AO134" s="27"/>
      <c r="AP134" s="27"/>
      <c r="AQ134" s="27"/>
      <c r="AR134" s="27"/>
      <c r="AS134" s="27"/>
      <c r="AT134" s="27"/>
      <c r="AU134" s="27"/>
      <c r="AV134" s="27"/>
      <c r="AW134" s="27"/>
      <c r="AX134" s="27"/>
      <c r="AY134" s="27"/>
      <c r="AZ134" s="27"/>
      <c r="BA134" s="27"/>
      <c r="BB134" s="27"/>
      <c r="BC134" s="27"/>
      <c r="BD134" s="27"/>
      <c r="BE134" s="27"/>
    </row>
    <row r="135" spans="18:57">
      <c r="R135" s="27"/>
      <c r="S135" s="27"/>
      <c r="T135" s="27"/>
      <c r="U135" s="27"/>
      <c r="V135" s="27"/>
      <c r="W135" s="27"/>
      <c r="X135" s="27"/>
      <c r="Y135" s="27"/>
      <c r="Z135" s="27"/>
      <c r="AA135" s="27"/>
      <c r="AB135" s="27"/>
      <c r="AC135" s="27"/>
      <c r="AD135" s="27"/>
      <c r="AE135" s="27"/>
      <c r="AF135" s="27"/>
      <c r="AG135" s="27"/>
      <c r="AH135" s="27"/>
      <c r="AI135" s="27"/>
      <c r="AJ135" s="27"/>
      <c r="AK135" s="27"/>
      <c r="AL135" s="27"/>
      <c r="AM135" s="27"/>
      <c r="AN135" s="27"/>
      <c r="AO135" s="27"/>
      <c r="AP135" s="27"/>
      <c r="AQ135" s="27"/>
      <c r="AR135" s="27"/>
      <c r="AS135" s="27"/>
      <c r="AT135" s="27"/>
      <c r="AU135" s="27"/>
      <c r="AV135" s="27"/>
      <c r="AW135" s="27"/>
      <c r="AX135" s="27"/>
      <c r="AY135" s="27"/>
      <c r="AZ135" s="27"/>
      <c r="BA135" s="27"/>
      <c r="BB135" s="27"/>
      <c r="BC135" s="27"/>
      <c r="BD135" s="27"/>
      <c r="BE135" s="27"/>
    </row>
    <row r="136" spans="18:57">
      <c r="R136" s="27"/>
      <c r="S136" s="27"/>
      <c r="T136" s="27"/>
      <c r="U136" s="27"/>
      <c r="V136" s="27"/>
      <c r="W136" s="27"/>
      <c r="X136" s="27"/>
      <c r="Y136" s="27"/>
      <c r="Z136" s="27"/>
      <c r="AA136" s="27"/>
      <c r="AB136" s="27"/>
      <c r="AC136" s="27"/>
      <c r="AD136" s="27"/>
      <c r="AE136" s="27"/>
      <c r="AF136" s="27"/>
      <c r="AG136" s="27"/>
      <c r="AH136" s="27"/>
      <c r="AI136" s="27"/>
      <c r="AJ136" s="27"/>
      <c r="AK136" s="27"/>
      <c r="AL136" s="27"/>
      <c r="AM136" s="27"/>
      <c r="AN136" s="27"/>
      <c r="AO136" s="27"/>
      <c r="AP136" s="27"/>
      <c r="AQ136" s="27"/>
      <c r="AR136" s="27"/>
      <c r="AS136" s="27"/>
      <c r="AT136" s="27"/>
      <c r="AU136" s="27"/>
      <c r="AV136" s="27"/>
      <c r="AW136" s="27"/>
      <c r="AX136" s="27"/>
      <c r="AY136" s="27"/>
      <c r="AZ136" s="27"/>
      <c r="BA136" s="27"/>
      <c r="BB136" s="27"/>
      <c r="BC136" s="27"/>
      <c r="BD136" s="27"/>
      <c r="BE136" s="27"/>
    </row>
    <row r="137" spans="18:57">
      <c r="R137" s="27"/>
      <c r="S137" s="27"/>
      <c r="T137" s="27"/>
      <c r="U137" s="27"/>
      <c r="V137" s="27"/>
      <c r="W137" s="27"/>
      <c r="X137" s="27"/>
      <c r="Y137" s="27"/>
      <c r="Z137" s="27"/>
      <c r="AA137" s="27"/>
      <c r="AB137" s="27"/>
      <c r="AC137" s="27"/>
      <c r="AD137" s="27"/>
      <c r="AE137" s="27"/>
      <c r="AF137" s="27"/>
      <c r="AG137" s="27"/>
      <c r="AH137" s="27"/>
      <c r="AI137" s="27"/>
      <c r="AJ137" s="27"/>
      <c r="AK137" s="27"/>
      <c r="AL137" s="27"/>
      <c r="AM137" s="27"/>
      <c r="AN137" s="27"/>
      <c r="AO137" s="27"/>
      <c r="AP137" s="27"/>
      <c r="AQ137" s="27"/>
      <c r="AR137" s="27"/>
      <c r="AS137" s="27"/>
      <c r="AT137" s="27"/>
      <c r="AU137" s="27"/>
      <c r="AV137" s="27"/>
      <c r="AW137" s="27"/>
      <c r="AX137" s="27"/>
      <c r="AY137" s="27"/>
      <c r="AZ137" s="27"/>
      <c r="BA137" s="27"/>
      <c r="BB137" s="27"/>
      <c r="BC137" s="27"/>
      <c r="BD137" s="27"/>
      <c r="BE137" s="27"/>
    </row>
    <row r="138" spans="18:57">
      <c r="R138" s="27"/>
      <c r="S138" s="27"/>
      <c r="T138" s="27"/>
      <c r="U138" s="27"/>
      <c r="V138" s="27"/>
      <c r="W138" s="27"/>
      <c r="X138" s="27"/>
      <c r="Y138" s="27"/>
      <c r="Z138" s="27"/>
      <c r="AA138" s="27"/>
      <c r="AB138" s="27"/>
      <c r="AC138" s="27"/>
      <c r="AD138" s="27"/>
      <c r="AE138" s="27"/>
      <c r="AF138" s="27"/>
      <c r="AG138" s="27"/>
      <c r="AH138" s="27"/>
      <c r="AI138" s="27"/>
      <c r="AJ138" s="27"/>
      <c r="AK138" s="27"/>
      <c r="AL138" s="27"/>
      <c r="AM138" s="27"/>
      <c r="AN138" s="27"/>
      <c r="AO138" s="27"/>
      <c r="AP138" s="27"/>
      <c r="AQ138" s="27"/>
      <c r="AR138" s="27"/>
      <c r="AS138" s="27"/>
      <c r="AT138" s="27"/>
      <c r="AU138" s="27"/>
      <c r="AV138" s="27"/>
      <c r="AW138" s="27"/>
      <c r="AX138" s="27"/>
      <c r="AY138" s="27"/>
      <c r="AZ138" s="27"/>
      <c r="BA138" s="27"/>
      <c r="BB138" s="27"/>
      <c r="BC138" s="27"/>
      <c r="BD138" s="27"/>
      <c r="BE138" s="27"/>
    </row>
    <row r="139" spans="18:57">
      <c r="R139" s="27"/>
      <c r="S139" s="27"/>
      <c r="T139" s="27"/>
      <c r="U139" s="27"/>
      <c r="V139" s="27"/>
      <c r="W139" s="27"/>
      <c r="X139" s="27"/>
      <c r="Y139" s="27"/>
      <c r="Z139" s="27"/>
      <c r="AA139" s="27"/>
      <c r="AB139" s="27"/>
      <c r="AC139" s="27"/>
      <c r="AD139" s="27"/>
      <c r="AE139" s="27"/>
      <c r="AF139" s="27"/>
      <c r="AG139" s="27"/>
      <c r="AH139" s="27"/>
      <c r="AI139" s="27"/>
      <c r="AJ139" s="27"/>
      <c r="AK139" s="27"/>
      <c r="AL139" s="27"/>
      <c r="AM139" s="27"/>
      <c r="AN139" s="27"/>
      <c r="AO139" s="27"/>
      <c r="AP139" s="27"/>
      <c r="AQ139" s="27"/>
      <c r="AR139" s="27"/>
      <c r="AS139" s="27"/>
      <c r="AT139" s="27"/>
      <c r="AU139" s="27"/>
      <c r="AV139" s="27"/>
      <c r="AW139" s="27"/>
      <c r="AX139" s="27"/>
      <c r="AY139" s="27"/>
      <c r="AZ139" s="27"/>
      <c r="BA139" s="27"/>
      <c r="BB139" s="27"/>
      <c r="BC139" s="27"/>
      <c r="BD139" s="27"/>
      <c r="BE139" s="27"/>
    </row>
    <row r="140" spans="18:57">
      <c r="R140" s="27"/>
      <c r="S140" s="27"/>
      <c r="T140" s="27"/>
      <c r="U140" s="27"/>
      <c r="V140" s="27"/>
      <c r="W140" s="27"/>
      <c r="X140" s="27"/>
      <c r="Y140" s="27"/>
      <c r="Z140" s="27"/>
      <c r="AA140" s="27"/>
      <c r="AB140" s="27"/>
      <c r="AC140" s="27"/>
      <c r="AD140" s="27"/>
      <c r="AE140" s="27"/>
      <c r="AF140" s="27"/>
      <c r="AG140" s="27"/>
      <c r="AH140" s="27"/>
      <c r="AI140" s="27"/>
      <c r="AJ140" s="27"/>
      <c r="AK140" s="27"/>
      <c r="AL140" s="27"/>
      <c r="AM140" s="27"/>
      <c r="AN140" s="27"/>
      <c r="AO140" s="27"/>
      <c r="AP140" s="27"/>
      <c r="AQ140" s="27"/>
      <c r="AR140" s="27"/>
      <c r="AS140" s="27"/>
      <c r="AT140" s="27"/>
      <c r="AU140" s="27"/>
      <c r="AV140" s="27"/>
      <c r="AW140" s="27"/>
      <c r="AX140" s="27"/>
      <c r="AY140" s="27"/>
      <c r="AZ140" s="27"/>
      <c r="BA140" s="27"/>
      <c r="BB140" s="27"/>
      <c r="BC140" s="27"/>
      <c r="BD140" s="27"/>
      <c r="BE140" s="27"/>
    </row>
    <row r="141" spans="18:57">
      <c r="R141" s="27"/>
      <c r="S141" s="27"/>
      <c r="T141" s="27"/>
      <c r="U141" s="27"/>
      <c r="V141" s="27"/>
      <c r="W141" s="27"/>
      <c r="X141" s="27"/>
      <c r="Y141" s="27"/>
      <c r="Z141" s="27"/>
      <c r="AA141" s="27"/>
      <c r="AB141" s="27"/>
      <c r="AC141" s="27"/>
      <c r="AD141" s="27"/>
      <c r="AE141" s="27"/>
      <c r="AF141" s="27"/>
      <c r="AG141" s="27"/>
      <c r="AH141" s="27"/>
      <c r="AI141" s="27"/>
      <c r="AJ141" s="27"/>
      <c r="AK141" s="27"/>
      <c r="AL141" s="27"/>
      <c r="AM141" s="27"/>
      <c r="AN141" s="27"/>
      <c r="AO141" s="27"/>
      <c r="AP141" s="27"/>
      <c r="AQ141" s="27"/>
      <c r="AR141" s="27"/>
      <c r="AS141" s="27"/>
      <c r="AT141" s="27"/>
      <c r="AU141" s="27"/>
      <c r="AV141" s="27"/>
      <c r="AW141" s="27"/>
      <c r="AX141" s="27"/>
      <c r="AY141" s="27"/>
      <c r="AZ141" s="27"/>
      <c r="BA141" s="27"/>
      <c r="BB141" s="27"/>
      <c r="BC141" s="27"/>
      <c r="BD141" s="27"/>
      <c r="BE141" s="27"/>
    </row>
    <row r="142" spans="18:57"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</row>
    <row r="143" spans="18:57">
      <c r="R143" s="27"/>
      <c r="S143" s="27"/>
      <c r="T143" s="27"/>
      <c r="U143" s="27"/>
      <c r="V143" s="27"/>
      <c r="W143" s="27"/>
      <c r="X143" s="27"/>
      <c r="Y143" s="27"/>
      <c r="Z143" s="27"/>
      <c r="AA143" s="27"/>
      <c r="AB143" s="27"/>
      <c r="AC143" s="27"/>
      <c r="AD143" s="27"/>
      <c r="AE143" s="27"/>
      <c r="AF143" s="27"/>
      <c r="AG143" s="27"/>
      <c r="AH143" s="27"/>
      <c r="AI143" s="27"/>
      <c r="AJ143" s="27"/>
      <c r="AK143" s="27"/>
      <c r="AL143" s="27"/>
      <c r="AM143" s="27"/>
      <c r="AN143" s="27"/>
      <c r="AO143" s="27"/>
      <c r="AP143" s="27"/>
      <c r="AQ143" s="27"/>
      <c r="AR143" s="27"/>
      <c r="AS143" s="27"/>
      <c r="AT143" s="27"/>
      <c r="AU143" s="27"/>
      <c r="AV143" s="27"/>
      <c r="AW143" s="27"/>
      <c r="AX143" s="27"/>
      <c r="AY143" s="27"/>
      <c r="AZ143" s="27"/>
      <c r="BA143" s="27"/>
      <c r="BB143" s="27"/>
      <c r="BC143" s="27"/>
      <c r="BD143" s="27"/>
      <c r="BE143" s="27"/>
    </row>
    <row r="144" spans="18:57">
      <c r="R144" s="27"/>
      <c r="S144" s="27"/>
      <c r="T144" s="27"/>
      <c r="U144" s="27"/>
      <c r="V144" s="27"/>
      <c r="W144" s="27"/>
      <c r="X144" s="27"/>
      <c r="Y144" s="27"/>
      <c r="Z144" s="27"/>
      <c r="AA144" s="27"/>
      <c r="AB144" s="27"/>
      <c r="AC144" s="27"/>
      <c r="AD144" s="27"/>
      <c r="AE144" s="27"/>
      <c r="AF144" s="27"/>
      <c r="AG144" s="27"/>
      <c r="AH144" s="27"/>
      <c r="AI144" s="27"/>
      <c r="AJ144" s="27"/>
      <c r="AK144" s="27"/>
      <c r="AL144" s="27"/>
      <c r="AM144" s="27"/>
      <c r="AN144" s="27"/>
      <c r="AO144" s="27"/>
      <c r="AP144" s="27"/>
      <c r="AQ144" s="27"/>
      <c r="AR144" s="27"/>
      <c r="AS144" s="27"/>
      <c r="AT144" s="27"/>
      <c r="AU144" s="27"/>
      <c r="AV144" s="27"/>
      <c r="AW144" s="27"/>
      <c r="AX144" s="27"/>
      <c r="AY144" s="27"/>
      <c r="AZ144" s="27"/>
      <c r="BA144" s="27"/>
      <c r="BB144" s="27"/>
      <c r="BC144" s="27"/>
      <c r="BD144" s="27"/>
      <c r="BE144" s="27"/>
    </row>
    <row r="145" spans="18:57">
      <c r="R145" s="27"/>
      <c r="S145" s="27"/>
      <c r="T145" s="27"/>
      <c r="U145" s="27"/>
      <c r="V145" s="27"/>
      <c r="W145" s="27"/>
      <c r="X145" s="27"/>
      <c r="Y145" s="27"/>
      <c r="Z145" s="27"/>
      <c r="AA145" s="27"/>
      <c r="AB145" s="27"/>
      <c r="AC145" s="27"/>
      <c r="AD145" s="27"/>
      <c r="AE145" s="27"/>
      <c r="AF145" s="27"/>
      <c r="AG145" s="27"/>
      <c r="AH145" s="27"/>
      <c r="AI145" s="27"/>
      <c r="AJ145" s="27"/>
      <c r="AK145" s="27"/>
      <c r="AL145" s="27"/>
      <c r="AM145" s="27"/>
      <c r="AN145" s="27"/>
      <c r="AO145" s="27"/>
      <c r="AP145" s="27"/>
      <c r="AQ145" s="27"/>
      <c r="AR145" s="27"/>
      <c r="AS145" s="27"/>
      <c r="AT145" s="27"/>
      <c r="AU145" s="27"/>
      <c r="AV145" s="27"/>
      <c r="AW145" s="27"/>
      <c r="AX145" s="27"/>
      <c r="AY145" s="27"/>
      <c r="AZ145" s="27"/>
      <c r="BA145" s="27"/>
      <c r="BB145" s="27"/>
      <c r="BC145" s="27"/>
      <c r="BD145" s="27"/>
      <c r="BE145" s="27"/>
    </row>
  </sheetData>
  <mergeCells count="10">
    <mergeCell ref="B1:D1"/>
    <mergeCell ref="R1:R2"/>
    <mergeCell ref="T2:V2"/>
    <mergeCell ref="AN2:AP2"/>
    <mergeCell ref="B6:B7"/>
    <mergeCell ref="C6:C7"/>
    <mergeCell ref="D6:D7"/>
    <mergeCell ref="E6:E7"/>
    <mergeCell ref="F6:G6"/>
    <mergeCell ref="AL1:AL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3">
    <tabColor theme="9" tint="0.39997558519241921"/>
  </sheetPr>
  <dimension ref="A1:BH51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62" customWidth="1"/>
    <col min="9" max="15" width="0.85546875" style="73" customWidth="1"/>
    <col min="16" max="16" width="0.85546875" style="62" customWidth="1"/>
    <col min="17" max="17" width="9.42578125" style="62" customWidth="1"/>
    <col min="18" max="18" width="38.42578125" bestFit="1" customWidth="1"/>
    <col min="19" max="19" width="9" bestFit="1" customWidth="1"/>
    <col min="20" max="20" width="7" bestFit="1" customWidth="1"/>
    <col min="21" max="21" width="6" bestFit="1" customWidth="1"/>
    <col min="22" max="24" width="7" bestFit="1" customWidth="1"/>
    <col min="25" max="25" width="7.5703125" bestFit="1" customWidth="1"/>
    <col min="26" max="28" width="7" bestFit="1" customWidth="1"/>
    <col min="29" max="31" width="8" bestFit="1" customWidth="1"/>
    <col min="32" max="34" width="9" bestFit="1" customWidth="1"/>
    <col min="35" max="37" width="8" bestFit="1" customWidth="1"/>
    <col min="38" max="38" width="38.42578125" bestFit="1" customWidth="1"/>
  </cols>
  <sheetData>
    <row r="1" spans="1:60" ht="15">
      <c r="A1" s="30"/>
      <c r="B1" s="539" t="s">
        <v>402</v>
      </c>
      <c r="C1" s="539"/>
      <c r="D1" s="539"/>
      <c r="E1" s="519"/>
      <c r="F1" s="516"/>
      <c r="G1" s="30"/>
      <c r="H1" s="58"/>
      <c r="I1" s="58"/>
      <c r="J1" s="58"/>
      <c r="K1" s="58"/>
      <c r="L1" s="58"/>
      <c r="M1" s="58"/>
      <c r="N1" s="58"/>
      <c r="O1" s="58"/>
      <c r="P1" s="58"/>
      <c r="Q1" s="311"/>
      <c r="R1" s="447" t="s">
        <v>356</v>
      </c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</row>
    <row r="2" spans="1:60" ht="12.6" customHeight="1">
      <c r="A2" s="30"/>
      <c r="B2" s="516" t="str">
        <f>"Mirtingumas nuo piktybinių navikų Lietuvoje  " &amp; GrafikaiSerg!A1 &amp; " metais. Vyrai."</f>
        <v>Mirtingumas nuo piktybinių navikų Lietuvoje  2014 metais. Vyrai.</v>
      </c>
      <c r="C2" s="516"/>
      <c r="D2" s="516"/>
      <c r="E2" s="517"/>
      <c r="F2" s="516"/>
      <c r="G2" s="30"/>
      <c r="H2" s="58"/>
      <c r="I2" s="58"/>
      <c r="J2" s="58"/>
      <c r="K2" s="58"/>
      <c r="L2" s="58"/>
      <c r="M2" s="58"/>
      <c r="N2" s="58"/>
      <c r="O2" s="58"/>
      <c r="P2" s="58"/>
      <c r="Q2" s="311"/>
      <c r="R2" s="447"/>
      <c r="S2" s="313" t="s">
        <v>354</v>
      </c>
      <c r="T2" s="448" t="s">
        <v>358</v>
      </c>
      <c r="U2" s="448"/>
      <c r="V2" s="448"/>
      <c r="W2" s="315">
        <f>GrafikaiSerg!A1</f>
        <v>2014</v>
      </c>
      <c r="X2" s="312" t="s">
        <v>357</v>
      </c>
      <c r="Y2" s="312" t="str">
        <f>CONCATENATE("pop",RIGHT(W2,2),"m")</f>
        <v>pop14m</v>
      </c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6" t="s">
        <v>356</v>
      </c>
      <c r="AM2" s="313" t="s">
        <v>354</v>
      </c>
      <c r="AN2" s="448" t="s">
        <v>358</v>
      </c>
      <c r="AO2" s="448"/>
      <c r="AP2" s="448"/>
      <c r="AQ2" s="315" t="e">
        <f>#REF!</f>
        <v>#REF!</v>
      </c>
      <c r="AR2" s="312" t="s">
        <v>357</v>
      </c>
      <c r="AS2" s="312" t="e">
        <f>CONCATENATE("pop",RIGHT(AQ2,2),"m")</f>
        <v>#REF!</v>
      </c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</row>
    <row r="3" spans="1:60" ht="12.6" customHeight="1">
      <c r="A3" s="30"/>
      <c r="B3" s="63" t="s">
        <v>628</v>
      </c>
      <c r="C3" s="30"/>
      <c r="D3" s="30"/>
      <c r="E3" s="30"/>
      <c r="F3" s="57"/>
      <c r="G3" s="57"/>
      <c r="H3" s="58"/>
      <c r="I3" s="58"/>
      <c r="J3" s="58"/>
      <c r="K3" s="58"/>
      <c r="L3" s="58"/>
      <c r="M3" s="58"/>
      <c r="N3" s="58"/>
      <c r="O3" s="58"/>
      <c r="P3" s="58"/>
      <c r="Q3" s="317"/>
      <c r="R3" s="318" t="s">
        <v>408</v>
      </c>
      <c r="S3" s="544">
        <f>SUM(T3:AK3)</f>
        <v>100000</v>
      </c>
      <c r="T3" s="545">
        <v>8000</v>
      </c>
      <c r="U3" s="545">
        <v>7000</v>
      </c>
      <c r="V3" s="545">
        <v>7000</v>
      </c>
      <c r="W3" s="545">
        <v>7000</v>
      </c>
      <c r="X3" s="545">
        <v>7000</v>
      </c>
      <c r="Y3" s="545">
        <v>7000</v>
      </c>
      <c r="Z3" s="545">
        <v>7000</v>
      </c>
      <c r="AA3" s="545">
        <v>7000</v>
      </c>
      <c r="AB3" s="545">
        <v>7000</v>
      </c>
      <c r="AC3" s="545">
        <v>7000</v>
      </c>
      <c r="AD3" s="545">
        <v>7000</v>
      </c>
      <c r="AE3" s="545">
        <v>6000</v>
      </c>
      <c r="AF3" s="545">
        <v>5000</v>
      </c>
      <c r="AG3" s="545">
        <v>4000</v>
      </c>
      <c r="AH3" s="545">
        <v>3000</v>
      </c>
      <c r="AI3" s="545">
        <v>2000</v>
      </c>
      <c r="AJ3" s="545">
        <v>1000</v>
      </c>
      <c r="AK3" s="545">
        <v>1000</v>
      </c>
      <c r="AL3" s="546" t="s">
        <v>409</v>
      </c>
      <c r="AM3" s="544">
        <f>SUM(AN3:BE3)</f>
        <v>100000</v>
      </c>
      <c r="AN3" s="547">
        <v>12000</v>
      </c>
      <c r="AO3" s="547">
        <v>10000</v>
      </c>
      <c r="AP3" s="547">
        <v>9000</v>
      </c>
      <c r="AQ3" s="547">
        <v>9000</v>
      </c>
      <c r="AR3" s="547">
        <v>8000</v>
      </c>
      <c r="AS3" s="547">
        <v>8000</v>
      </c>
      <c r="AT3" s="547">
        <v>6000</v>
      </c>
      <c r="AU3" s="547">
        <v>6000</v>
      </c>
      <c r="AV3" s="547">
        <v>6000</v>
      </c>
      <c r="AW3" s="547">
        <v>6000</v>
      </c>
      <c r="AX3" s="547">
        <v>5000</v>
      </c>
      <c r="AY3" s="547">
        <v>4000</v>
      </c>
      <c r="AZ3" s="547">
        <v>4000</v>
      </c>
      <c r="BA3" s="547">
        <v>3000</v>
      </c>
      <c r="BB3" s="547">
        <v>2000</v>
      </c>
      <c r="BC3" s="547">
        <v>1000</v>
      </c>
      <c r="BD3" s="547">
        <v>500</v>
      </c>
      <c r="BE3" s="547">
        <v>500</v>
      </c>
      <c r="BF3" s="477"/>
      <c r="BG3" s="477"/>
      <c r="BH3" s="477"/>
    </row>
    <row r="4" spans="1:60" ht="12.95" customHeight="1">
      <c r="A4" s="30"/>
      <c r="B4" s="449" t="s">
        <v>351</v>
      </c>
      <c r="C4" s="449" t="s">
        <v>244</v>
      </c>
      <c r="D4" s="451" t="s">
        <v>268</v>
      </c>
      <c r="E4" s="453" t="s">
        <v>355</v>
      </c>
      <c r="F4" s="432" t="s">
        <v>359</v>
      </c>
      <c r="G4" s="432"/>
      <c r="H4" s="58"/>
      <c r="I4" s="58"/>
      <c r="J4" s="58"/>
      <c r="K4" s="58"/>
      <c r="L4" s="58"/>
      <c r="M4" s="58"/>
      <c r="N4" s="58"/>
      <c r="O4" s="58"/>
      <c r="P4" s="58"/>
      <c r="Q4" s="321"/>
      <c r="R4" s="312" t="s">
        <v>416</v>
      </c>
      <c r="S4" s="544">
        <f>SUM(T4:AK4)</f>
        <v>1351126</v>
      </c>
      <c r="T4" s="323">
        <f>HLOOKUP($Y$2,Populiacija!$B$1:$BB$20,2,FALSE)</f>
        <v>77249</v>
      </c>
      <c r="U4" s="323">
        <f>HLOOKUP($Y$2,Populiacija!$B$1:$BB$20,3,FALSE)</f>
        <v>69932</v>
      </c>
      <c r="V4" s="323">
        <f>HLOOKUP($Y$2,Populiacija!$B$1:$BB$20,4,FALSE)</f>
        <v>72002</v>
      </c>
      <c r="W4" s="323">
        <f>HLOOKUP($Y$2,Populiacija!$B$1:$BB$20,5,FALSE)</f>
        <v>89285</v>
      </c>
      <c r="X4" s="323">
        <f>HLOOKUP($Y$2,Populiacija!$B$1:$BB$20,6,FALSE)</f>
        <v>108219</v>
      </c>
      <c r="Y4" s="323">
        <f>HLOOKUP($Y$2,Populiacija!$B$1:$BB$20,7,FALSE)</f>
        <v>99919</v>
      </c>
      <c r="Z4" s="323">
        <f>HLOOKUP($Y$2,Populiacija!$B$1:$BB$20,8,FALSE)</f>
        <v>89381</v>
      </c>
      <c r="AA4" s="323">
        <f>HLOOKUP($Y$2,Populiacija!$B$1:$BB$20,9,FALSE)</f>
        <v>89203</v>
      </c>
      <c r="AB4" s="323">
        <f>HLOOKUP($Y$2,Populiacija!$B$1:$BB$20,10,FALSE)</f>
        <v>98505</v>
      </c>
      <c r="AC4" s="323">
        <f>HLOOKUP($Y$2,Populiacija!$B$1:$BB$20,11,FALSE)</f>
        <v>100503</v>
      </c>
      <c r="AD4" s="323">
        <f>HLOOKUP($Y$2,Populiacija!$B$1:$BB$20,12,FALSE)</f>
        <v>108547</v>
      </c>
      <c r="AE4" s="323">
        <f>HLOOKUP($Y$2,Populiacija!$B$1:$BB$20,13,FALSE)</f>
        <v>92698</v>
      </c>
      <c r="AF4" s="323">
        <f>HLOOKUP($Y$2,Populiacija!$B$1:$BB$20,14,FALSE)</f>
        <v>72507</v>
      </c>
      <c r="AG4" s="323">
        <f>HLOOKUP($Y$2,Populiacija!$B$1:$BB$20,15,FALSE)</f>
        <v>55181</v>
      </c>
      <c r="AH4" s="323">
        <f>HLOOKUP($Y$2,Populiacija!$B$1:$BB$20,16,FALSE)</f>
        <v>49232</v>
      </c>
      <c r="AI4" s="323">
        <f>HLOOKUP($Y$2,Populiacija!$B$1:$BB$20,17,FALSE)</f>
        <v>39442</v>
      </c>
      <c r="AJ4" s="323">
        <f>HLOOKUP($Y$2,Populiacija!$B$1:$BB$20,18,FALSE)</f>
        <v>24969</v>
      </c>
      <c r="AK4" s="323">
        <f>HLOOKUP($Y$2,Populiacija!$B$1:$BB$20,19,FALSE)</f>
        <v>14352</v>
      </c>
      <c r="AL4" s="547" t="s">
        <v>416</v>
      </c>
      <c r="AM4" s="544">
        <f>SUM(AN4:BE4)</f>
        <v>1351126</v>
      </c>
      <c r="AN4" s="323">
        <f>HLOOKUP($Y$2,Populiacija!$B$1:$BB$20,2,FALSE)</f>
        <v>77249</v>
      </c>
      <c r="AO4" s="323">
        <f>HLOOKUP($Y$2,Populiacija!$B$1:$BB$20,3,FALSE)</f>
        <v>69932</v>
      </c>
      <c r="AP4" s="323">
        <f>HLOOKUP($Y$2,Populiacija!$B$1:$BB$20,4,FALSE)</f>
        <v>72002</v>
      </c>
      <c r="AQ4" s="323">
        <f>HLOOKUP($Y$2,Populiacija!$B$1:$BB$20,5,FALSE)</f>
        <v>89285</v>
      </c>
      <c r="AR4" s="323">
        <f>HLOOKUP($Y$2,Populiacija!$B$1:$BB$20,6,FALSE)</f>
        <v>108219</v>
      </c>
      <c r="AS4" s="323">
        <f>HLOOKUP($Y$2,Populiacija!$B$1:$BB$20,7,FALSE)</f>
        <v>99919</v>
      </c>
      <c r="AT4" s="323">
        <f>HLOOKUP($Y$2,Populiacija!$B$1:$BB$20,8,FALSE)</f>
        <v>89381</v>
      </c>
      <c r="AU4" s="323">
        <f>HLOOKUP($Y$2,Populiacija!$B$1:$BB$20,9,FALSE)</f>
        <v>89203</v>
      </c>
      <c r="AV4" s="323">
        <f>HLOOKUP($Y$2,Populiacija!$B$1:$BB$20,10,FALSE)</f>
        <v>98505</v>
      </c>
      <c r="AW4" s="323">
        <f>HLOOKUP($Y$2,Populiacija!$B$1:$BB$20,11,FALSE)</f>
        <v>100503</v>
      </c>
      <c r="AX4" s="323">
        <f>HLOOKUP($Y$2,Populiacija!$B$1:$BB$20,12,FALSE)</f>
        <v>108547</v>
      </c>
      <c r="AY4" s="323">
        <f>HLOOKUP($Y$2,Populiacija!$B$1:$BB$20,13,FALSE)</f>
        <v>92698</v>
      </c>
      <c r="AZ4" s="323">
        <f>HLOOKUP($Y$2,Populiacija!$B$1:$BB$20,14,FALSE)</f>
        <v>72507</v>
      </c>
      <c r="BA4" s="323">
        <f>HLOOKUP($Y$2,Populiacija!$B$1:$BB$20,15,FALSE)</f>
        <v>55181</v>
      </c>
      <c r="BB4" s="323">
        <f>HLOOKUP($Y$2,Populiacija!$B$1:$BB$20,16,FALSE)</f>
        <v>49232</v>
      </c>
      <c r="BC4" s="323">
        <f>HLOOKUP($Y$2,Populiacija!$B$1:$BB$20,17,FALSE)</f>
        <v>39442</v>
      </c>
      <c r="BD4" s="323">
        <f>HLOOKUP($Y$2,Populiacija!$B$1:$BB$20,18,FALSE)</f>
        <v>24969</v>
      </c>
      <c r="BE4" s="323">
        <f>HLOOKUP($Y$2,Populiacija!$B$1:$BB$20,19,FALSE)</f>
        <v>14352</v>
      </c>
      <c r="BF4" s="477"/>
      <c r="BG4" s="477"/>
      <c r="BH4" s="477"/>
    </row>
    <row r="5" spans="1:60" ht="12.95" customHeight="1" thickBot="1">
      <c r="A5" s="30"/>
      <c r="B5" s="450"/>
      <c r="C5" s="450"/>
      <c r="D5" s="452"/>
      <c r="E5" s="454"/>
      <c r="F5" s="140" t="s">
        <v>427</v>
      </c>
      <c r="G5" s="140" t="s">
        <v>428</v>
      </c>
      <c r="H5" s="59"/>
      <c r="I5" s="59"/>
      <c r="J5" s="59"/>
      <c r="K5" s="59"/>
      <c r="L5" s="59"/>
      <c r="M5" s="59"/>
      <c r="N5" s="59"/>
      <c r="O5" s="59"/>
      <c r="P5" s="60"/>
      <c r="Q5" s="323"/>
      <c r="R5" s="312" t="s">
        <v>352</v>
      </c>
      <c r="S5" s="548"/>
      <c r="T5" s="549" t="s">
        <v>13</v>
      </c>
      <c r="U5" s="550" t="s">
        <v>11</v>
      </c>
      <c r="V5" s="550" t="s">
        <v>12</v>
      </c>
      <c r="W5" s="549" t="s">
        <v>14</v>
      </c>
      <c r="X5" s="549" t="s">
        <v>15</v>
      </c>
      <c r="Y5" s="549" t="s">
        <v>16</v>
      </c>
      <c r="Z5" s="549" t="s">
        <v>158</v>
      </c>
      <c r="AA5" s="549" t="s">
        <v>17</v>
      </c>
      <c r="AB5" s="549" t="s">
        <v>18</v>
      </c>
      <c r="AC5" s="549" t="s">
        <v>19</v>
      </c>
      <c r="AD5" s="549" t="s">
        <v>20</v>
      </c>
      <c r="AE5" s="549" t="s">
        <v>21</v>
      </c>
      <c r="AF5" s="549" t="s">
        <v>159</v>
      </c>
      <c r="AG5" s="549" t="s">
        <v>160</v>
      </c>
      <c r="AH5" s="549" t="s">
        <v>161</v>
      </c>
      <c r="AI5" s="549" t="s">
        <v>162</v>
      </c>
      <c r="AJ5" s="549" t="s">
        <v>22</v>
      </c>
      <c r="AK5" s="549" t="s">
        <v>23</v>
      </c>
      <c r="AL5" s="547" t="s">
        <v>352</v>
      </c>
      <c r="AM5" s="548"/>
      <c r="AN5" s="549" t="s">
        <v>13</v>
      </c>
      <c r="AO5" s="550" t="s">
        <v>11</v>
      </c>
      <c r="AP5" s="550" t="s">
        <v>12</v>
      </c>
      <c r="AQ5" s="549" t="s">
        <v>14</v>
      </c>
      <c r="AR5" s="549" t="s">
        <v>15</v>
      </c>
      <c r="AS5" s="549" t="s">
        <v>16</v>
      </c>
      <c r="AT5" s="549" t="s">
        <v>158</v>
      </c>
      <c r="AU5" s="549" t="s">
        <v>17</v>
      </c>
      <c r="AV5" s="549" t="s">
        <v>18</v>
      </c>
      <c r="AW5" s="549" t="s">
        <v>19</v>
      </c>
      <c r="AX5" s="549" t="s">
        <v>20</v>
      </c>
      <c r="AY5" s="549" t="s">
        <v>21</v>
      </c>
      <c r="AZ5" s="549" t="s">
        <v>159</v>
      </c>
      <c r="BA5" s="549" t="s">
        <v>160</v>
      </c>
      <c r="BB5" s="549" t="s">
        <v>161</v>
      </c>
      <c r="BC5" s="549" t="s">
        <v>162</v>
      </c>
      <c r="BD5" s="549" t="s">
        <v>22</v>
      </c>
      <c r="BE5" s="549" t="s">
        <v>23</v>
      </c>
      <c r="BF5" s="477"/>
      <c r="BG5" s="477"/>
      <c r="BH5" s="477"/>
    </row>
    <row r="6" spans="1:60" ht="12" customHeight="1" thickTop="1">
      <c r="A6" s="30"/>
      <c r="B6" s="146" t="str">
        <f>UPPER(LEFT(TRIM(Data!B5),1)) &amp; MID(TRIM(Data!B5),2,50)</f>
        <v>Piktybiniai navikai</v>
      </c>
      <c r="C6" s="125" t="str">
        <f>Data!C5</f>
        <v>C00-C96</v>
      </c>
      <c r="D6" s="138">
        <f>Data!E5</f>
        <v>4519</v>
      </c>
      <c r="E6" s="127">
        <f t="shared" ref="E6:E7" si="0">D6/$S$4*100000</f>
        <v>334.46177484557325</v>
      </c>
      <c r="F6" s="128">
        <f t="shared" ref="F6:F7" si="1">S6/$S$3</f>
        <v>276.45083054107937</v>
      </c>
      <c r="G6" s="129">
        <f>AM6/$AM$3</f>
        <v>183.70158528976933</v>
      </c>
      <c r="H6" s="59"/>
      <c r="I6" s="59"/>
      <c r="J6" s="59"/>
      <c r="K6" s="59"/>
      <c r="L6" s="59"/>
      <c r="M6" s="59"/>
      <c r="N6" s="59"/>
      <c r="O6" s="59"/>
      <c r="P6" s="60"/>
      <c r="Q6" s="326"/>
      <c r="R6" s="327" t="s">
        <v>353</v>
      </c>
      <c r="S6" s="544">
        <f t="shared" ref="S6:S47" si="2">SUM(T6:AK6)</f>
        <v>27645083.054107938</v>
      </c>
      <c r="T6" s="544">
        <f>Data!AN5/T$4*100000*T$3</f>
        <v>10356.121114836438</v>
      </c>
      <c r="U6" s="544">
        <f>Data!AO5/U$4*100000*U$3</f>
        <v>40038.894926500026</v>
      </c>
      <c r="V6" s="544">
        <f>Data!AP5/V$4*100000*V$3</f>
        <v>19443.904335990668</v>
      </c>
      <c r="W6" s="544">
        <f>Data!AQ5/W$4*100000*W$3</f>
        <v>39200.313602508824</v>
      </c>
      <c r="X6" s="544">
        <f>Data!AR5/X$4*100000*X$3</f>
        <v>38810.190447148838</v>
      </c>
      <c r="Y6" s="544">
        <f>Data!AS5/Y$4*100000*Y$3</f>
        <v>21017.023789269308</v>
      </c>
      <c r="Z6" s="544">
        <f>Data!AT5/Z$4*100000*Z$3</f>
        <v>109642.98900213691</v>
      </c>
      <c r="AA6" s="544">
        <f>Data!AU5/AA$4*100000*AA$3</f>
        <v>196181.74276649888</v>
      </c>
      <c r="AB6" s="544">
        <f>Data!AV5/AB$4*100000*AB$3</f>
        <v>412161.81919699511</v>
      </c>
      <c r="AC6" s="544">
        <f>Data!AW5/AC$4*100000*AC$3</f>
        <v>898480.64236888452</v>
      </c>
      <c r="AD6" s="544">
        <f>Data!AX5/AD$4*100000*AD$3</f>
        <v>1638000.1289763881</v>
      </c>
      <c r="AE6" s="544">
        <f>Data!AY5/AE$4*100000*AE$3</f>
        <v>2724977.8851755159</v>
      </c>
      <c r="AF6" s="544">
        <f>Data!AZ5/AF$4*100000*AF$3</f>
        <v>3916863.1994152288</v>
      </c>
      <c r="AG6" s="544">
        <f>Data!BA5/AG$4*100000*AG$3</f>
        <v>4421811.8555299835</v>
      </c>
      <c r="AH6" s="544">
        <f>Data!BB5/AH$4*100000*AH$3</f>
        <v>4515355.8661033474</v>
      </c>
      <c r="AI6" s="544">
        <f>Data!BC5/AI$4*100000*AI$3</f>
        <v>3945033.2133258963</v>
      </c>
      <c r="AJ6" s="544">
        <f>Data!BD5/AJ$4*100000*AJ$3</f>
        <v>2126637.0299170972</v>
      </c>
      <c r="AK6" s="544">
        <f>Data!BE5/AK$4*100000*AK$3</f>
        <v>2571070.2341137123</v>
      </c>
      <c r="AL6" s="551" t="s">
        <v>353</v>
      </c>
      <c r="AM6" s="544">
        <f t="shared" ref="AM6:AM47" si="3">SUM(AN6:BE6)</f>
        <v>18370158.528976932</v>
      </c>
      <c r="AN6" s="544">
        <f>Data!AN5/AN$4*100000*AN$3</f>
        <v>15534.181672254659</v>
      </c>
      <c r="AO6" s="544">
        <f>Data!AO5/AO$4*100000*AO$3</f>
        <v>57198.421323571463</v>
      </c>
      <c r="AP6" s="544">
        <f>Data!AP5/AP$4*100000*AP$3</f>
        <v>24999.305574845144</v>
      </c>
      <c r="AQ6" s="544">
        <f>Data!AQ5/AQ$4*100000*AQ$3</f>
        <v>50400.403203225629</v>
      </c>
      <c r="AR6" s="544">
        <f>Data!AR5/AR$4*100000*AR$3</f>
        <v>44354.503368170102</v>
      </c>
      <c r="AS6" s="544">
        <f>Data!AS5/AS$4*100000*AS$3</f>
        <v>24019.455759164925</v>
      </c>
      <c r="AT6" s="544">
        <f>Data!AT5/AT$4*100000*AT$3</f>
        <v>93979.704858974495</v>
      </c>
      <c r="AU6" s="544">
        <f>Data!AU5/AU$4*100000*AU$3</f>
        <v>168155.7795141419</v>
      </c>
      <c r="AV6" s="544">
        <f>Data!AV5/AV$4*100000*AV$3</f>
        <v>353281.55931171007</v>
      </c>
      <c r="AW6" s="544">
        <f>Data!AW5/AW$4*100000*AW$3</f>
        <v>770126.26488761522</v>
      </c>
      <c r="AX6" s="544">
        <f>Data!AX5/AX$4*100000*AX$3</f>
        <v>1170000.0921259916</v>
      </c>
      <c r="AY6" s="544">
        <f>Data!AY5/AY$4*100000*AY$3</f>
        <v>1816651.923450344</v>
      </c>
      <c r="AZ6" s="544">
        <f>Data!AZ5/AZ$4*100000*AZ$3</f>
        <v>3133490.5595321828</v>
      </c>
      <c r="BA6" s="544">
        <f>Data!BA5/BA$4*100000*BA$3</f>
        <v>3316358.8916474874</v>
      </c>
      <c r="BB6" s="544">
        <f>Data!BB5/BB$4*100000*BB$3</f>
        <v>3010237.2440688983</v>
      </c>
      <c r="BC6" s="544">
        <f>Data!BC5/BC$4*100000*BC$3</f>
        <v>1972516.6066629482</v>
      </c>
      <c r="BD6" s="544">
        <f>Data!BD5/BD$4*100000*BD$3</f>
        <v>1063318.5149585486</v>
      </c>
      <c r="BE6" s="544">
        <f>Data!BE5/BE$4*100000*BE$3</f>
        <v>1285535.1170568562</v>
      </c>
      <c r="BF6" s="477"/>
      <c r="BG6" s="477"/>
      <c r="BH6" s="477"/>
    </row>
    <row r="7" spans="1:60" ht="12" customHeight="1">
      <c r="A7" s="30"/>
      <c r="B7" s="141" t="str">
        <f>UPPER(LEFT(TRIM(Data!B6),1)) &amp; MID(TRIM(Data!B6),2,50)</f>
        <v>Lūpos</v>
      </c>
      <c r="C7" s="141" t="str">
        <f>Data!C6</f>
        <v>C00</v>
      </c>
      <c r="D7" s="142">
        <f>Data!E6</f>
        <v>1</v>
      </c>
      <c r="E7" s="143">
        <f t="shared" si="0"/>
        <v>7.4012342298201653E-2</v>
      </c>
      <c r="F7" s="144">
        <f t="shared" si="1"/>
        <v>5.0707367780538519E-2</v>
      </c>
      <c r="G7" s="144">
        <f t="shared" ref="G7:G8" si="4">AM7/$AM$3</f>
        <v>2.5353683890269259E-2</v>
      </c>
      <c r="H7" s="59"/>
      <c r="I7" s="59"/>
      <c r="J7" s="59"/>
      <c r="K7" s="59"/>
      <c r="L7" s="59"/>
      <c r="M7" s="59"/>
      <c r="N7" s="59"/>
      <c r="O7" s="59"/>
      <c r="P7" s="60"/>
      <c r="Q7" s="326"/>
      <c r="R7" s="327" t="s">
        <v>353</v>
      </c>
      <c r="S7" s="544">
        <f t="shared" si="2"/>
        <v>5070.7367780538516</v>
      </c>
      <c r="T7" s="544">
        <f>Data!AN6/T$4*100000*T$3</f>
        <v>0</v>
      </c>
      <c r="U7" s="544">
        <f>Data!AO6/U$4*100000*U$3</f>
        <v>0</v>
      </c>
      <c r="V7" s="544">
        <f>Data!AP6/V$4*100000*V$3</f>
        <v>0</v>
      </c>
      <c r="W7" s="544">
        <f>Data!AQ6/W$4*100000*W$3</f>
        <v>0</v>
      </c>
      <c r="X7" s="544">
        <f>Data!AR6/X$4*100000*X$3</f>
        <v>0</v>
      </c>
      <c r="Y7" s="544">
        <f>Data!AS6/Y$4*100000*Y$3</f>
        <v>0</v>
      </c>
      <c r="Z7" s="544">
        <f>Data!AT6/Z$4*100000*Z$3</f>
        <v>0</v>
      </c>
      <c r="AA7" s="544">
        <f>Data!AU6/AA$4*100000*AA$3</f>
        <v>0</v>
      </c>
      <c r="AB7" s="544">
        <f>Data!AV6/AB$4*100000*AB$3</f>
        <v>0</v>
      </c>
      <c r="AC7" s="544">
        <f>Data!AW6/AC$4*100000*AC$3</f>
        <v>0</v>
      </c>
      <c r="AD7" s="544">
        <f>Data!AX6/AD$4*100000*AD$3</f>
        <v>0</v>
      </c>
      <c r="AE7" s="544">
        <f>Data!AY6/AE$4*100000*AE$3</f>
        <v>0</v>
      </c>
      <c r="AF7" s="544">
        <f>Data!AZ6/AF$4*100000*AF$3</f>
        <v>0</v>
      </c>
      <c r="AG7" s="544">
        <f>Data!BA6/AG$4*100000*AG$3</f>
        <v>0</v>
      </c>
      <c r="AH7" s="544">
        <f>Data!BB6/AH$4*100000*AH$3</f>
        <v>0</v>
      </c>
      <c r="AI7" s="544">
        <f>Data!BC6/AI$4*100000*AI$3</f>
        <v>5070.7367780538516</v>
      </c>
      <c r="AJ7" s="544">
        <f>Data!BD6/AJ$4*100000*AJ$3</f>
        <v>0</v>
      </c>
      <c r="AK7" s="544">
        <f>Data!BE6/AK$4*100000*AK$3</f>
        <v>0</v>
      </c>
      <c r="AL7" s="551" t="s">
        <v>353</v>
      </c>
      <c r="AM7" s="544">
        <f t="shared" si="3"/>
        <v>2535.3683890269258</v>
      </c>
      <c r="AN7" s="544">
        <f>Data!AN6/AN$4*100000*AN$3</f>
        <v>0</v>
      </c>
      <c r="AO7" s="544">
        <f>Data!AO6/AO$4*100000*AO$3</f>
        <v>0</v>
      </c>
      <c r="AP7" s="544">
        <f>Data!AP6/AP$4*100000*AP$3</f>
        <v>0</v>
      </c>
      <c r="AQ7" s="544">
        <f>Data!AQ6/AQ$4*100000*AQ$3</f>
        <v>0</v>
      </c>
      <c r="AR7" s="544">
        <f>Data!AR6/AR$4*100000*AR$3</f>
        <v>0</v>
      </c>
      <c r="AS7" s="544">
        <f>Data!AS6/AS$4*100000*AS$3</f>
        <v>0</v>
      </c>
      <c r="AT7" s="544">
        <f>Data!AT6/AT$4*100000*AT$3</f>
        <v>0</v>
      </c>
      <c r="AU7" s="544">
        <f>Data!AU6/AU$4*100000*AU$3</f>
        <v>0</v>
      </c>
      <c r="AV7" s="544">
        <f>Data!AV6/AV$4*100000*AV$3</f>
        <v>0</v>
      </c>
      <c r="AW7" s="544">
        <f>Data!AW6/AW$4*100000*AW$3</f>
        <v>0</v>
      </c>
      <c r="AX7" s="544">
        <f>Data!AX6/AX$4*100000*AX$3</f>
        <v>0</v>
      </c>
      <c r="AY7" s="544">
        <f>Data!AY6/AY$4*100000*AY$3</f>
        <v>0</v>
      </c>
      <c r="AZ7" s="544">
        <f>Data!AZ6/AZ$4*100000*AZ$3</f>
        <v>0</v>
      </c>
      <c r="BA7" s="544">
        <f>Data!BA6/BA$4*100000*BA$3</f>
        <v>0</v>
      </c>
      <c r="BB7" s="544">
        <f>Data!BB6/BB$4*100000*BB$3</f>
        <v>0</v>
      </c>
      <c r="BC7" s="544">
        <f>Data!BC6/BC$4*100000*BC$3</f>
        <v>2535.3683890269258</v>
      </c>
      <c r="BD7" s="544">
        <f>Data!BD6/BD$4*100000*BD$3</f>
        <v>0</v>
      </c>
      <c r="BE7" s="544">
        <f>Data!BE6/BE$4*100000*BE$3</f>
        <v>0</v>
      </c>
      <c r="BF7" s="477"/>
      <c r="BG7" s="477"/>
      <c r="BH7" s="477"/>
    </row>
    <row r="8" spans="1:60" ht="12" customHeight="1">
      <c r="A8" s="30"/>
      <c r="B8" s="146" t="str">
        <f>UPPER(LEFT(TRIM(Data!B7),1)) &amp; MID(TRIM(Data!B7),2,50)</f>
        <v>Burnos ertmės ir ryklės</v>
      </c>
      <c r="C8" s="125" t="str">
        <f>Data!C7</f>
        <v>C01-C14</v>
      </c>
      <c r="D8" s="138">
        <f>Data!E7</f>
        <v>217</v>
      </c>
      <c r="E8" s="127">
        <f t="shared" ref="E8:E47" si="5">D8/$S$4*100000</f>
        <v>16.060678278709759</v>
      </c>
      <c r="F8" s="128">
        <f t="shared" ref="F8:F47" si="6">S8/$S$3</f>
        <v>14.309336766656646</v>
      </c>
      <c r="G8" s="129">
        <f t="shared" si="4"/>
        <v>10.46801206632178</v>
      </c>
      <c r="H8" s="59"/>
      <c r="I8" s="59"/>
      <c r="J8" s="59"/>
      <c r="K8" s="59"/>
      <c r="L8" s="59"/>
      <c r="M8" s="59"/>
      <c r="N8" s="59"/>
      <c r="O8" s="59"/>
      <c r="P8" s="60"/>
      <c r="Q8" s="311"/>
      <c r="R8" s="327" t="s">
        <v>353</v>
      </c>
      <c r="S8" s="544">
        <f t="shared" si="2"/>
        <v>1430933.6766656647</v>
      </c>
      <c r="T8" s="544">
        <f>Data!AN7/T$4*100000*T$3</f>
        <v>0</v>
      </c>
      <c r="U8" s="544">
        <f>Data!AO7/U$4*100000*U$3</f>
        <v>0</v>
      </c>
      <c r="V8" s="544">
        <f>Data!AP7/V$4*100000*V$3</f>
        <v>0</v>
      </c>
      <c r="W8" s="544">
        <f>Data!AQ7/W$4*100000*W$3</f>
        <v>7840.0627205017636</v>
      </c>
      <c r="X8" s="544">
        <f>Data!AR7/X$4*100000*X$3</f>
        <v>0</v>
      </c>
      <c r="Y8" s="544">
        <f>Data!AS7/Y$4*100000*Y$3</f>
        <v>0</v>
      </c>
      <c r="Z8" s="544">
        <f>Data!AT7/Z$4*100000*Z$3</f>
        <v>23494.926214743627</v>
      </c>
      <c r="AA8" s="544">
        <f>Data!AU7/AA$4*100000*AA$3</f>
        <v>15694.539421319911</v>
      </c>
      <c r="AB8" s="544">
        <f>Data!AV7/AB$4*100000*AB$3</f>
        <v>56849.906096137252</v>
      </c>
      <c r="AC8" s="544">
        <f>Data!AW7/AC$4*100000*AC$3</f>
        <v>153229.25683810434</v>
      </c>
      <c r="AD8" s="544">
        <f>Data!AX7/AD$4*100000*AD$3</f>
        <v>116078.74929753931</v>
      </c>
      <c r="AE8" s="544">
        <f>Data!AY7/AE$4*100000*AE$3</f>
        <v>233014.73602450971</v>
      </c>
      <c r="AF8" s="544">
        <f>Data!AZ7/AF$4*100000*AF$3</f>
        <v>289627.20840746415</v>
      </c>
      <c r="AG8" s="544">
        <f>Data!BA7/AG$4*100000*AG$3</f>
        <v>260959.38819521212</v>
      </c>
      <c r="AH8" s="544">
        <f>Data!BB7/AH$4*100000*AH$3</f>
        <v>121871.95320116996</v>
      </c>
      <c r="AI8" s="544">
        <f>Data!BC7/AI$4*100000*AI$3</f>
        <v>101414.73556107702</v>
      </c>
      <c r="AJ8" s="544">
        <f>Data!BD7/AJ$4*100000*AJ$3</f>
        <v>16019.864632143857</v>
      </c>
      <c r="AK8" s="544">
        <f>Data!BE7/AK$4*100000*AK$3</f>
        <v>34838.350055741364</v>
      </c>
      <c r="AL8" s="551" t="s">
        <v>353</v>
      </c>
      <c r="AM8" s="544">
        <f t="shared" si="3"/>
        <v>1046801.206632178</v>
      </c>
      <c r="AN8" s="544">
        <f>Data!AN7/AN$4*100000*AN$3</f>
        <v>0</v>
      </c>
      <c r="AO8" s="544">
        <f>Data!AO7/AO$4*100000*AO$3</f>
        <v>0</v>
      </c>
      <c r="AP8" s="544">
        <f>Data!AP7/AP$4*100000*AP$3</f>
        <v>0</v>
      </c>
      <c r="AQ8" s="544">
        <f>Data!AQ7/AQ$4*100000*AQ$3</f>
        <v>10080.080640645125</v>
      </c>
      <c r="AR8" s="544">
        <f>Data!AR7/AR$4*100000*AR$3</f>
        <v>0</v>
      </c>
      <c r="AS8" s="544">
        <f>Data!AS7/AS$4*100000*AS$3</f>
        <v>0</v>
      </c>
      <c r="AT8" s="544">
        <f>Data!AT7/AT$4*100000*AT$3</f>
        <v>20138.508184065966</v>
      </c>
      <c r="AU8" s="544">
        <f>Data!AU7/AU$4*100000*AU$3</f>
        <v>13452.462361131353</v>
      </c>
      <c r="AV8" s="544">
        <f>Data!AV7/AV$4*100000*AV$3</f>
        <v>48728.490939546216</v>
      </c>
      <c r="AW8" s="544">
        <f>Data!AW7/AW$4*100000*AW$3</f>
        <v>131339.36300408945</v>
      </c>
      <c r="AX8" s="544">
        <f>Data!AX7/AX$4*100000*AX$3</f>
        <v>82913.392355385222</v>
      </c>
      <c r="AY8" s="544">
        <f>Data!AY7/AY$4*100000*AY$3</f>
        <v>155343.15734967313</v>
      </c>
      <c r="AZ8" s="544">
        <f>Data!AZ7/AZ$4*100000*AZ$3</f>
        <v>231701.76672597131</v>
      </c>
      <c r="BA8" s="544">
        <f>Data!BA7/BA$4*100000*BA$3</f>
        <v>195719.54114640909</v>
      </c>
      <c r="BB8" s="544">
        <f>Data!BB7/BB$4*100000*BB$3</f>
        <v>81247.96880077997</v>
      </c>
      <c r="BC8" s="544">
        <f>Data!BC7/BC$4*100000*BC$3</f>
        <v>50707.367780538509</v>
      </c>
      <c r="BD8" s="544">
        <f>Data!BD7/BD$4*100000*BD$3</f>
        <v>8009.9323160719287</v>
      </c>
      <c r="BE8" s="544">
        <f>Data!BE7/BE$4*100000*BE$3</f>
        <v>17419.175027870682</v>
      </c>
      <c r="BF8" s="477"/>
      <c r="BG8" s="477"/>
      <c r="BH8" s="477"/>
    </row>
    <row r="9" spans="1:60" ht="12" customHeight="1">
      <c r="A9" s="30"/>
      <c r="B9" s="141" t="str">
        <f>UPPER(LEFT(TRIM(Data!B8),1)) &amp; MID(TRIM(Data!B8),2,50)</f>
        <v>Stemplės</v>
      </c>
      <c r="C9" s="141" t="str">
        <f>Data!C8</f>
        <v>C15</v>
      </c>
      <c r="D9" s="142">
        <f>Data!E8</f>
        <v>173</v>
      </c>
      <c r="E9" s="143">
        <f t="shared" si="5"/>
        <v>12.804135217588886</v>
      </c>
      <c r="F9" s="144">
        <f t="shared" si="6"/>
        <v>11.073259336070963</v>
      </c>
      <c r="G9" s="144">
        <f t="shared" ref="G9:G47" si="7">AM9/$AM$3</f>
        <v>7.8611078209804965</v>
      </c>
      <c r="H9" s="59"/>
      <c r="I9" s="59"/>
      <c r="J9" s="59"/>
      <c r="K9" s="59"/>
      <c r="L9" s="59"/>
      <c r="M9" s="59"/>
      <c r="N9" s="59"/>
      <c r="O9" s="59"/>
      <c r="P9" s="60"/>
      <c r="Q9" s="311"/>
      <c r="R9" s="327" t="s">
        <v>353</v>
      </c>
      <c r="S9" s="544">
        <f t="shared" si="2"/>
        <v>1107325.9336070963</v>
      </c>
      <c r="T9" s="544">
        <f>Data!AN8/T$4*100000*T$3</f>
        <v>0</v>
      </c>
      <c r="U9" s="544">
        <f>Data!AO8/U$4*100000*U$3</f>
        <v>0</v>
      </c>
      <c r="V9" s="544">
        <f>Data!AP8/V$4*100000*V$3</f>
        <v>0</v>
      </c>
      <c r="W9" s="544">
        <f>Data!AQ8/W$4*100000*W$3</f>
        <v>0</v>
      </c>
      <c r="X9" s="544">
        <f>Data!AR8/X$4*100000*X$3</f>
        <v>0</v>
      </c>
      <c r="Y9" s="544">
        <f>Data!AS8/Y$4*100000*Y$3</f>
        <v>0</v>
      </c>
      <c r="Z9" s="544">
        <f>Data!AT8/Z$4*100000*Z$3</f>
        <v>0</v>
      </c>
      <c r="AA9" s="544">
        <f>Data!AU8/AA$4*100000*AA$3</f>
        <v>7847.2697106599553</v>
      </c>
      <c r="AB9" s="544">
        <f>Data!AV8/AB$4*100000*AB$3</f>
        <v>28424.953048068626</v>
      </c>
      <c r="AC9" s="544">
        <f>Data!AW8/AC$4*100000*AC$3</f>
        <v>62684.695979224503</v>
      </c>
      <c r="AD9" s="544">
        <f>Data!AX8/AD$4*100000*AD$3</f>
        <v>109629.92989212046</v>
      </c>
      <c r="AE9" s="544">
        <f>Data!AY8/AE$4*100000*AE$3</f>
        <v>174761.0520183823</v>
      </c>
      <c r="AF9" s="544">
        <f>Data!AZ8/AF$4*100000*AF$3</f>
        <v>268939.55066407379</v>
      </c>
      <c r="AG9" s="544">
        <f>Data!BA8/AG$4*100000*AG$3</f>
        <v>173972.92546347476</v>
      </c>
      <c r="AH9" s="544">
        <f>Data!BB8/AH$4*100000*AH$3</f>
        <v>121871.95320116996</v>
      </c>
      <c r="AI9" s="544">
        <f>Data!BC8/AI$4*100000*AI$3</f>
        <v>91273.262004969321</v>
      </c>
      <c r="AJ9" s="544">
        <f>Data!BD8/AJ$4*100000*AJ$3</f>
        <v>40049.661580359651</v>
      </c>
      <c r="AK9" s="544">
        <f>Data!BE8/AK$4*100000*AK$3</f>
        <v>27870.680044593086</v>
      </c>
      <c r="AL9" s="551" t="s">
        <v>353</v>
      </c>
      <c r="AM9" s="544">
        <f t="shared" si="3"/>
        <v>786110.78209804965</v>
      </c>
      <c r="AN9" s="544">
        <f>Data!AN8/AN$4*100000*AN$3</f>
        <v>0</v>
      </c>
      <c r="AO9" s="544">
        <f>Data!AO8/AO$4*100000*AO$3</f>
        <v>0</v>
      </c>
      <c r="AP9" s="544">
        <f>Data!AP8/AP$4*100000*AP$3</f>
        <v>0</v>
      </c>
      <c r="AQ9" s="544">
        <f>Data!AQ8/AQ$4*100000*AQ$3</f>
        <v>0</v>
      </c>
      <c r="AR9" s="544">
        <f>Data!AR8/AR$4*100000*AR$3</f>
        <v>0</v>
      </c>
      <c r="AS9" s="544">
        <f>Data!AS8/AS$4*100000*AS$3</f>
        <v>0</v>
      </c>
      <c r="AT9" s="544">
        <f>Data!AT8/AT$4*100000*AT$3</f>
        <v>0</v>
      </c>
      <c r="AU9" s="544">
        <f>Data!AU8/AU$4*100000*AU$3</f>
        <v>6726.2311805656764</v>
      </c>
      <c r="AV9" s="544">
        <f>Data!AV8/AV$4*100000*AV$3</f>
        <v>24364.245469773108</v>
      </c>
      <c r="AW9" s="544">
        <f>Data!AW8/AW$4*100000*AW$3</f>
        <v>53729.739410763861</v>
      </c>
      <c r="AX9" s="544">
        <f>Data!AX8/AX$4*100000*AX$3</f>
        <v>78307.092780086037</v>
      </c>
      <c r="AY9" s="544">
        <f>Data!AY8/AY$4*100000*AY$3</f>
        <v>116507.36801225485</v>
      </c>
      <c r="AZ9" s="544">
        <f>Data!AZ8/AZ$4*100000*AZ$3</f>
        <v>215151.64053125904</v>
      </c>
      <c r="BA9" s="544">
        <f>Data!BA8/BA$4*100000*BA$3</f>
        <v>130479.69409760606</v>
      </c>
      <c r="BB9" s="544">
        <f>Data!BB8/BB$4*100000*BB$3</f>
        <v>81247.96880077997</v>
      </c>
      <c r="BC9" s="544">
        <f>Data!BC8/BC$4*100000*BC$3</f>
        <v>45636.631002484661</v>
      </c>
      <c r="BD9" s="544">
        <f>Data!BD8/BD$4*100000*BD$3</f>
        <v>20024.830790179825</v>
      </c>
      <c r="BE9" s="544">
        <f>Data!BE8/BE$4*100000*BE$3</f>
        <v>13935.340022296543</v>
      </c>
      <c r="BF9" s="477"/>
      <c r="BG9" s="477"/>
      <c r="BH9" s="477"/>
    </row>
    <row r="10" spans="1:60" ht="12" customHeight="1">
      <c r="A10" s="30"/>
      <c r="B10" s="146" t="str">
        <f>UPPER(LEFT(TRIM(Data!B9),1)) &amp; MID(TRIM(Data!B9),2,50)</f>
        <v>Skrandžio</v>
      </c>
      <c r="C10" s="125" t="str">
        <f>Data!C9</f>
        <v>C16</v>
      </c>
      <c r="D10" s="138">
        <f>Data!E9</f>
        <v>413</v>
      </c>
      <c r="E10" s="127">
        <f t="shared" si="5"/>
        <v>30.567097369157281</v>
      </c>
      <c r="F10" s="128">
        <f t="shared" si="6"/>
        <v>25.336217567331261</v>
      </c>
      <c r="G10" s="129">
        <f t="shared" si="7"/>
        <v>16.835546870030552</v>
      </c>
      <c r="H10" s="59"/>
      <c r="I10" s="59"/>
      <c r="J10" s="59"/>
      <c r="K10" s="59"/>
      <c r="L10" s="59"/>
      <c r="M10" s="59"/>
      <c r="N10" s="59"/>
      <c r="O10" s="59"/>
      <c r="P10" s="60"/>
      <c r="Q10" s="311"/>
      <c r="R10" s="327" t="s">
        <v>353</v>
      </c>
      <c r="S10" s="544">
        <f t="shared" si="2"/>
        <v>2533621.756733126</v>
      </c>
      <c r="T10" s="544">
        <f>Data!AN9/T$4*100000*T$3</f>
        <v>0</v>
      </c>
      <c r="U10" s="544">
        <f>Data!AO9/U$4*100000*U$3</f>
        <v>0</v>
      </c>
      <c r="V10" s="544">
        <f>Data!AP9/V$4*100000*V$3</f>
        <v>0</v>
      </c>
      <c r="W10" s="544">
        <f>Data!AQ9/W$4*100000*W$3</f>
        <v>0</v>
      </c>
      <c r="X10" s="544">
        <f>Data!AR9/X$4*100000*X$3</f>
        <v>6468.365074524806</v>
      </c>
      <c r="Y10" s="544">
        <f>Data!AS9/Y$4*100000*Y$3</f>
        <v>0</v>
      </c>
      <c r="Z10" s="544">
        <f>Data!AT9/Z$4*100000*Z$3</f>
        <v>15663.284143162415</v>
      </c>
      <c r="AA10" s="544">
        <f>Data!AU9/AA$4*100000*AA$3</f>
        <v>31389.078842639821</v>
      </c>
      <c r="AB10" s="544">
        <f>Data!AV9/AB$4*100000*AB$3</f>
        <v>42637.429572102934</v>
      </c>
      <c r="AC10" s="544">
        <f>Data!AW9/AC$4*100000*AC$3</f>
        <v>83579.594638965995</v>
      </c>
      <c r="AD10" s="544">
        <f>Data!AX9/AD$4*100000*AD$3</f>
        <v>193464.58216256552</v>
      </c>
      <c r="AE10" s="544">
        <f>Data!AY9/AE$4*100000*AE$3</f>
        <v>233014.73602450971</v>
      </c>
      <c r="AF10" s="544">
        <f>Data!AZ9/AF$4*100000*AF$3</f>
        <v>365481.95346656186</v>
      </c>
      <c r="AG10" s="544">
        <f>Data!BA9/AG$4*100000*AG$3</f>
        <v>326199.23524401512</v>
      </c>
      <c r="AH10" s="544">
        <f>Data!BB9/AH$4*100000*AH$3</f>
        <v>475300.6174845628</v>
      </c>
      <c r="AI10" s="544">
        <f>Data!BC9/AI$4*100000*AI$3</f>
        <v>314385.68023933878</v>
      </c>
      <c r="AJ10" s="544">
        <f>Data!BD9/AJ$4*100000*AJ$3</f>
        <v>188233.40942769032</v>
      </c>
      <c r="AK10" s="544">
        <f>Data!BE9/AK$4*100000*AK$3</f>
        <v>257803.79041248609</v>
      </c>
      <c r="AL10" s="551" t="s">
        <v>353</v>
      </c>
      <c r="AM10" s="544">
        <f t="shared" si="3"/>
        <v>1683554.6870030551</v>
      </c>
      <c r="AN10" s="544">
        <f>Data!AN9/AN$4*100000*AN$3</f>
        <v>0</v>
      </c>
      <c r="AO10" s="544">
        <f>Data!AO9/AO$4*100000*AO$3</f>
        <v>0</v>
      </c>
      <c r="AP10" s="544">
        <f>Data!AP9/AP$4*100000*AP$3</f>
        <v>0</v>
      </c>
      <c r="AQ10" s="544">
        <f>Data!AQ9/AQ$4*100000*AQ$3</f>
        <v>0</v>
      </c>
      <c r="AR10" s="544">
        <f>Data!AR9/AR$4*100000*AR$3</f>
        <v>7392.4172280283501</v>
      </c>
      <c r="AS10" s="544">
        <f>Data!AS9/AS$4*100000*AS$3</f>
        <v>0</v>
      </c>
      <c r="AT10" s="544">
        <f>Data!AT9/AT$4*100000*AT$3</f>
        <v>13425.672122710641</v>
      </c>
      <c r="AU10" s="544">
        <f>Data!AU9/AU$4*100000*AU$3</f>
        <v>26904.924722262705</v>
      </c>
      <c r="AV10" s="544">
        <f>Data!AV9/AV$4*100000*AV$3</f>
        <v>36546.368204659659</v>
      </c>
      <c r="AW10" s="544">
        <f>Data!AW9/AW$4*100000*AW$3</f>
        <v>71639.652547685138</v>
      </c>
      <c r="AX10" s="544">
        <f>Data!AX9/AX$4*100000*AX$3</f>
        <v>138188.98725897536</v>
      </c>
      <c r="AY10" s="544">
        <f>Data!AY9/AY$4*100000*AY$3</f>
        <v>155343.15734967313</v>
      </c>
      <c r="AZ10" s="544">
        <f>Data!AZ9/AZ$4*100000*AZ$3</f>
        <v>292385.56277324946</v>
      </c>
      <c r="BA10" s="544">
        <f>Data!BA9/BA$4*100000*BA$3</f>
        <v>244649.42643301137</v>
      </c>
      <c r="BB10" s="544">
        <f>Data!BB9/BB$4*100000*BB$3</f>
        <v>316867.0783230419</v>
      </c>
      <c r="BC10" s="544">
        <f>Data!BC9/BC$4*100000*BC$3</f>
        <v>157192.84011966939</v>
      </c>
      <c r="BD10" s="544">
        <f>Data!BD9/BD$4*100000*BD$3</f>
        <v>94116.70471384516</v>
      </c>
      <c r="BE10" s="544">
        <f>Data!BE9/BE$4*100000*BE$3</f>
        <v>128901.89520624305</v>
      </c>
      <c r="BF10" s="477"/>
      <c r="BG10" s="477"/>
      <c r="BH10" s="477"/>
    </row>
    <row r="11" spans="1:60" ht="12" customHeight="1">
      <c r="A11" s="30"/>
      <c r="B11" s="141" t="str">
        <f>UPPER(LEFT(TRIM(Data!B10),1)) &amp; MID(TRIM(Data!B10),2,50)</f>
        <v>Gaubtinės žarnos</v>
      </c>
      <c r="C11" s="141" t="str">
        <f>Data!C10</f>
        <v>C18</v>
      </c>
      <c r="D11" s="142">
        <f>Data!E10</f>
        <v>248</v>
      </c>
      <c r="E11" s="143">
        <f t="shared" si="5"/>
        <v>18.355060889954011</v>
      </c>
      <c r="F11" s="144">
        <f t="shared" si="6"/>
        <v>14.793958791413379</v>
      </c>
      <c r="G11" s="144">
        <f t="shared" si="7"/>
        <v>9.3872016624409405</v>
      </c>
      <c r="H11" s="59"/>
      <c r="I11" s="59"/>
      <c r="J11" s="59"/>
      <c r="K11" s="59"/>
      <c r="L11" s="59"/>
      <c r="M11" s="59"/>
      <c r="N11" s="59"/>
      <c r="O11" s="59"/>
      <c r="P11" s="60"/>
      <c r="Q11" s="311"/>
      <c r="R11" s="327" t="s">
        <v>353</v>
      </c>
      <c r="S11" s="544">
        <f t="shared" si="2"/>
        <v>1479395.8791413379</v>
      </c>
      <c r="T11" s="544">
        <f>Data!AN10/T$4*100000*T$3</f>
        <v>0</v>
      </c>
      <c r="U11" s="544">
        <f>Data!AO10/U$4*100000*U$3</f>
        <v>0</v>
      </c>
      <c r="V11" s="544">
        <f>Data!AP10/V$4*100000*V$3</f>
        <v>0</v>
      </c>
      <c r="W11" s="544">
        <f>Data!AQ10/W$4*100000*W$3</f>
        <v>0</v>
      </c>
      <c r="X11" s="544">
        <f>Data!AR10/X$4*100000*X$3</f>
        <v>0</v>
      </c>
      <c r="Y11" s="544">
        <f>Data!AS10/Y$4*100000*Y$3</f>
        <v>0</v>
      </c>
      <c r="Z11" s="544">
        <f>Data!AT10/Z$4*100000*Z$3</f>
        <v>7831.6420715812073</v>
      </c>
      <c r="AA11" s="544">
        <f>Data!AU10/AA$4*100000*AA$3</f>
        <v>0</v>
      </c>
      <c r="AB11" s="544">
        <f>Data!AV10/AB$4*100000*AB$3</f>
        <v>14212.476524034313</v>
      </c>
      <c r="AC11" s="544">
        <f>Data!AW10/AC$4*100000*AC$3</f>
        <v>27859.864879655335</v>
      </c>
      <c r="AD11" s="544">
        <f>Data!AX10/AD$4*100000*AD$3</f>
        <v>32244.09702709426</v>
      </c>
      <c r="AE11" s="544">
        <f>Data!AY10/AE$4*100000*AE$3</f>
        <v>116507.36801225485</v>
      </c>
      <c r="AF11" s="544">
        <f>Data!AZ10/AF$4*100000*AF$3</f>
        <v>179293.03377604921</v>
      </c>
      <c r="AG11" s="544">
        <f>Data!BA10/AG$4*100000*AG$3</f>
        <v>217466.15682934344</v>
      </c>
      <c r="AH11" s="544">
        <f>Data!BB10/AH$4*100000*AH$3</f>
        <v>280305.49236269091</v>
      </c>
      <c r="AI11" s="544">
        <f>Data!BC10/AI$4*100000*AI$3</f>
        <v>182546.52400993864</v>
      </c>
      <c r="AJ11" s="544">
        <f>Data!BD10/AJ$4*100000*AJ$3</f>
        <v>184228.44326965438</v>
      </c>
      <c r="AK11" s="544">
        <f>Data!BE10/AK$4*100000*AK$3</f>
        <v>236900.78037904124</v>
      </c>
      <c r="AL11" s="551" t="s">
        <v>353</v>
      </c>
      <c r="AM11" s="544">
        <f t="shared" si="3"/>
        <v>938720.16624409403</v>
      </c>
      <c r="AN11" s="544">
        <f>Data!AN10/AN$4*100000*AN$3</f>
        <v>0</v>
      </c>
      <c r="AO11" s="544">
        <f>Data!AO10/AO$4*100000*AO$3</f>
        <v>0</v>
      </c>
      <c r="AP11" s="544">
        <f>Data!AP10/AP$4*100000*AP$3</f>
        <v>0</v>
      </c>
      <c r="AQ11" s="544">
        <f>Data!AQ10/AQ$4*100000*AQ$3</f>
        <v>0</v>
      </c>
      <c r="AR11" s="544">
        <f>Data!AR10/AR$4*100000*AR$3</f>
        <v>0</v>
      </c>
      <c r="AS11" s="544">
        <f>Data!AS10/AS$4*100000*AS$3</f>
        <v>0</v>
      </c>
      <c r="AT11" s="544">
        <f>Data!AT10/AT$4*100000*AT$3</f>
        <v>6712.8360613553205</v>
      </c>
      <c r="AU11" s="544">
        <f>Data!AU10/AU$4*100000*AU$3</f>
        <v>0</v>
      </c>
      <c r="AV11" s="544">
        <f>Data!AV10/AV$4*100000*AV$3</f>
        <v>12182.122734886554</v>
      </c>
      <c r="AW11" s="544">
        <f>Data!AW10/AW$4*100000*AW$3</f>
        <v>23879.884182561716</v>
      </c>
      <c r="AX11" s="544">
        <f>Data!AX10/AX$4*100000*AX$3</f>
        <v>23031.497876495898</v>
      </c>
      <c r="AY11" s="544">
        <f>Data!AY10/AY$4*100000*AY$3</f>
        <v>77671.578674836564</v>
      </c>
      <c r="AZ11" s="544">
        <f>Data!AZ10/AZ$4*100000*AZ$3</f>
        <v>143434.42702083936</v>
      </c>
      <c r="BA11" s="544">
        <f>Data!BA10/BA$4*100000*BA$3</f>
        <v>163099.61762200759</v>
      </c>
      <c r="BB11" s="544">
        <f>Data!BB10/BB$4*100000*BB$3</f>
        <v>186870.32824179393</v>
      </c>
      <c r="BC11" s="544">
        <f>Data!BC10/BC$4*100000*BC$3</f>
        <v>91273.262004969321</v>
      </c>
      <c r="BD11" s="544">
        <f>Data!BD10/BD$4*100000*BD$3</f>
        <v>92114.22163482719</v>
      </c>
      <c r="BE11" s="544">
        <f>Data!BE10/BE$4*100000*BE$3</f>
        <v>118450.39018952062</v>
      </c>
      <c r="BF11" s="477"/>
      <c r="BG11" s="477"/>
      <c r="BH11" s="477"/>
    </row>
    <row r="12" spans="1:60" ht="12" customHeight="1">
      <c r="A12" s="30"/>
      <c r="B12" s="146" t="str">
        <f>UPPER(LEFT(TRIM(Data!B11),1)) &amp; MID(TRIM(Data!B11),2,50)</f>
        <v>Tiesiosios žarnos, išangės</v>
      </c>
      <c r="C12" s="125" t="str">
        <f>Data!C11</f>
        <v>C19-C21</v>
      </c>
      <c r="D12" s="138">
        <f>Data!E11</f>
        <v>247</v>
      </c>
      <c r="E12" s="127">
        <f t="shared" si="5"/>
        <v>18.281048547655807</v>
      </c>
      <c r="F12" s="128">
        <f t="shared" si="6"/>
        <v>14.7820657495866</v>
      </c>
      <c r="G12" s="129">
        <f t="shared" si="7"/>
        <v>9.3970467735353687</v>
      </c>
      <c r="H12" s="59"/>
      <c r="I12" s="59"/>
      <c r="J12" s="59"/>
      <c r="K12" s="59"/>
      <c r="L12" s="59"/>
      <c r="M12" s="59"/>
      <c r="N12" s="59"/>
      <c r="O12" s="59"/>
      <c r="P12" s="60"/>
      <c r="Q12" s="311"/>
      <c r="R12" s="327" t="s">
        <v>353</v>
      </c>
      <c r="S12" s="319">
        <f t="shared" si="2"/>
        <v>1478206.5749586599</v>
      </c>
      <c r="T12" s="319">
        <f>Data!AN11/T$4*100000*T$3</f>
        <v>0</v>
      </c>
      <c r="U12" s="319">
        <f>Data!AO11/U$4*100000*U$3</f>
        <v>0</v>
      </c>
      <c r="V12" s="319">
        <f>Data!AP11/V$4*100000*V$3</f>
        <v>0</v>
      </c>
      <c r="W12" s="319">
        <f>Data!AQ11/W$4*100000*W$3</f>
        <v>0</v>
      </c>
      <c r="X12" s="319">
        <f>Data!AR11/X$4*100000*X$3</f>
        <v>0</v>
      </c>
      <c r="Y12" s="319">
        <f>Data!AS11/Y$4*100000*Y$3</f>
        <v>0</v>
      </c>
      <c r="Z12" s="319">
        <f>Data!AT11/Z$4*100000*Z$3</f>
        <v>0</v>
      </c>
      <c r="AA12" s="319">
        <f>Data!AU11/AA$4*100000*AA$3</f>
        <v>7847.2697106599553</v>
      </c>
      <c r="AB12" s="319">
        <f>Data!AV11/AB$4*100000*AB$3</f>
        <v>14212.476524034313</v>
      </c>
      <c r="AC12" s="319">
        <f>Data!AW11/AC$4*100000*AC$3</f>
        <v>41789.797319482997</v>
      </c>
      <c r="AD12" s="319">
        <f>Data!AX11/AD$4*100000*AD$3</f>
        <v>58039.374648769655</v>
      </c>
      <c r="AE12" s="319">
        <f>Data!AY11/AE$4*100000*AE$3</f>
        <v>129452.6311247276</v>
      </c>
      <c r="AF12" s="319">
        <f>Data!AZ11/AF$4*100000*AF$3</f>
        <v>103438.28871695147</v>
      </c>
      <c r="AG12" s="319">
        <f>Data!BA11/AG$4*100000*AG$3</f>
        <v>268208.26008952357</v>
      </c>
      <c r="AH12" s="319">
        <f>Data!BB11/AH$4*100000*AH$3</f>
        <v>274211.89470263239</v>
      </c>
      <c r="AI12" s="319">
        <f>Data!BC11/AI$4*100000*AI$3</f>
        <v>263678.31245880021</v>
      </c>
      <c r="AJ12" s="319">
        <f>Data!BD11/AJ$4*100000*AJ$3</f>
        <v>136168.84937322279</v>
      </c>
      <c r="AK12" s="319">
        <f>Data!BE11/AK$4*100000*AK$3</f>
        <v>181159.42028985507</v>
      </c>
      <c r="AL12" s="327" t="s">
        <v>353</v>
      </c>
      <c r="AM12" s="319">
        <f t="shared" si="3"/>
        <v>939704.67735353694</v>
      </c>
      <c r="AN12" s="319">
        <f>Data!AN11/AN$4*100000*AN$3</f>
        <v>0</v>
      </c>
      <c r="AO12" s="319">
        <f>Data!AO11/AO$4*100000*AO$3</f>
        <v>0</v>
      </c>
      <c r="AP12" s="319">
        <f>Data!AP11/AP$4*100000*AP$3</f>
        <v>0</v>
      </c>
      <c r="AQ12" s="319">
        <f>Data!AQ11/AQ$4*100000*AQ$3</f>
        <v>0</v>
      </c>
      <c r="AR12" s="319">
        <f>Data!AR11/AR$4*100000*AR$3</f>
        <v>0</v>
      </c>
      <c r="AS12" s="319">
        <f>Data!AS11/AS$4*100000*AS$3</f>
        <v>0</v>
      </c>
      <c r="AT12" s="319">
        <f>Data!AT11/AT$4*100000*AT$3</f>
        <v>0</v>
      </c>
      <c r="AU12" s="319">
        <f>Data!AU11/AU$4*100000*AU$3</f>
        <v>6726.2311805656764</v>
      </c>
      <c r="AV12" s="319">
        <f>Data!AV11/AV$4*100000*AV$3</f>
        <v>12182.122734886554</v>
      </c>
      <c r="AW12" s="319">
        <f>Data!AW11/AW$4*100000*AW$3</f>
        <v>35819.826273842569</v>
      </c>
      <c r="AX12" s="319">
        <f>Data!AX11/AX$4*100000*AX$3</f>
        <v>41456.696177692611</v>
      </c>
      <c r="AY12" s="319">
        <f>Data!AY11/AY$4*100000*AY$3</f>
        <v>86301.75408315174</v>
      </c>
      <c r="AZ12" s="319">
        <f>Data!AZ11/AZ$4*100000*AZ$3</f>
        <v>82750.630973561172</v>
      </c>
      <c r="BA12" s="319">
        <f>Data!BA11/BA$4*100000*BA$3</f>
        <v>201156.19506714266</v>
      </c>
      <c r="BB12" s="319">
        <f>Data!BB11/BB$4*100000*BB$3</f>
        <v>182807.92980175494</v>
      </c>
      <c r="BC12" s="319">
        <f>Data!BC11/BC$4*100000*BC$3</f>
        <v>131839.15622940011</v>
      </c>
      <c r="BD12" s="319">
        <f>Data!BD11/BD$4*100000*BD$3</f>
        <v>68084.424686611397</v>
      </c>
      <c r="BE12" s="319">
        <f>Data!BE11/BE$4*100000*BE$3</f>
        <v>90579.710144927536</v>
      </c>
    </row>
    <row r="13" spans="1:60" ht="12" customHeight="1">
      <c r="A13" s="30"/>
      <c r="B13" s="141" t="str">
        <f>UPPER(LEFT(TRIM(Data!B12),1)) &amp; MID(TRIM(Data!B12),2,50)</f>
        <v>Kepenų</v>
      </c>
      <c r="C13" s="141" t="str">
        <f>Data!C12</f>
        <v>C22</v>
      </c>
      <c r="D13" s="142">
        <f>Data!E12</f>
        <v>113</v>
      </c>
      <c r="E13" s="143">
        <f t="shared" si="5"/>
        <v>8.3633946796967855</v>
      </c>
      <c r="F13" s="144">
        <f t="shared" si="6"/>
        <v>6.9680070025178278</v>
      </c>
      <c r="G13" s="144">
        <f t="shared" si="7"/>
        <v>4.6769593127675808</v>
      </c>
      <c r="H13" s="59"/>
      <c r="I13" s="59"/>
      <c r="J13" s="59"/>
      <c r="K13" s="59"/>
      <c r="L13" s="59"/>
      <c r="M13" s="59"/>
      <c r="N13" s="59"/>
      <c r="O13" s="59"/>
      <c r="P13" s="60"/>
      <c r="Q13" s="311"/>
      <c r="R13" s="327" t="s">
        <v>353</v>
      </c>
      <c r="S13" s="319">
        <f t="shared" si="2"/>
        <v>696800.70025178278</v>
      </c>
      <c r="T13" s="319">
        <f>Data!AN12/T$4*100000*T$3</f>
        <v>0</v>
      </c>
      <c r="U13" s="319">
        <f>Data!AO12/U$4*100000*U$3</f>
        <v>0</v>
      </c>
      <c r="V13" s="319">
        <f>Data!AP12/V$4*100000*V$3</f>
        <v>0</v>
      </c>
      <c r="W13" s="319">
        <f>Data!AQ12/W$4*100000*W$3</f>
        <v>0</v>
      </c>
      <c r="X13" s="319">
        <f>Data!AR12/X$4*100000*X$3</f>
        <v>0</v>
      </c>
      <c r="Y13" s="319">
        <f>Data!AS12/Y$4*100000*Y$3</f>
        <v>0</v>
      </c>
      <c r="Z13" s="319">
        <f>Data!AT12/Z$4*100000*Z$3</f>
        <v>0</v>
      </c>
      <c r="AA13" s="319">
        <f>Data!AU12/AA$4*100000*AA$3</f>
        <v>7847.2697106599553</v>
      </c>
      <c r="AB13" s="319">
        <f>Data!AV12/AB$4*100000*AB$3</f>
        <v>14212.476524034313</v>
      </c>
      <c r="AC13" s="319">
        <f>Data!AW12/AC$4*100000*AC$3</f>
        <v>27859.864879655335</v>
      </c>
      <c r="AD13" s="319">
        <f>Data!AX12/AD$4*100000*AD$3</f>
        <v>58039.374648769655</v>
      </c>
      <c r="AE13" s="319">
        <f>Data!AY12/AE$4*100000*AE$3</f>
        <v>103562.10489978211</v>
      </c>
      <c r="AF13" s="319">
        <f>Data!AZ12/AF$4*100000*AF$3</f>
        <v>62062.973230170879</v>
      </c>
      <c r="AG13" s="319">
        <f>Data!BA12/AG$4*100000*AG$3</f>
        <v>123230.82220329462</v>
      </c>
      <c r="AH13" s="319">
        <f>Data!BB12/AH$4*100000*AH$3</f>
        <v>134059.14852128696</v>
      </c>
      <c r="AI13" s="319">
        <f>Data!BC12/AI$4*100000*AI$3</f>
        <v>76061.051670807778</v>
      </c>
      <c r="AJ13" s="319">
        <f>Data!BD12/AJ$4*100000*AJ$3</f>
        <v>48059.593896431572</v>
      </c>
      <c r="AK13" s="319">
        <f>Data!BE12/AK$4*100000*AK$3</f>
        <v>41806.020066889629</v>
      </c>
      <c r="AL13" s="327" t="s">
        <v>353</v>
      </c>
      <c r="AM13" s="319">
        <f t="shared" si="3"/>
        <v>467695.93127675809</v>
      </c>
      <c r="AN13" s="319">
        <f>Data!AN12/AN$4*100000*AN$3</f>
        <v>0</v>
      </c>
      <c r="AO13" s="319">
        <f>Data!AO12/AO$4*100000*AO$3</f>
        <v>0</v>
      </c>
      <c r="AP13" s="319">
        <f>Data!AP12/AP$4*100000*AP$3</f>
        <v>0</v>
      </c>
      <c r="AQ13" s="319">
        <f>Data!AQ12/AQ$4*100000*AQ$3</f>
        <v>0</v>
      </c>
      <c r="AR13" s="319">
        <f>Data!AR12/AR$4*100000*AR$3</f>
        <v>0</v>
      </c>
      <c r="AS13" s="319">
        <f>Data!AS12/AS$4*100000*AS$3</f>
        <v>0</v>
      </c>
      <c r="AT13" s="319">
        <f>Data!AT12/AT$4*100000*AT$3</f>
        <v>0</v>
      </c>
      <c r="AU13" s="319">
        <f>Data!AU12/AU$4*100000*AU$3</f>
        <v>6726.2311805656764</v>
      </c>
      <c r="AV13" s="319">
        <f>Data!AV12/AV$4*100000*AV$3</f>
        <v>12182.122734886554</v>
      </c>
      <c r="AW13" s="319">
        <f>Data!AW12/AW$4*100000*AW$3</f>
        <v>23879.884182561716</v>
      </c>
      <c r="AX13" s="319">
        <f>Data!AX12/AX$4*100000*AX$3</f>
        <v>41456.696177692611</v>
      </c>
      <c r="AY13" s="319">
        <f>Data!AY12/AY$4*100000*AY$3</f>
        <v>69041.403266521404</v>
      </c>
      <c r="AZ13" s="319">
        <f>Data!AZ12/AZ$4*100000*AZ$3</f>
        <v>49650.378584136706</v>
      </c>
      <c r="BA13" s="319">
        <f>Data!BA12/BA$4*100000*BA$3</f>
        <v>92423.11665247097</v>
      </c>
      <c r="BB13" s="319">
        <f>Data!BB12/BB$4*100000*BB$3</f>
        <v>89372.765680857978</v>
      </c>
      <c r="BC13" s="319">
        <f>Data!BC12/BC$4*100000*BC$3</f>
        <v>38030.525835403889</v>
      </c>
      <c r="BD13" s="319">
        <f>Data!BD12/BD$4*100000*BD$3</f>
        <v>24029.796948215786</v>
      </c>
      <c r="BE13" s="319">
        <f>Data!BE12/BE$4*100000*BE$3</f>
        <v>20903.010033444814</v>
      </c>
    </row>
    <row r="14" spans="1:60" ht="12" customHeight="1">
      <c r="A14" s="30"/>
      <c r="B14" s="146" t="str">
        <f>UPPER(LEFT(TRIM(Data!B13),1)) &amp; MID(TRIM(Data!B13),2,50)</f>
        <v>Tulžies pūslės, ekstrahepatinių takų</v>
      </c>
      <c r="C14" s="125" t="str">
        <f>Data!C13</f>
        <v>C23, C24</v>
      </c>
      <c r="D14" s="138">
        <f>Data!E13</f>
        <v>36</v>
      </c>
      <c r="E14" s="127">
        <f t="shared" si="5"/>
        <v>2.6644443227352594</v>
      </c>
      <c r="F14" s="128">
        <f t="shared" si="6"/>
        <v>2.1097997475594226</v>
      </c>
      <c r="G14" s="129">
        <f t="shared" si="7"/>
        <v>1.3474691874872424</v>
      </c>
      <c r="H14" s="59"/>
      <c r="I14" s="59"/>
      <c r="J14" s="59"/>
      <c r="K14" s="59"/>
      <c r="L14" s="59"/>
      <c r="M14" s="59"/>
      <c r="N14" s="59"/>
      <c r="O14" s="59"/>
      <c r="P14" s="60"/>
      <c r="Q14" s="311"/>
      <c r="R14" s="327" t="s">
        <v>353</v>
      </c>
      <c r="S14" s="319">
        <f t="shared" si="2"/>
        <v>210979.97475594224</v>
      </c>
      <c r="T14" s="319">
        <f>Data!AN13/T$4*100000*T$3</f>
        <v>0</v>
      </c>
      <c r="U14" s="319">
        <f>Data!AO13/U$4*100000*U$3</f>
        <v>0</v>
      </c>
      <c r="V14" s="319">
        <f>Data!AP13/V$4*100000*V$3</f>
        <v>0</v>
      </c>
      <c r="W14" s="319">
        <f>Data!AQ13/W$4*100000*W$3</f>
        <v>0</v>
      </c>
      <c r="X14" s="319">
        <f>Data!AR13/X$4*100000*X$3</f>
        <v>0</v>
      </c>
      <c r="Y14" s="319">
        <f>Data!AS13/Y$4*100000*Y$3</f>
        <v>0</v>
      </c>
      <c r="Z14" s="319">
        <f>Data!AT13/Z$4*100000*Z$3</f>
        <v>0</v>
      </c>
      <c r="AA14" s="319">
        <f>Data!AU13/AA$4*100000*AA$3</f>
        <v>0</v>
      </c>
      <c r="AB14" s="319">
        <f>Data!AV13/AB$4*100000*AB$3</f>
        <v>0</v>
      </c>
      <c r="AC14" s="319">
        <f>Data!AW13/AC$4*100000*AC$3</f>
        <v>0</v>
      </c>
      <c r="AD14" s="319">
        <f>Data!AX13/AD$4*100000*AD$3</f>
        <v>6448.8194054188498</v>
      </c>
      <c r="AE14" s="319">
        <f>Data!AY13/AE$4*100000*AE$3</f>
        <v>12945.263112472763</v>
      </c>
      <c r="AF14" s="319">
        <f>Data!AZ13/AF$4*100000*AF$3</f>
        <v>34479.429572317153</v>
      </c>
      <c r="AG14" s="319">
        <f>Data!BA13/AG$4*100000*AG$3</f>
        <v>28995.487577245789</v>
      </c>
      <c r="AH14" s="319">
        <f>Data!BB13/AH$4*100000*AH$3</f>
        <v>48748.781280467985</v>
      </c>
      <c r="AI14" s="319">
        <f>Data!BC13/AI$4*100000*AI$3</f>
        <v>30424.42066832311</v>
      </c>
      <c r="AJ14" s="319">
        <f>Data!BD13/AJ$4*100000*AJ$3</f>
        <v>28034.763106251754</v>
      </c>
      <c r="AK14" s="319">
        <f>Data!BE13/AK$4*100000*AK$3</f>
        <v>20903.010033444814</v>
      </c>
      <c r="AL14" s="327" t="s">
        <v>353</v>
      </c>
      <c r="AM14" s="319">
        <f t="shared" si="3"/>
        <v>134746.91874872425</v>
      </c>
      <c r="AN14" s="319">
        <f>Data!AN13/AN$4*100000*AN$3</f>
        <v>0</v>
      </c>
      <c r="AO14" s="319">
        <f>Data!AO13/AO$4*100000*AO$3</f>
        <v>0</v>
      </c>
      <c r="AP14" s="319">
        <f>Data!AP13/AP$4*100000*AP$3</f>
        <v>0</v>
      </c>
      <c r="AQ14" s="319">
        <f>Data!AQ13/AQ$4*100000*AQ$3</f>
        <v>0</v>
      </c>
      <c r="AR14" s="319">
        <f>Data!AR13/AR$4*100000*AR$3</f>
        <v>0</v>
      </c>
      <c r="AS14" s="319">
        <f>Data!AS13/AS$4*100000*AS$3</f>
        <v>0</v>
      </c>
      <c r="AT14" s="319">
        <f>Data!AT13/AT$4*100000*AT$3</f>
        <v>0</v>
      </c>
      <c r="AU14" s="319">
        <f>Data!AU13/AU$4*100000*AU$3</f>
        <v>0</v>
      </c>
      <c r="AV14" s="319">
        <f>Data!AV13/AV$4*100000*AV$3</f>
        <v>0</v>
      </c>
      <c r="AW14" s="319">
        <f>Data!AW13/AW$4*100000*AW$3</f>
        <v>0</v>
      </c>
      <c r="AX14" s="319">
        <f>Data!AX13/AX$4*100000*AX$3</f>
        <v>4606.2995752991783</v>
      </c>
      <c r="AY14" s="319">
        <f>Data!AY13/AY$4*100000*AY$3</f>
        <v>8630.1754083151754</v>
      </c>
      <c r="AZ14" s="319">
        <f>Data!AZ13/AZ$4*100000*AZ$3</f>
        <v>27583.543657853723</v>
      </c>
      <c r="BA14" s="319">
        <f>Data!BA13/BA$4*100000*BA$3</f>
        <v>21746.615682934342</v>
      </c>
      <c r="BB14" s="319">
        <f>Data!BB13/BB$4*100000*BB$3</f>
        <v>32499.187520311993</v>
      </c>
      <c r="BC14" s="319">
        <f>Data!BC13/BC$4*100000*BC$3</f>
        <v>15212.210334161555</v>
      </c>
      <c r="BD14" s="319">
        <f>Data!BD13/BD$4*100000*BD$3</f>
        <v>14017.381553125877</v>
      </c>
      <c r="BE14" s="319">
        <f>Data!BE13/BE$4*100000*BE$3</f>
        <v>10451.505016722407</v>
      </c>
    </row>
    <row r="15" spans="1:60" ht="12" customHeight="1">
      <c r="A15" s="30"/>
      <c r="B15" s="141" t="str">
        <f>UPPER(LEFT(TRIM(Data!B14),1)) &amp; MID(TRIM(Data!B14),2,50)</f>
        <v>Kasos</v>
      </c>
      <c r="C15" s="141" t="str">
        <f>Data!C14</f>
        <v>C25</v>
      </c>
      <c r="D15" s="142">
        <f>Data!E14</f>
        <v>235</v>
      </c>
      <c r="E15" s="143">
        <f t="shared" si="5"/>
        <v>17.392900440077387</v>
      </c>
      <c r="F15" s="144">
        <f t="shared" si="6"/>
        <v>14.701310097829518</v>
      </c>
      <c r="G15" s="144">
        <f t="shared" si="7"/>
        <v>10.003814520159967</v>
      </c>
      <c r="H15" s="59"/>
      <c r="I15" s="59"/>
      <c r="J15" s="59"/>
      <c r="K15" s="59"/>
      <c r="L15" s="59"/>
      <c r="M15" s="59"/>
      <c r="N15" s="59"/>
      <c r="O15" s="59"/>
      <c r="P15" s="60"/>
      <c r="Q15" s="311"/>
      <c r="R15" s="327" t="s">
        <v>353</v>
      </c>
      <c r="S15" s="319">
        <f t="shared" si="2"/>
        <v>1470131.0097829518</v>
      </c>
      <c r="T15" s="319">
        <f>Data!AN14/T$4*100000*T$3</f>
        <v>0</v>
      </c>
      <c r="U15" s="319">
        <f>Data!AO14/U$4*100000*U$3</f>
        <v>0</v>
      </c>
      <c r="V15" s="319">
        <f>Data!AP14/V$4*100000*V$3</f>
        <v>0</v>
      </c>
      <c r="W15" s="319">
        <f>Data!AQ14/W$4*100000*W$3</f>
        <v>0</v>
      </c>
      <c r="X15" s="319">
        <f>Data!AR14/X$4*100000*X$3</f>
        <v>0</v>
      </c>
      <c r="Y15" s="319">
        <f>Data!AS14/Y$4*100000*Y$3</f>
        <v>0</v>
      </c>
      <c r="Z15" s="319">
        <f>Data!AT14/Z$4*100000*Z$3</f>
        <v>7831.6420715812073</v>
      </c>
      <c r="AA15" s="319">
        <f>Data!AU14/AA$4*100000*AA$3</f>
        <v>7847.2697106599553</v>
      </c>
      <c r="AB15" s="319">
        <f>Data!AV14/AB$4*100000*AB$3</f>
        <v>21318.714786051467</v>
      </c>
      <c r="AC15" s="319">
        <f>Data!AW14/AC$4*100000*AC$3</f>
        <v>76614.628419052169</v>
      </c>
      <c r="AD15" s="319">
        <f>Data!AX14/AD$4*100000*AD$3</f>
        <v>161220.48513547127</v>
      </c>
      <c r="AE15" s="319">
        <f>Data!AY14/AE$4*100000*AE$3</f>
        <v>155343.15734967313</v>
      </c>
      <c r="AF15" s="319">
        <f>Data!AZ14/AF$4*100000*AF$3</f>
        <v>206876.57743390294</v>
      </c>
      <c r="AG15" s="319">
        <f>Data!BA14/AG$4*100000*AG$3</f>
        <v>246461.64440658924</v>
      </c>
      <c r="AH15" s="319">
        <f>Data!BB14/AH$4*100000*AH$3</f>
        <v>243743.90640233993</v>
      </c>
      <c r="AI15" s="319">
        <f>Data!BC14/AI$4*100000*AI$3</f>
        <v>162263.57689772325</v>
      </c>
      <c r="AJ15" s="319">
        <f>Data!BD14/AJ$4*100000*AJ$3</f>
        <v>76094.357002683319</v>
      </c>
      <c r="AK15" s="319">
        <f>Data!BE14/AK$4*100000*AK$3</f>
        <v>104515.05016722408</v>
      </c>
      <c r="AL15" s="327" t="s">
        <v>353</v>
      </c>
      <c r="AM15" s="319">
        <f t="shared" si="3"/>
        <v>1000381.4520159967</v>
      </c>
      <c r="AN15" s="319">
        <f>Data!AN14/AN$4*100000*AN$3</f>
        <v>0</v>
      </c>
      <c r="AO15" s="319">
        <f>Data!AO14/AO$4*100000*AO$3</f>
        <v>0</v>
      </c>
      <c r="AP15" s="319">
        <f>Data!AP14/AP$4*100000*AP$3</f>
        <v>0</v>
      </c>
      <c r="AQ15" s="319">
        <f>Data!AQ14/AQ$4*100000*AQ$3</f>
        <v>0</v>
      </c>
      <c r="AR15" s="319">
        <f>Data!AR14/AR$4*100000*AR$3</f>
        <v>0</v>
      </c>
      <c r="AS15" s="319">
        <f>Data!AS14/AS$4*100000*AS$3</f>
        <v>0</v>
      </c>
      <c r="AT15" s="319">
        <f>Data!AT14/AT$4*100000*AT$3</f>
        <v>6712.8360613553205</v>
      </c>
      <c r="AU15" s="319">
        <f>Data!AU14/AU$4*100000*AU$3</f>
        <v>6726.2311805656764</v>
      </c>
      <c r="AV15" s="319">
        <f>Data!AV14/AV$4*100000*AV$3</f>
        <v>18273.184102329829</v>
      </c>
      <c r="AW15" s="319">
        <f>Data!AW14/AW$4*100000*AW$3</f>
        <v>65669.681502044725</v>
      </c>
      <c r="AX15" s="319">
        <f>Data!AX14/AX$4*100000*AX$3</f>
        <v>115157.48938247949</v>
      </c>
      <c r="AY15" s="319">
        <f>Data!AY14/AY$4*100000*AY$3</f>
        <v>103562.10489978209</v>
      </c>
      <c r="AZ15" s="319">
        <f>Data!AZ14/AZ$4*100000*AZ$3</f>
        <v>165501.26194712234</v>
      </c>
      <c r="BA15" s="319">
        <f>Data!BA14/BA$4*100000*BA$3</f>
        <v>184846.23330494194</v>
      </c>
      <c r="BB15" s="319">
        <f>Data!BB14/BB$4*100000*BB$3</f>
        <v>162495.93760155994</v>
      </c>
      <c r="BC15" s="319">
        <f>Data!BC14/BC$4*100000*BC$3</f>
        <v>81131.788448861626</v>
      </c>
      <c r="BD15" s="319">
        <f>Data!BD14/BD$4*100000*BD$3</f>
        <v>38047.178501341659</v>
      </c>
      <c r="BE15" s="319">
        <f>Data!BE14/BE$4*100000*BE$3</f>
        <v>52257.525083612039</v>
      </c>
    </row>
    <row r="16" spans="1:60" ht="12" customHeight="1">
      <c r="A16" s="30"/>
      <c r="B16" s="146" t="str">
        <f>UPPER(LEFT(TRIM(Data!B15),1)) &amp; MID(TRIM(Data!B15),2,50)</f>
        <v>Kitų virškinimo sistemos organų</v>
      </c>
      <c r="C16" s="125" t="str">
        <f>Data!C15</f>
        <v>C17, C26, C48</v>
      </c>
      <c r="D16" s="138">
        <f>Data!E15</f>
        <v>25</v>
      </c>
      <c r="E16" s="127">
        <f t="shared" si="5"/>
        <v>1.8503085574550411</v>
      </c>
      <c r="F16" s="128">
        <f t="shared" si="6"/>
        <v>1.5649162070613352</v>
      </c>
      <c r="G16" s="129">
        <f t="shared" si="7"/>
        <v>1.0849678388314203</v>
      </c>
      <c r="H16" s="59"/>
      <c r="I16" s="59"/>
      <c r="J16" s="59"/>
      <c r="K16" s="59"/>
      <c r="L16" s="59"/>
      <c r="M16" s="59"/>
      <c r="N16" s="59"/>
      <c r="O16" s="59"/>
      <c r="P16" s="60"/>
      <c r="Q16" s="311"/>
      <c r="R16" s="327" t="s">
        <v>353</v>
      </c>
      <c r="S16" s="319">
        <f t="shared" si="2"/>
        <v>156491.62070613352</v>
      </c>
      <c r="T16" s="319">
        <f>Data!AN15/T$4*100000*T$3</f>
        <v>0</v>
      </c>
      <c r="U16" s="319">
        <f>Data!AO15/U$4*100000*U$3</f>
        <v>0</v>
      </c>
      <c r="V16" s="319">
        <f>Data!AP15/V$4*100000*V$3</f>
        <v>0</v>
      </c>
      <c r="W16" s="319">
        <f>Data!AQ15/W$4*100000*W$3</f>
        <v>7840.0627205017636</v>
      </c>
      <c r="X16" s="319">
        <f>Data!AR15/X$4*100000*X$3</f>
        <v>0</v>
      </c>
      <c r="Y16" s="319">
        <f>Data!AS15/Y$4*100000*Y$3</f>
        <v>0</v>
      </c>
      <c r="Z16" s="319">
        <f>Data!AT15/Z$4*100000*Z$3</f>
        <v>0</v>
      </c>
      <c r="AA16" s="319">
        <f>Data!AU15/AA$4*100000*AA$3</f>
        <v>15694.539421319911</v>
      </c>
      <c r="AB16" s="319">
        <f>Data!AV15/AB$4*100000*AB$3</f>
        <v>0</v>
      </c>
      <c r="AC16" s="319">
        <f>Data!AW15/AC$4*100000*AC$3</f>
        <v>0</v>
      </c>
      <c r="AD16" s="319">
        <f>Data!AX15/AD$4*100000*AD$3</f>
        <v>6448.8194054188498</v>
      </c>
      <c r="AE16" s="319">
        <f>Data!AY15/AE$4*100000*AE$3</f>
        <v>12945.263112472763</v>
      </c>
      <c r="AF16" s="319">
        <f>Data!AZ15/AF$4*100000*AF$3</f>
        <v>27583.543657853723</v>
      </c>
      <c r="AG16" s="319">
        <f>Data!BA15/AG$4*100000*AG$3</f>
        <v>14497.743788622894</v>
      </c>
      <c r="AH16" s="319">
        <f>Data!BB15/AH$4*100000*AH$3</f>
        <v>18280.792980175494</v>
      </c>
      <c r="AI16" s="319">
        <f>Data!BC15/AI$4*100000*AI$3</f>
        <v>20282.947112215406</v>
      </c>
      <c r="AJ16" s="319">
        <f>Data!BD15/AJ$4*100000*AJ$3</f>
        <v>12014.898474107893</v>
      </c>
      <c r="AK16" s="319">
        <f>Data!BE15/AK$4*100000*AK$3</f>
        <v>20903.010033444814</v>
      </c>
      <c r="AL16" s="327" t="s">
        <v>353</v>
      </c>
      <c r="AM16" s="319">
        <f t="shared" si="3"/>
        <v>108496.78388314204</v>
      </c>
      <c r="AN16" s="319">
        <f>Data!AN15/AN$4*100000*AN$3</f>
        <v>0</v>
      </c>
      <c r="AO16" s="319">
        <f>Data!AO15/AO$4*100000*AO$3</f>
        <v>0</v>
      </c>
      <c r="AP16" s="319">
        <f>Data!AP15/AP$4*100000*AP$3</f>
        <v>0</v>
      </c>
      <c r="AQ16" s="319">
        <f>Data!AQ15/AQ$4*100000*AQ$3</f>
        <v>10080.080640645125</v>
      </c>
      <c r="AR16" s="319">
        <f>Data!AR15/AR$4*100000*AR$3</f>
        <v>0</v>
      </c>
      <c r="AS16" s="319">
        <f>Data!AS15/AS$4*100000*AS$3</f>
        <v>0</v>
      </c>
      <c r="AT16" s="319">
        <f>Data!AT15/AT$4*100000*AT$3</f>
        <v>0</v>
      </c>
      <c r="AU16" s="319">
        <f>Data!AU15/AU$4*100000*AU$3</f>
        <v>13452.462361131353</v>
      </c>
      <c r="AV16" s="319">
        <f>Data!AV15/AV$4*100000*AV$3</f>
        <v>0</v>
      </c>
      <c r="AW16" s="319">
        <f>Data!AW15/AW$4*100000*AW$3</f>
        <v>0</v>
      </c>
      <c r="AX16" s="319">
        <f>Data!AX15/AX$4*100000*AX$3</f>
        <v>4606.2995752991783</v>
      </c>
      <c r="AY16" s="319">
        <f>Data!AY15/AY$4*100000*AY$3</f>
        <v>8630.1754083151754</v>
      </c>
      <c r="AZ16" s="319">
        <f>Data!AZ15/AZ$4*100000*AZ$3</f>
        <v>22066.83492628298</v>
      </c>
      <c r="BA16" s="319">
        <f>Data!BA15/BA$4*100000*BA$3</f>
        <v>10873.307841467171</v>
      </c>
      <c r="BB16" s="319">
        <f>Data!BB15/BB$4*100000*BB$3</f>
        <v>12187.195320116996</v>
      </c>
      <c r="BC16" s="319">
        <f>Data!BC15/BC$4*100000*BC$3</f>
        <v>10141.473556107703</v>
      </c>
      <c r="BD16" s="319">
        <f>Data!BD15/BD$4*100000*BD$3</f>
        <v>6007.4492370539465</v>
      </c>
      <c r="BE16" s="319">
        <f>Data!BE15/BE$4*100000*BE$3</f>
        <v>10451.505016722407</v>
      </c>
    </row>
    <row r="17" spans="1:57" ht="12" customHeight="1">
      <c r="A17" s="30"/>
      <c r="B17" s="141" t="str">
        <f>UPPER(LEFT(TRIM(Data!B16),1)) &amp; MID(TRIM(Data!B16),2,50)</f>
        <v>Nosies ertmės, vid.ausies ir ančių</v>
      </c>
      <c r="C17" s="141" t="str">
        <f>Data!C16</f>
        <v>C30, C31</v>
      </c>
      <c r="D17" s="142">
        <f>Data!E16</f>
        <v>12</v>
      </c>
      <c r="E17" s="143">
        <f t="shared" si="5"/>
        <v>0.88814810757841978</v>
      </c>
      <c r="F17" s="144">
        <f t="shared" si="6"/>
        <v>0.81802144868076054</v>
      </c>
      <c r="G17" s="144">
        <f t="shared" si="7"/>
        <v>0.62915361361484978</v>
      </c>
      <c r="H17" s="59"/>
      <c r="I17" s="59"/>
      <c r="J17" s="59"/>
      <c r="K17" s="59"/>
      <c r="L17" s="59"/>
      <c r="M17" s="59"/>
      <c r="N17" s="59"/>
      <c r="O17" s="59"/>
      <c r="P17" s="60"/>
      <c r="Q17" s="311"/>
      <c r="R17" s="327" t="s">
        <v>353</v>
      </c>
      <c r="S17" s="319">
        <f t="shared" si="2"/>
        <v>81802.144868076051</v>
      </c>
      <c r="T17" s="319">
        <f>Data!AN16/T$4*100000*T$3</f>
        <v>0</v>
      </c>
      <c r="U17" s="319">
        <f>Data!AO16/U$4*100000*U$3</f>
        <v>0</v>
      </c>
      <c r="V17" s="319">
        <f>Data!AP16/V$4*100000*V$3</f>
        <v>0</v>
      </c>
      <c r="W17" s="319">
        <f>Data!AQ16/W$4*100000*W$3</f>
        <v>0</v>
      </c>
      <c r="X17" s="319">
        <f>Data!AR16/X$4*100000*X$3</f>
        <v>0</v>
      </c>
      <c r="Y17" s="319">
        <f>Data!AS16/Y$4*100000*Y$3</f>
        <v>0</v>
      </c>
      <c r="Z17" s="319">
        <f>Data!AT16/Z$4*100000*Z$3</f>
        <v>0</v>
      </c>
      <c r="AA17" s="319">
        <f>Data!AU16/AA$4*100000*AA$3</f>
        <v>0</v>
      </c>
      <c r="AB17" s="319">
        <f>Data!AV16/AB$4*100000*AB$3</f>
        <v>7106.2382620171566</v>
      </c>
      <c r="AC17" s="319">
        <f>Data!AW16/AC$4*100000*AC$3</f>
        <v>20894.898659741499</v>
      </c>
      <c r="AD17" s="319">
        <f>Data!AX16/AD$4*100000*AD$3</f>
        <v>0</v>
      </c>
      <c r="AE17" s="319">
        <f>Data!AY16/AE$4*100000*AE$3</f>
        <v>19417.894668709141</v>
      </c>
      <c r="AF17" s="319">
        <f>Data!AZ16/AF$4*100000*AF$3</f>
        <v>13791.771828926861</v>
      </c>
      <c r="AG17" s="319">
        <f>Data!BA16/AG$4*100000*AG$3</f>
        <v>14497.743788622894</v>
      </c>
      <c r="AH17" s="319">
        <f>Data!BB16/AH$4*100000*AH$3</f>
        <v>6093.5976600584981</v>
      </c>
      <c r="AI17" s="319">
        <f>Data!BC16/AI$4*100000*AI$3</f>
        <v>0</v>
      </c>
      <c r="AJ17" s="319">
        <f>Data!BD16/AJ$4*100000*AJ$3</f>
        <v>0</v>
      </c>
      <c r="AK17" s="319">
        <f>Data!BE16/AK$4*100000*AK$3</f>
        <v>0</v>
      </c>
      <c r="AL17" s="327" t="s">
        <v>353</v>
      </c>
      <c r="AM17" s="319">
        <f t="shared" si="3"/>
        <v>62915.361361484975</v>
      </c>
      <c r="AN17" s="319">
        <f>Data!AN16/AN$4*100000*AN$3</f>
        <v>0</v>
      </c>
      <c r="AO17" s="319">
        <f>Data!AO16/AO$4*100000*AO$3</f>
        <v>0</v>
      </c>
      <c r="AP17" s="319">
        <f>Data!AP16/AP$4*100000*AP$3</f>
        <v>0</v>
      </c>
      <c r="AQ17" s="319">
        <f>Data!AQ16/AQ$4*100000*AQ$3</f>
        <v>0</v>
      </c>
      <c r="AR17" s="319">
        <f>Data!AR16/AR$4*100000*AR$3</f>
        <v>0</v>
      </c>
      <c r="AS17" s="319">
        <f>Data!AS16/AS$4*100000*AS$3</f>
        <v>0</v>
      </c>
      <c r="AT17" s="319">
        <f>Data!AT16/AT$4*100000*AT$3</f>
        <v>0</v>
      </c>
      <c r="AU17" s="319">
        <f>Data!AU16/AU$4*100000*AU$3</f>
        <v>0</v>
      </c>
      <c r="AV17" s="319">
        <f>Data!AV16/AV$4*100000*AV$3</f>
        <v>6091.061367443277</v>
      </c>
      <c r="AW17" s="319">
        <f>Data!AW16/AW$4*100000*AW$3</f>
        <v>17909.913136921285</v>
      </c>
      <c r="AX17" s="319">
        <f>Data!AX16/AX$4*100000*AX$3</f>
        <v>0</v>
      </c>
      <c r="AY17" s="319">
        <f>Data!AY16/AY$4*100000*AY$3</f>
        <v>12945.263112472761</v>
      </c>
      <c r="AZ17" s="319">
        <f>Data!AZ16/AZ$4*100000*AZ$3</f>
        <v>11033.41746314149</v>
      </c>
      <c r="BA17" s="319">
        <f>Data!BA16/BA$4*100000*BA$3</f>
        <v>10873.307841467171</v>
      </c>
      <c r="BB17" s="319">
        <f>Data!BB16/BB$4*100000*BB$3</f>
        <v>4062.3984400389991</v>
      </c>
      <c r="BC17" s="319">
        <f>Data!BC16/BC$4*100000*BC$3</f>
        <v>0</v>
      </c>
      <c r="BD17" s="319">
        <f>Data!BD16/BD$4*100000*BD$3</f>
        <v>0</v>
      </c>
      <c r="BE17" s="319">
        <f>Data!BE16/BE$4*100000*BE$3</f>
        <v>0</v>
      </c>
    </row>
    <row r="18" spans="1:57" ht="12" customHeight="1">
      <c r="A18" s="30"/>
      <c r="B18" s="146" t="str">
        <f>UPPER(LEFT(TRIM(Data!B17),1)) &amp; MID(TRIM(Data!B17),2,50)</f>
        <v>Gerklų</v>
      </c>
      <c r="C18" s="125" t="str">
        <f>Data!C17</f>
        <v>C32</v>
      </c>
      <c r="D18" s="138">
        <f>Data!E17</f>
        <v>109</v>
      </c>
      <c r="E18" s="127">
        <f t="shared" si="5"/>
        <v>8.0673453105039794</v>
      </c>
      <c r="F18" s="128">
        <f t="shared" si="6"/>
        <v>6.8247334756329305</v>
      </c>
      <c r="G18" s="129">
        <f t="shared" si="7"/>
        <v>4.6861922238414504</v>
      </c>
      <c r="H18" s="59"/>
      <c r="I18" s="59"/>
      <c r="J18" s="59"/>
      <c r="K18" s="59"/>
      <c r="L18" s="59"/>
      <c r="M18" s="59"/>
      <c r="N18" s="59"/>
      <c r="O18" s="59"/>
      <c r="P18" s="60"/>
      <c r="Q18" s="311"/>
      <c r="R18" s="327" t="s">
        <v>353</v>
      </c>
      <c r="S18" s="319">
        <f t="shared" si="2"/>
        <v>682473.34756329306</v>
      </c>
      <c r="T18" s="319">
        <f>Data!AN17/T$4*100000*T$3</f>
        <v>0</v>
      </c>
      <c r="U18" s="319">
        <f>Data!AO17/U$4*100000*U$3</f>
        <v>0</v>
      </c>
      <c r="V18" s="319">
        <f>Data!AP17/V$4*100000*V$3</f>
        <v>0</v>
      </c>
      <c r="W18" s="319">
        <f>Data!AQ17/W$4*100000*W$3</f>
        <v>0</v>
      </c>
      <c r="X18" s="319">
        <f>Data!AR17/X$4*100000*X$3</f>
        <v>0</v>
      </c>
      <c r="Y18" s="319">
        <f>Data!AS17/Y$4*100000*Y$3</f>
        <v>0</v>
      </c>
      <c r="Z18" s="319">
        <f>Data!AT17/Z$4*100000*Z$3</f>
        <v>0</v>
      </c>
      <c r="AA18" s="319">
        <f>Data!AU17/AA$4*100000*AA$3</f>
        <v>0</v>
      </c>
      <c r="AB18" s="319">
        <f>Data!AV17/AB$4*100000*AB$3</f>
        <v>14212.476524034313</v>
      </c>
      <c r="AC18" s="319">
        <f>Data!AW17/AC$4*100000*AC$3</f>
        <v>55719.72975931067</v>
      </c>
      <c r="AD18" s="319">
        <f>Data!AX17/AD$4*100000*AD$3</f>
        <v>25795.277621675399</v>
      </c>
      <c r="AE18" s="319">
        <f>Data!AY17/AE$4*100000*AE$3</f>
        <v>97089.473343545716</v>
      </c>
      <c r="AF18" s="319">
        <f>Data!AZ17/AF$4*100000*AF$3</f>
        <v>103438.28871695147</v>
      </c>
      <c r="AG18" s="319">
        <f>Data!BA17/AG$4*100000*AG$3</f>
        <v>137728.56599191751</v>
      </c>
      <c r="AH18" s="319">
        <f>Data!BB17/AH$4*100000*AH$3</f>
        <v>91403.964900877472</v>
      </c>
      <c r="AI18" s="319">
        <f>Data!BC17/AI$4*100000*AI$3</f>
        <v>86202.525226915473</v>
      </c>
      <c r="AJ18" s="319">
        <f>Data!BD17/AJ$4*100000*AJ$3</f>
        <v>36044.695422323683</v>
      </c>
      <c r="AK18" s="319">
        <f>Data!BE17/AK$4*100000*AK$3</f>
        <v>34838.350055741364</v>
      </c>
      <c r="AL18" s="327" t="s">
        <v>353</v>
      </c>
      <c r="AM18" s="319">
        <f t="shared" si="3"/>
        <v>468619.22238414508</v>
      </c>
      <c r="AN18" s="319">
        <f>Data!AN17/AN$4*100000*AN$3</f>
        <v>0</v>
      </c>
      <c r="AO18" s="319">
        <f>Data!AO17/AO$4*100000*AO$3</f>
        <v>0</v>
      </c>
      <c r="AP18" s="319">
        <f>Data!AP17/AP$4*100000*AP$3</f>
        <v>0</v>
      </c>
      <c r="AQ18" s="319">
        <f>Data!AQ17/AQ$4*100000*AQ$3</f>
        <v>0</v>
      </c>
      <c r="AR18" s="319">
        <f>Data!AR17/AR$4*100000*AR$3</f>
        <v>0</v>
      </c>
      <c r="AS18" s="319">
        <f>Data!AS17/AS$4*100000*AS$3</f>
        <v>0</v>
      </c>
      <c r="AT18" s="319">
        <f>Data!AT17/AT$4*100000*AT$3</f>
        <v>0</v>
      </c>
      <c r="AU18" s="319">
        <f>Data!AU17/AU$4*100000*AU$3</f>
        <v>0</v>
      </c>
      <c r="AV18" s="319">
        <f>Data!AV17/AV$4*100000*AV$3</f>
        <v>12182.122734886554</v>
      </c>
      <c r="AW18" s="319">
        <f>Data!AW17/AW$4*100000*AW$3</f>
        <v>47759.768365123433</v>
      </c>
      <c r="AX18" s="319">
        <f>Data!AX17/AX$4*100000*AX$3</f>
        <v>18425.198301196713</v>
      </c>
      <c r="AY18" s="319">
        <f>Data!AY17/AY$4*100000*AY$3</f>
        <v>64726.315562363809</v>
      </c>
      <c r="AZ18" s="319">
        <f>Data!AZ17/AZ$4*100000*AZ$3</f>
        <v>82750.630973561172</v>
      </c>
      <c r="BA18" s="319">
        <f>Data!BA17/BA$4*100000*BA$3</f>
        <v>103296.42449393815</v>
      </c>
      <c r="BB18" s="319">
        <f>Data!BB17/BB$4*100000*BB$3</f>
        <v>60935.976600584989</v>
      </c>
      <c r="BC18" s="319">
        <f>Data!BC17/BC$4*100000*BC$3</f>
        <v>43101.262613457737</v>
      </c>
      <c r="BD18" s="319">
        <f>Data!BD17/BD$4*100000*BD$3</f>
        <v>18022.347711161841</v>
      </c>
      <c r="BE18" s="319">
        <f>Data!BE17/BE$4*100000*BE$3</f>
        <v>17419.175027870682</v>
      </c>
    </row>
    <row r="19" spans="1:57" ht="12" customHeight="1">
      <c r="A19" s="30"/>
      <c r="B19" s="141" t="str">
        <f>UPPER(LEFT(TRIM(Data!B18),1)) &amp; MID(TRIM(Data!B18),2,50)</f>
        <v>Plaučių, trachėjos, bronchų</v>
      </c>
      <c r="C19" s="141" t="str">
        <f>Data!C18</f>
        <v>C33, C34</v>
      </c>
      <c r="D19" s="142">
        <f>Data!E18</f>
        <v>1075</v>
      </c>
      <c r="E19" s="143">
        <f t="shared" si="5"/>
        <v>79.56326797056677</v>
      </c>
      <c r="F19" s="144">
        <f t="shared" si="6"/>
        <v>66.748153422446279</v>
      </c>
      <c r="G19" s="144">
        <f t="shared" si="7"/>
        <v>45.274858296721114</v>
      </c>
      <c r="H19" s="59"/>
      <c r="I19" s="59"/>
      <c r="J19" s="59"/>
      <c r="K19" s="59"/>
      <c r="L19" s="59"/>
      <c r="M19" s="59"/>
      <c r="N19" s="59"/>
      <c r="O19" s="59"/>
      <c r="P19" s="60"/>
      <c r="Q19" s="311"/>
      <c r="R19" s="327" t="s">
        <v>353</v>
      </c>
      <c r="S19" s="319">
        <f t="shared" si="2"/>
        <v>6674815.3422446279</v>
      </c>
      <c r="T19" s="319">
        <f>Data!AN18/T$4*100000*T$3</f>
        <v>0</v>
      </c>
      <c r="U19" s="319">
        <f>Data!AO18/U$4*100000*U$3</f>
        <v>0</v>
      </c>
      <c r="V19" s="319">
        <f>Data!AP18/V$4*100000*V$3</f>
        <v>0</v>
      </c>
      <c r="W19" s="319">
        <f>Data!AQ18/W$4*100000*W$3</f>
        <v>0</v>
      </c>
      <c r="X19" s="319">
        <f>Data!AR18/X$4*100000*X$3</f>
        <v>0</v>
      </c>
      <c r="Y19" s="319">
        <f>Data!AS18/Y$4*100000*Y$3</f>
        <v>0</v>
      </c>
      <c r="Z19" s="319">
        <f>Data!AT18/Z$4*100000*Z$3</f>
        <v>7831.6420715812073</v>
      </c>
      <c r="AA19" s="319">
        <f>Data!AU18/AA$4*100000*AA$3</f>
        <v>7847.2697106599553</v>
      </c>
      <c r="AB19" s="319">
        <f>Data!AV18/AB$4*100000*AB$3</f>
        <v>85274.859144205868</v>
      </c>
      <c r="AC19" s="319">
        <f>Data!AW18/AC$4*100000*AC$3</f>
        <v>111439.45951862134</v>
      </c>
      <c r="AD19" s="319">
        <f>Data!AX18/AD$4*100000*AD$3</f>
        <v>419173.26135222532</v>
      </c>
      <c r="AE19" s="319">
        <f>Data!AY18/AE$4*100000*AE$3</f>
        <v>834969.47075449314</v>
      </c>
      <c r="AF19" s="319">
        <f>Data!AZ18/AF$4*100000*AF$3</f>
        <v>1268843.0082612715</v>
      </c>
      <c r="AG19" s="319">
        <f>Data!BA18/AG$4*100000*AG$3</f>
        <v>1283050.3252931263</v>
      </c>
      <c r="AH19" s="319">
        <f>Data!BB18/AH$4*100000*AH$3</f>
        <v>1102941.1764705882</v>
      </c>
      <c r="AI19" s="319">
        <f>Data!BC18/AI$4*100000*AI$3</f>
        <v>953298.51427412394</v>
      </c>
      <c r="AJ19" s="319">
        <f>Data!BD18/AJ$4*100000*AJ$3</f>
        <v>328407.22495894908</v>
      </c>
      <c r="AK19" s="319">
        <f>Data!BE18/AK$4*100000*AK$3</f>
        <v>271739.13043478265</v>
      </c>
      <c r="AL19" s="327" t="s">
        <v>353</v>
      </c>
      <c r="AM19" s="319">
        <f t="shared" si="3"/>
        <v>4527485.8296721112</v>
      </c>
      <c r="AN19" s="319">
        <f>Data!AN18/AN$4*100000*AN$3</f>
        <v>0</v>
      </c>
      <c r="AO19" s="319">
        <f>Data!AO18/AO$4*100000*AO$3</f>
        <v>0</v>
      </c>
      <c r="AP19" s="319">
        <f>Data!AP18/AP$4*100000*AP$3</f>
        <v>0</v>
      </c>
      <c r="AQ19" s="319">
        <f>Data!AQ18/AQ$4*100000*AQ$3</f>
        <v>0</v>
      </c>
      <c r="AR19" s="319">
        <f>Data!AR18/AR$4*100000*AR$3</f>
        <v>0</v>
      </c>
      <c r="AS19" s="319">
        <f>Data!AS18/AS$4*100000*AS$3</f>
        <v>0</v>
      </c>
      <c r="AT19" s="319">
        <f>Data!AT18/AT$4*100000*AT$3</f>
        <v>6712.8360613553205</v>
      </c>
      <c r="AU19" s="319">
        <f>Data!AU18/AU$4*100000*AU$3</f>
        <v>6726.2311805656764</v>
      </c>
      <c r="AV19" s="319">
        <f>Data!AV18/AV$4*100000*AV$3</f>
        <v>73092.736409319317</v>
      </c>
      <c r="AW19" s="319">
        <f>Data!AW18/AW$4*100000*AW$3</f>
        <v>95519.536730246866</v>
      </c>
      <c r="AX19" s="319">
        <f>Data!AX18/AX$4*100000*AX$3</f>
        <v>299409.47239444667</v>
      </c>
      <c r="AY19" s="319">
        <f>Data!AY18/AY$4*100000*AY$3</f>
        <v>556646.3138363288</v>
      </c>
      <c r="AZ19" s="319">
        <f>Data!AZ18/AZ$4*100000*AZ$3</f>
        <v>1015074.4066090172</v>
      </c>
      <c r="BA19" s="319">
        <f>Data!BA18/BA$4*100000*BA$3</f>
        <v>962287.74396984465</v>
      </c>
      <c r="BB19" s="319">
        <f>Data!BB18/BB$4*100000*BB$3</f>
        <v>735294.1176470588</v>
      </c>
      <c r="BC19" s="319">
        <f>Data!BC18/BC$4*100000*BC$3</f>
        <v>476649.25713706197</v>
      </c>
      <c r="BD19" s="319">
        <f>Data!BD18/BD$4*100000*BD$3</f>
        <v>164203.61247947454</v>
      </c>
      <c r="BE19" s="319">
        <f>Data!BE18/BE$4*100000*BE$3</f>
        <v>135869.56521739133</v>
      </c>
    </row>
    <row r="20" spans="1:57" ht="12" customHeight="1">
      <c r="A20" s="30"/>
      <c r="B20" s="146" t="str">
        <f>UPPER(LEFT(TRIM(Data!B19),1)) &amp; MID(TRIM(Data!B19),2,50)</f>
        <v>Kitų kvėpavimo sistemos organų</v>
      </c>
      <c r="C20" s="125" t="str">
        <f>Data!C19</f>
        <v>C37-C39</v>
      </c>
      <c r="D20" s="138">
        <f>Data!E19</f>
        <v>11</v>
      </c>
      <c r="E20" s="127">
        <f t="shared" si="5"/>
        <v>0.81413576528021803</v>
      </c>
      <c r="F20" s="128">
        <f t="shared" si="6"/>
        <v>0.68684392095680724</v>
      </c>
      <c r="G20" s="129">
        <f t="shared" si="7"/>
        <v>0.45150096851324939</v>
      </c>
      <c r="H20" s="58"/>
      <c r="I20" s="58"/>
      <c r="J20" s="58"/>
      <c r="K20" s="58"/>
      <c r="L20" s="58"/>
      <c r="M20" s="58"/>
      <c r="N20" s="58"/>
      <c r="O20" s="58"/>
      <c r="P20" s="60"/>
      <c r="Q20" s="311"/>
      <c r="R20" s="327" t="s">
        <v>353</v>
      </c>
      <c r="S20" s="319">
        <f t="shared" si="2"/>
        <v>68684.392095680727</v>
      </c>
      <c r="T20" s="319">
        <f>Data!AN19/T$4*100000*T$3</f>
        <v>0</v>
      </c>
      <c r="U20" s="319">
        <f>Data!AO19/U$4*100000*U$3</f>
        <v>0</v>
      </c>
      <c r="V20" s="319">
        <f>Data!AP19/V$4*100000*V$3</f>
        <v>0</v>
      </c>
      <c r="W20" s="319">
        <f>Data!AQ19/W$4*100000*W$3</f>
        <v>0</v>
      </c>
      <c r="X20" s="319">
        <f>Data!AR19/X$4*100000*X$3</f>
        <v>0</v>
      </c>
      <c r="Y20" s="319">
        <f>Data!AS19/Y$4*100000*Y$3</f>
        <v>0</v>
      </c>
      <c r="Z20" s="319">
        <f>Data!AT19/Z$4*100000*Z$3</f>
        <v>0</v>
      </c>
      <c r="AA20" s="319">
        <f>Data!AU19/AA$4*100000*AA$3</f>
        <v>0</v>
      </c>
      <c r="AB20" s="319">
        <f>Data!AV19/AB$4*100000*AB$3</f>
        <v>0</v>
      </c>
      <c r="AC20" s="319">
        <f>Data!AW19/AC$4*100000*AC$3</f>
        <v>0</v>
      </c>
      <c r="AD20" s="319">
        <f>Data!AX19/AD$4*100000*AD$3</f>
        <v>12897.6388108377</v>
      </c>
      <c r="AE20" s="319">
        <f>Data!AY19/AE$4*100000*AE$3</f>
        <v>6472.6315562363816</v>
      </c>
      <c r="AF20" s="319">
        <f>Data!AZ19/AF$4*100000*AF$3</f>
        <v>13791.771828926861</v>
      </c>
      <c r="AG20" s="319">
        <f>Data!BA19/AG$4*100000*AG$3</f>
        <v>7248.8718943114472</v>
      </c>
      <c r="AH20" s="319">
        <f>Data!BB19/AH$4*100000*AH$3</f>
        <v>6093.5976600584981</v>
      </c>
      <c r="AI20" s="319">
        <f>Data!BC19/AI$4*100000*AI$3</f>
        <v>15212.210334161555</v>
      </c>
      <c r="AJ20" s="319">
        <f>Data!BD19/AJ$4*100000*AJ$3</f>
        <v>0</v>
      </c>
      <c r="AK20" s="319">
        <f>Data!BE19/AK$4*100000*AK$3</f>
        <v>6967.6700111482714</v>
      </c>
      <c r="AL20" s="327" t="s">
        <v>353</v>
      </c>
      <c r="AM20" s="319">
        <f t="shared" si="3"/>
        <v>45150.096851324939</v>
      </c>
      <c r="AN20" s="319">
        <f>Data!AN19/AN$4*100000*AN$3</f>
        <v>0</v>
      </c>
      <c r="AO20" s="319">
        <f>Data!AO19/AO$4*100000*AO$3</f>
        <v>0</v>
      </c>
      <c r="AP20" s="319">
        <f>Data!AP19/AP$4*100000*AP$3</f>
        <v>0</v>
      </c>
      <c r="AQ20" s="319">
        <f>Data!AQ19/AQ$4*100000*AQ$3</f>
        <v>0</v>
      </c>
      <c r="AR20" s="319">
        <f>Data!AR19/AR$4*100000*AR$3</f>
        <v>0</v>
      </c>
      <c r="AS20" s="319">
        <f>Data!AS19/AS$4*100000*AS$3</f>
        <v>0</v>
      </c>
      <c r="AT20" s="319">
        <f>Data!AT19/AT$4*100000*AT$3</f>
        <v>0</v>
      </c>
      <c r="AU20" s="319">
        <f>Data!AU19/AU$4*100000*AU$3</f>
        <v>0</v>
      </c>
      <c r="AV20" s="319">
        <f>Data!AV19/AV$4*100000*AV$3</f>
        <v>0</v>
      </c>
      <c r="AW20" s="319">
        <f>Data!AW19/AW$4*100000*AW$3</f>
        <v>0</v>
      </c>
      <c r="AX20" s="319">
        <f>Data!AX19/AX$4*100000*AX$3</f>
        <v>9212.5991505983566</v>
      </c>
      <c r="AY20" s="319">
        <f>Data!AY19/AY$4*100000*AY$3</f>
        <v>4315.0877041575877</v>
      </c>
      <c r="AZ20" s="319">
        <f>Data!AZ19/AZ$4*100000*AZ$3</f>
        <v>11033.41746314149</v>
      </c>
      <c r="BA20" s="319">
        <f>Data!BA19/BA$4*100000*BA$3</f>
        <v>5436.6539207335854</v>
      </c>
      <c r="BB20" s="319">
        <f>Data!BB19/BB$4*100000*BB$3</f>
        <v>4062.3984400389991</v>
      </c>
      <c r="BC20" s="319">
        <f>Data!BC19/BC$4*100000*BC$3</f>
        <v>7606.1051670807774</v>
      </c>
      <c r="BD20" s="319">
        <f>Data!BD19/BD$4*100000*BD$3</f>
        <v>0</v>
      </c>
      <c r="BE20" s="319">
        <f>Data!BE19/BE$4*100000*BE$3</f>
        <v>3483.8350055741357</v>
      </c>
    </row>
    <row r="21" spans="1:57" ht="12" customHeight="1">
      <c r="A21" s="30"/>
      <c r="B21" s="141" t="str">
        <f>UPPER(LEFT(TRIM(Data!B20),1)) &amp; MID(TRIM(Data!B20),2,50)</f>
        <v>Kaulų ir jungiamojo audinio</v>
      </c>
      <c r="C21" s="141" t="str">
        <f>Data!C20</f>
        <v>C40-C41, C45-C47, C49</v>
      </c>
      <c r="D21" s="142">
        <f>Data!E20</f>
        <v>32</v>
      </c>
      <c r="E21" s="143">
        <f t="shared" si="5"/>
        <v>2.3683949535424529</v>
      </c>
      <c r="F21" s="144">
        <f t="shared" si="6"/>
        <v>1.9651766301178288</v>
      </c>
      <c r="G21" s="144">
        <f t="shared" si="7"/>
        <v>1.4993767649471548</v>
      </c>
      <c r="H21" s="58"/>
      <c r="I21" s="58"/>
      <c r="J21" s="58"/>
      <c r="K21" s="58"/>
      <c r="L21" s="58"/>
      <c r="M21" s="58"/>
      <c r="N21" s="58"/>
      <c r="O21" s="58"/>
      <c r="P21" s="60"/>
      <c r="Q21" s="311"/>
      <c r="R21" s="327" t="s">
        <v>353</v>
      </c>
      <c r="S21" s="319">
        <f t="shared" si="2"/>
        <v>196517.66301178289</v>
      </c>
      <c r="T21" s="319">
        <f>Data!AN20/T$4*100000*T$3</f>
        <v>0</v>
      </c>
      <c r="U21" s="319">
        <f>Data!AO20/U$4*100000*U$3</f>
        <v>10009.723731625007</v>
      </c>
      <c r="V21" s="319">
        <f>Data!AP20/V$4*100000*V$3</f>
        <v>0</v>
      </c>
      <c r="W21" s="319">
        <f>Data!AQ20/W$4*100000*W$3</f>
        <v>0</v>
      </c>
      <c r="X21" s="319">
        <f>Data!AR20/X$4*100000*X$3</f>
        <v>6468.365074524806</v>
      </c>
      <c r="Y21" s="319">
        <f>Data!AS20/Y$4*100000*Y$3</f>
        <v>7005.6745964231022</v>
      </c>
      <c r="Z21" s="319">
        <f>Data!AT20/Z$4*100000*Z$3</f>
        <v>0</v>
      </c>
      <c r="AA21" s="319">
        <f>Data!AU20/AA$4*100000*AA$3</f>
        <v>0</v>
      </c>
      <c r="AB21" s="319">
        <f>Data!AV20/AB$4*100000*AB$3</f>
        <v>28424.953048068626</v>
      </c>
      <c r="AC21" s="319">
        <f>Data!AW20/AC$4*100000*AC$3</f>
        <v>13929.932439827668</v>
      </c>
      <c r="AD21" s="319">
        <f>Data!AX20/AD$4*100000*AD$3</f>
        <v>12897.6388108377</v>
      </c>
      <c r="AE21" s="319">
        <f>Data!AY20/AE$4*100000*AE$3</f>
        <v>12945.263112472763</v>
      </c>
      <c r="AF21" s="319">
        <f>Data!AZ20/AF$4*100000*AF$3</f>
        <v>20687.657743390293</v>
      </c>
      <c r="AG21" s="319">
        <f>Data!BA20/AG$4*100000*AG$3</f>
        <v>21746.615682934345</v>
      </c>
      <c r="AH21" s="319">
        <f>Data!BB20/AH$4*100000*AH$3</f>
        <v>12187.195320116996</v>
      </c>
      <c r="AI21" s="319">
        <f>Data!BC20/AI$4*100000*AI$3</f>
        <v>15212.210334161555</v>
      </c>
      <c r="AJ21" s="319">
        <f>Data!BD20/AJ$4*100000*AJ$3</f>
        <v>28034.763106251754</v>
      </c>
      <c r="AK21" s="319">
        <f>Data!BE20/AK$4*100000*AK$3</f>
        <v>6967.6700111482714</v>
      </c>
      <c r="AL21" s="327" t="s">
        <v>353</v>
      </c>
      <c r="AM21" s="319">
        <f t="shared" si="3"/>
        <v>149937.67649471547</v>
      </c>
      <c r="AN21" s="319">
        <f>Data!AN20/AN$4*100000*AN$3</f>
        <v>0</v>
      </c>
      <c r="AO21" s="319">
        <f>Data!AO20/AO$4*100000*AO$3</f>
        <v>14299.605330892866</v>
      </c>
      <c r="AP21" s="319">
        <f>Data!AP20/AP$4*100000*AP$3</f>
        <v>0</v>
      </c>
      <c r="AQ21" s="319">
        <f>Data!AQ20/AQ$4*100000*AQ$3</f>
        <v>0</v>
      </c>
      <c r="AR21" s="319">
        <f>Data!AR20/AR$4*100000*AR$3</f>
        <v>7392.4172280283501</v>
      </c>
      <c r="AS21" s="319">
        <f>Data!AS20/AS$4*100000*AS$3</f>
        <v>8006.4852530549742</v>
      </c>
      <c r="AT21" s="319">
        <f>Data!AT20/AT$4*100000*AT$3</f>
        <v>0</v>
      </c>
      <c r="AU21" s="319">
        <f>Data!AU20/AU$4*100000*AU$3</f>
        <v>0</v>
      </c>
      <c r="AV21" s="319">
        <f>Data!AV20/AV$4*100000*AV$3</f>
        <v>24364.245469773108</v>
      </c>
      <c r="AW21" s="319">
        <f>Data!AW20/AW$4*100000*AW$3</f>
        <v>11939.942091280858</v>
      </c>
      <c r="AX21" s="319">
        <f>Data!AX20/AX$4*100000*AX$3</f>
        <v>9212.5991505983566</v>
      </c>
      <c r="AY21" s="319">
        <f>Data!AY20/AY$4*100000*AY$3</f>
        <v>8630.1754083151754</v>
      </c>
      <c r="AZ21" s="319">
        <f>Data!AZ20/AZ$4*100000*AZ$3</f>
        <v>16550.126194712233</v>
      </c>
      <c r="BA21" s="319">
        <f>Data!BA20/BA$4*100000*BA$3</f>
        <v>16309.961762200757</v>
      </c>
      <c r="BB21" s="319">
        <f>Data!BB20/BB$4*100000*BB$3</f>
        <v>8124.7968800779981</v>
      </c>
      <c r="BC21" s="319">
        <f>Data!BC20/BC$4*100000*BC$3</f>
        <v>7606.1051670807774</v>
      </c>
      <c r="BD21" s="319">
        <f>Data!BD20/BD$4*100000*BD$3</f>
        <v>14017.381553125877</v>
      </c>
      <c r="BE21" s="319">
        <f>Data!BE20/BE$4*100000*BE$3</f>
        <v>3483.8350055741357</v>
      </c>
    </row>
    <row r="22" spans="1:57" ht="12" customHeight="1">
      <c r="A22" s="30"/>
      <c r="B22" s="146" t="str">
        <f>UPPER(LEFT(TRIM(Data!B21),1)) &amp; MID(TRIM(Data!B21),2,50)</f>
        <v>Odos melanoma</v>
      </c>
      <c r="C22" s="125" t="str">
        <f>Data!C21</f>
        <v>C43</v>
      </c>
      <c r="D22" s="138">
        <f>Data!E21</f>
        <v>42</v>
      </c>
      <c r="E22" s="127">
        <f t="shared" si="5"/>
        <v>3.1085183765244691</v>
      </c>
      <c r="F22" s="128">
        <f t="shared" si="6"/>
        <v>2.6368236214683529</v>
      </c>
      <c r="G22" s="129">
        <f t="shared" si="7"/>
        <v>1.8337464589284331</v>
      </c>
      <c r="H22" s="58"/>
      <c r="I22" s="58"/>
      <c r="J22" s="58"/>
      <c r="K22" s="58"/>
      <c r="L22" s="58"/>
      <c r="M22" s="58"/>
      <c r="N22" s="58"/>
      <c r="O22" s="58"/>
      <c r="P22" s="60"/>
      <c r="Q22" s="311"/>
      <c r="R22" s="327" t="s">
        <v>353</v>
      </c>
      <c r="S22" s="319">
        <f t="shared" si="2"/>
        <v>263682.36214683531</v>
      </c>
      <c r="T22" s="319">
        <f>Data!AN21/T$4*100000*T$3</f>
        <v>0</v>
      </c>
      <c r="U22" s="319">
        <f>Data!AO21/U$4*100000*U$3</f>
        <v>0</v>
      </c>
      <c r="V22" s="319">
        <f>Data!AP21/V$4*100000*V$3</f>
        <v>0</v>
      </c>
      <c r="W22" s="319">
        <f>Data!AQ21/W$4*100000*W$3</f>
        <v>0</v>
      </c>
      <c r="X22" s="319">
        <f>Data!AR21/X$4*100000*X$3</f>
        <v>0</v>
      </c>
      <c r="Y22" s="319">
        <f>Data!AS21/Y$4*100000*Y$3</f>
        <v>7005.6745964231022</v>
      </c>
      <c r="Z22" s="319">
        <f>Data!AT21/Z$4*100000*Z$3</f>
        <v>0</v>
      </c>
      <c r="AA22" s="319">
        <f>Data!AU21/AA$4*100000*AA$3</f>
        <v>23541.809131979866</v>
      </c>
      <c r="AB22" s="319">
        <f>Data!AV21/AB$4*100000*AB$3</f>
        <v>7106.2382620171566</v>
      </c>
      <c r="AC22" s="319">
        <f>Data!AW21/AC$4*100000*AC$3</f>
        <v>27859.864879655335</v>
      </c>
      <c r="AD22" s="319">
        <f>Data!AX21/AD$4*100000*AD$3</f>
        <v>19346.458216256553</v>
      </c>
      <c r="AE22" s="319">
        <f>Data!AY21/AE$4*100000*AE$3</f>
        <v>19417.894668709141</v>
      </c>
      <c r="AF22" s="319">
        <f>Data!AZ21/AF$4*100000*AF$3</f>
        <v>20687.657743390293</v>
      </c>
      <c r="AG22" s="319">
        <f>Data!BA21/AG$4*100000*AG$3</f>
        <v>21746.615682934345</v>
      </c>
      <c r="AH22" s="319">
        <f>Data!BB21/AH$4*100000*AH$3</f>
        <v>42655.183620409487</v>
      </c>
      <c r="AI22" s="319">
        <f>Data!BC21/AI$4*100000*AI$3</f>
        <v>30424.42066832311</v>
      </c>
      <c r="AJ22" s="319">
        <f>Data!BD21/AJ$4*100000*AJ$3</f>
        <v>16019.864632143857</v>
      </c>
      <c r="AK22" s="319">
        <f>Data!BE21/AK$4*100000*AK$3</f>
        <v>27870.680044593086</v>
      </c>
      <c r="AL22" s="327" t="s">
        <v>353</v>
      </c>
      <c r="AM22" s="319">
        <f t="shared" si="3"/>
        <v>183374.64589284331</v>
      </c>
      <c r="AN22" s="319">
        <f>Data!AN21/AN$4*100000*AN$3</f>
        <v>0</v>
      </c>
      <c r="AO22" s="319">
        <f>Data!AO21/AO$4*100000*AO$3</f>
        <v>0</v>
      </c>
      <c r="AP22" s="319">
        <f>Data!AP21/AP$4*100000*AP$3</f>
        <v>0</v>
      </c>
      <c r="AQ22" s="319">
        <f>Data!AQ21/AQ$4*100000*AQ$3</f>
        <v>0</v>
      </c>
      <c r="AR22" s="319">
        <f>Data!AR21/AR$4*100000*AR$3</f>
        <v>0</v>
      </c>
      <c r="AS22" s="319">
        <f>Data!AS21/AS$4*100000*AS$3</f>
        <v>8006.4852530549742</v>
      </c>
      <c r="AT22" s="319">
        <f>Data!AT21/AT$4*100000*AT$3</f>
        <v>0</v>
      </c>
      <c r="AU22" s="319">
        <f>Data!AU21/AU$4*100000*AU$3</f>
        <v>20178.693541697026</v>
      </c>
      <c r="AV22" s="319">
        <f>Data!AV21/AV$4*100000*AV$3</f>
        <v>6091.061367443277</v>
      </c>
      <c r="AW22" s="319">
        <f>Data!AW21/AW$4*100000*AW$3</f>
        <v>23879.884182561716</v>
      </c>
      <c r="AX22" s="319">
        <f>Data!AX21/AX$4*100000*AX$3</f>
        <v>13818.898725897538</v>
      </c>
      <c r="AY22" s="319">
        <f>Data!AY21/AY$4*100000*AY$3</f>
        <v>12945.263112472761</v>
      </c>
      <c r="AZ22" s="319">
        <f>Data!AZ21/AZ$4*100000*AZ$3</f>
        <v>16550.126194712233</v>
      </c>
      <c r="BA22" s="319">
        <f>Data!BA21/BA$4*100000*BA$3</f>
        <v>16309.961762200757</v>
      </c>
      <c r="BB22" s="319">
        <f>Data!BB21/BB$4*100000*BB$3</f>
        <v>28436.789080272993</v>
      </c>
      <c r="BC22" s="319">
        <f>Data!BC21/BC$4*100000*BC$3</f>
        <v>15212.210334161555</v>
      </c>
      <c r="BD22" s="319">
        <f>Data!BD21/BD$4*100000*BD$3</f>
        <v>8009.9323160719287</v>
      </c>
      <c r="BE22" s="319">
        <f>Data!BE21/BE$4*100000*BE$3</f>
        <v>13935.340022296543</v>
      </c>
    </row>
    <row r="23" spans="1:57" ht="12" customHeight="1">
      <c r="A23" s="30"/>
      <c r="B23" s="141" t="str">
        <f>UPPER(LEFT(TRIM(Data!B22),1)) &amp; MID(TRIM(Data!B22),2,50)</f>
        <v>Kiti odos piktybiniai navikai</v>
      </c>
      <c r="C23" s="141" t="str">
        <f>Data!C22</f>
        <v>C44</v>
      </c>
      <c r="D23" s="142">
        <f>Data!E22</f>
        <v>22</v>
      </c>
      <c r="E23" s="143">
        <f t="shared" si="5"/>
        <v>1.6282715305604361</v>
      </c>
      <c r="F23" s="144">
        <f t="shared" si="6"/>
        <v>1.2935267074513079</v>
      </c>
      <c r="G23" s="144">
        <f t="shared" si="7"/>
        <v>0.74814827966919617</v>
      </c>
      <c r="H23" s="58"/>
      <c r="I23" s="58"/>
      <c r="J23" s="58"/>
      <c r="K23" s="58"/>
      <c r="L23" s="58"/>
      <c r="M23" s="58"/>
      <c r="N23" s="58"/>
      <c r="O23" s="58"/>
      <c r="P23" s="60"/>
      <c r="Q23" s="311"/>
      <c r="R23" s="327" t="s">
        <v>353</v>
      </c>
      <c r="S23" s="319">
        <f t="shared" si="2"/>
        <v>129352.6707451308</v>
      </c>
      <c r="T23" s="319">
        <f>Data!AN22/T$4*100000*T$3</f>
        <v>0</v>
      </c>
      <c r="U23" s="319">
        <f>Data!AO22/U$4*100000*U$3</f>
        <v>0</v>
      </c>
      <c r="V23" s="319">
        <f>Data!AP22/V$4*100000*V$3</f>
        <v>0</v>
      </c>
      <c r="W23" s="319">
        <f>Data!AQ22/W$4*100000*W$3</f>
        <v>0</v>
      </c>
      <c r="X23" s="319">
        <f>Data!AR22/X$4*100000*X$3</f>
        <v>0</v>
      </c>
      <c r="Y23" s="319">
        <f>Data!AS22/Y$4*100000*Y$3</f>
        <v>0</v>
      </c>
      <c r="Z23" s="319">
        <f>Data!AT22/Z$4*100000*Z$3</f>
        <v>0</v>
      </c>
      <c r="AA23" s="319">
        <f>Data!AU22/AA$4*100000*AA$3</f>
        <v>0</v>
      </c>
      <c r="AB23" s="319">
        <f>Data!AV22/AB$4*100000*AB$3</f>
        <v>0</v>
      </c>
      <c r="AC23" s="319">
        <f>Data!AW22/AC$4*100000*AC$3</f>
        <v>0</v>
      </c>
      <c r="AD23" s="319">
        <f>Data!AX22/AD$4*100000*AD$3</f>
        <v>0</v>
      </c>
      <c r="AE23" s="319">
        <f>Data!AY22/AE$4*100000*AE$3</f>
        <v>12945.263112472763</v>
      </c>
      <c r="AF23" s="319">
        <f>Data!AZ22/AF$4*100000*AF$3</f>
        <v>13791.771828926861</v>
      </c>
      <c r="AG23" s="319">
        <f>Data!BA22/AG$4*100000*AG$3</f>
        <v>7248.8718943114472</v>
      </c>
      <c r="AH23" s="319">
        <f>Data!BB22/AH$4*100000*AH$3</f>
        <v>12187.195320116996</v>
      </c>
      <c r="AI23" s="319">
        <f>Data!BC22/AI$4*100000*AI$3</f>
        <v>25353.683890269254</v>
      </c>
      <c r="AJ23" s="319">
        <f>Data!BD22/AJ$4*100000*AJ$3</f>
        <v>16019.864632143857</v>
      </c>
      <c r="AK23" s="319">
        <f>Data!BE22/AK$4*100000*AK$3</f>
        <v>41806.020066889629</v>
      </c>
      <c r="AL23" s="327" t="s">
        <v>353</v>
      </c>
      <c r="AM23" s="319">
        <f t="shared" si="3"/>
        <v>74814.82796691962</v>
      </c>
      <c r="AN23" s="319">
        <f>Data!AN22/AN$4*100000*AN$3</f>
        <v>0</v>
      </c>
      <c r="AO23" s="319">
        <f>Data!AO22/AO$4*100000*AO$3</f>
        <v>0</v>
      </c>
      <c r="AP23" s="319">
        <f>Data!AP22/AP$4*100000*AP$3</f>
        <v>0</v>
      </c>
      <c r="AQ23" s="319">
        <f>Data!AQ22/AQ$4*100000*AQ$3</f>
        <v>0</v>
      </c>
      <c r="AR23" s="319">
        <f>Data!AR22/AR$4*100000*AR$3</f>
        <v>0</v>
      </c>
      <c r="AS23" s="319">
        <f>Data!AS22/AS$4*100000*AS$3</f>
        <v>0</v>
      </c>
      <c r="AT23" s="319">
        <f>Data!AT22/AT$4*100000*AT$3</f>
        <v>0</v>
      </c>
      <c r="AU23" s="319">
        <f>Data!AU22/AU$4*100000*AU$3</f>
        <v>0</v>
      </c>
      <c r="AV23" s="319">
        <f>Data!AV22/AV$4*100000*AV$3</f>
        <v>0</v>
      </c>
      <c r="AW23" s="319">
        <f>Data!AW22/AW$4*100000*AW$3</f>
        <v>0</v>
      </c>
      <c r="AX23" s="319">
        <f>Data!AX22/AX$4*100000*AX$3</f>
        <v>0</v>
      </c>
      <c r="AY23" s="319">
        <f>Data!AY22/AY$4*100000*AY$3</f>
        <v>8630.1754083151754</v>
      </c>
      <c r="AZ23" s="319">
        <f>Data!AZ22/AZ$4*100000*AZ$3</f>
        <v>11033.41746314149</v>
      </c>
      <c r="BA23" s="319">
        <f>Data!BA22/BA$4*100000*BA$3</f>
        <v>5436.6539207335854</v>
      </c>
      <c r="BB23" s="319">
        <f>Data!BB22/BB$4*100000*BB$3</f>
        <v>8124.7968800779981</v>
      </c>
      <c r="BC23" s="319">
        <f>Data!BC22/BC$4*100000*BC$3</f>
        <v>12676.841945134627</v>
      </c>
      <c r="BD23" s="319">
        <f>Data!BD22/BD$4*100000*BD$3</f>
        <v>8009.9323160719287</v>
      </c>
      <c r="BE23" s="319">
        <f>Data!BE22/BE$4*100000*BE$3</f>
        <v>20903.010033444814</v>
      </c>
    </row>
    <row r="24" spans="1:57" ht="12" customHeight="1">
      <c r="A24" s="30"/>
      <c r="B24" s="146" t="str">
        <f>UPPER(LEFT(TRIM(Data!B23),1)) &amp; MID(TRIM(Data!B23),2,50)</f>
        <v>Krūties</v>
      </c>
      <c r="C24" s="125" t="str">
        <f>Data!C23</f>
        <v>C50</v>
      </c>
      <c r="D24" s="138">
        <f>Data!E23</f>
        <v>8</v>
      </c>
      <c r="E24" s="127">
        <f t="shared" si="5"/>
        <v>0.59209873838561322</v>
      </c>
      <c r="F24" s="128">
        <f t="shared" si="6"/>
        <v>0.49224287737309785</v>
      </c>
      <c r="G24" s="129">
        <f t="shared" si="7"/>
        <v>0.34153759014343843</v>
      </c>
      <c r="H24" s="58"/>
      <c r="I24" s="58"/>
      <c r="J24" s="58"/>
      <c r="K24" s="58"/>
      <c r="L24" s="58"/>
      <c r="M24" s="58"/>
      <c r="N24" s="58"/>
      <c r="O24" s="58"/>
      <c r="P24" s="60"/>
      <c r="Q24" s="311"/>
      <c r="R24" s="327" t="s">
        <v>353</v>
      </c>
      <c r="S24" s="319">
        <f t="shared" si="2"/>
        <v>49224.287737309787</v>
      </c>
      <c r="T24" s="319">
        <f>Data!AN23/T$4*100000*T$3</f>
        <v>0</v>
      </c>
      <c r="U24" s="319">
        <f>Data!AO23/U$4*100000*U$3</f>
        <v>0</v>
      </c>
      <c r="V24" s="319">
        <f>Data!AP23/V$4*100000*V$3</f>
        <v>0</v>
      </c>
      <c r="W24" s="319">
        <f>Data!AQ23/W$4*100000*W$3</f>
        <v>0</v>
      </c>
      <c r="X24" s="319">
        <f>Data!AR23/X$4*100000*X$3</f>
        <v>0</v>
      </c>
      <c r="Y24" s="319">
        <f>Data!AS23/Y$4*100000*Y$3</f>
        <v>0</v>
      </c>
      <c r="Z24" s="319">
        <f>Data!AT23/Z$4*100000*Z$3</f>
        <v>0</v>
      </c>
      <c r="AA24" s="319">
        <f>Data!AU23/AA$4*100000*AA$3</f>
        <v>0</v>
      </c>
      <c r="AB24" s="319">
        <f>Data!AV23/AB$4*100000*AB$3</f>
        <v>0</v>
      </c>
      <c r="AC24" s="319">
        <f>Data!AW23/AC$4*100000*AC$3</f>
        <v>6964.9662199138338</v>
      </c>
      <c r="AD24" s="319">
        <f>Data!AX23/AD$4*100000*AD$3</f>
        <v>0</v>
      </c>
      <c r="AE24" s="319">
        <f>Data!AY23/AE$4*100000*AE$3</f>
        <v>12945.263112472763</v>
      </c>
      <c r="AF24" s="319">
        <f>Data!AZ23/AF$4*100000*AF$3</f>
        <v>6895.8859144634307</v>
      </c>
      <c r="AG24" s="319">
        <f>Data!BA23/AG$4*100000*AG$3</f>
        <v>7248.8718943114472</v>
      </c>
      <c r="AH24" s="319">
        <f>Data!BB23/AH$4*100000*AH$3</f>
        <v>6093.5976600584981</v>
      </c>
      <c r="AI24" s="319">
        <f>Data!BC23/AI$4*100000*AI$3</f>
        <v>5070.7367780538516</v>
      </c>
      <c r="AJ24" s="319">
        <f>Data!BD23/AJ$4*100000*AJ$3</f>
        <v>4004.9661580359643</v>
      </c>
      <c r="AK24" s="319">
        <f>Data!BE23/AK$4*100000*AK$3</f>
        <v>0</v>
      </c>
      <c r="AL24" s="327" t="s">
        <v>353</v>
      </c>
      <c r="AM24" s="319">
        <f t="shared" si="3"/>
        <v>34153.759014343843</v>
      </c>
      <c r="AN24" s="319">
        <f>Data!AN23/AN$4*100000*AN$3</f>
        <v>0</v>
      </c>
      <c r="AO24" s="319">
        <f>Data!AO23/AO$4*100000*AO$3</f>
        <v>0</v>
      </c>
      <c r="AP24" s="319">
        <f>Data!AP23/AP$4*100000*AP$3</f>
        <v>0</v>
      </c>
      <c r="AQ24" s="319">
        <f>Data!AQ23/AQ$4*100000*AQ$3</f>
        <v>0</v>
      </c>
      <c r="AR24" s="319">
        <f>Data!AR23/AR$4*100000*AR$3</f>
        <v>0</v>
      </c>
      <c r="AS24" s="319">
        <f>Data!AS23/AS$4*100000*AS$3</f>
        <v>0</v>
      </c>
      <c r="AT24" s="319">
        <f>Data!AT23/AT$4*100000*AT$3</f>
        <v>0</v>
      </c>
      <c r="AU24" s="319">
        <f>Data!AU23/AU$4*100000*AU$3</f>
        <v>0</v>
      </c>
      <c r="AV24" s="319">
        <f>Data!AV23/AV$4*100000*AV$3</f>
        <v>0</v>
      </c>
      <c r="AW24" s="319">
        <f>Data!AW23/AW$4*100000*AW$3</f>
        <v>5969.9710456404291</v>
      </c>
      <c r="AX24" s="319">
        <f>Data!AX23/AX$4*100000*AX$3</f>
        <v>0</v>
      </c>
      <c r="AY24" s="319">
        <f>Data!AY23/AY$4*100000*AY$3</f>
        <v>8630.1754083151754</v>
      </c>
      <c r="AZ24" s="319">
        <f>Data!AZ23/AZ$4*100000*AZ$3</f>
        <v>5516.7087315707449</v>
      </c>
      <c r="BA24" s="319">
        <f>Data!BA23/BA$4*100000*BA$3</f>
        <v>5436.6539207335854</v>
      </c>
      <c r="BB24" s="319">
        <f>Data!BB23/BB$4*100000*BB$3</f>
        <v>4062.3984400389991</v>
      </c>
      <c r="BC24" s="319">
        <f>Data!BC23/BC$4*100000*BC$3</f>
        <v>2535.3683890269258</v>
      </c>
      <c r="BD24" s="319">
        <f>Data!BD23/BD$4*100000*BD$3</f>
        <v>2002.4830790179822</v>
      </c>
      <c r="BE24" s="319">
        <f>Data!BE23/BE$4*100000*BE$3</f>
        <v>0</v>
      </c>
    </row>
    <row r="25" spans="1:57" ht="12" customHeight="1">
      <c r="A25" s="30"/>
      <c r="B25" s="141" t="str">
        <f>UPPER(LEFT(TRIM(Data!B28),1)) &amp; MID(TRIM(Data!B28),2,50)</f>
        <v>Priešinės liaukos</v>
      </c>
      <c r="C25" s="141" t="str">
        <f>Data!C28</f>
        <v>C61</v>
      </c>
      <c r="D25" s="142">
        <f>Data!E28</f>
        <v>520</v>
      </c>
      <c r="E25" s="143">
        <f t="shared" si="5"/>
        <v>38.486417995064855</v>
      </c>
      <c r="F25" s="144">
        <f t="shared" si="6"/>
        <v>29.671716466490718</v>
      </c>
      <c r="G25" s="144">
        <f t="shared" si="7"/>
        <v>17.450408771354091</v>
      </c>
      <c r="H25" s="58"/>
      <c r="I25" s="58"/>
      <c r="J25" s="58"/>
      <c r="K25" s="58"/>
      <c r="L25" s="58"/>
      <c r="M25" s="58"/>
      <c r="N25" s="58"/>
      <c r="O25" s="58"/>
      <c r="P25" s="58"/>
      <c r="Q25" s="311"/>
      <c r="R25" s="327" t="s">
        <v>353</v>
      </c>
      <c r="S25" s="319">
        <f t="shared" si="2"/>
        <v>2967171.6466490719</v>
      </c>
      <c r="T25" s="319">
        <f>Data!AN28/T$4*100000*T$3</f>
        <v>0</v>
      </c>
      <c r="U25" s="319">
        <f>Data!AO28/U$4*100000*U$3</f>
        <v>0</v>
      </c>
      <c r="V25" s="319">
        <f>Data!AP28/V$4*100000*V$3</f>
        <v>0</v>
      </c>
      <c r="W25" s="319">
        <f>Data!AQ28/W$4*100000*W$3</f>
        <v>0</v>
      </c>
      <c r="X25" s="319">
        <f>Data!AR28/X$4*100000*X$3</f>
        <v>0</v>
      </c>
      <c r="Y25" s="319">
        <f>Data!AS28/Y$4*100000*Y$3</f>
        <v>0</v>
      </c>
      <c r="Z25" s="319">
        <f>Data!AT28/Z$4*100000*Z$3</f>
        <v>0</v>
      </c>
      <c r="AA25" s="319">
        <f>Data!AU28/AA$4*100000*AA$3</f>
        <v>0</v>
      </c>
      <c r="AB25" s="319">
        <f>Data!AV28/AB$4*100000*AB$3</f>
        <v>0</v>
      </c>
      <c r="AC25" s="319">
        <f>Data!AW28/AC$4*100000*AC$3</f>
        <v>6964.9662199138338</v>
      </c>
      <c r="AD25" s="319">
        <f>Data!AX28/AD$4*100000*AD$3</f>
        <v>32244.09702709426</v>
      </c>
      <c r="AE25" s="319">
        <f>Data!AY28/AE$4*100000*AE$3</f>
        <v>103562.10489978211</v>
      </c>
      <c r="AF25" s="319">
        <f>Data!AZ28/AF$4*100000*AF$3</f>
        <v>206876.57743390294</v>
      </c>
      <c r="AG25" s="319">
        <f>Data!BA28/AG$4*100000*AG$3</f>
        <v>333448.10713832657</v>
      </c>
      <c r="AH25" s="319">
        <f>Data!BB28/AH$4*100000*AH$3</f>
        <v>536236.59408514784</v>
      </c>
      <c r="AI25" s="319">
        <f>Data!BC28/AI$4*100000*AI$3</f>
        <v>598346.9398103545</v>
      </c>
      <c r="AJ25" s="319">
        <f>Data!BD28/AJ$4*100000*AJ$3</f>
        <v>480595.93896431575</v>
      </c>
      <c r="AK25" s="319">
        <f>Data!BE28/AK$4*100000*AK$3</f>
        <v>668896.32107023406</v>
      </c>
      <c r="AL25" s="327" t="s">
        <v>353</v>
      </c>
      <c r="AM25" s="319">
        <f t="shared" si="3"/>
        <v>1745040.877135409</v>
      </c>
      <c r="AN25" s="319">
        <f>Data!AN28/AN$4*100000*AN$3</f>
        <v>0</v>
      </c>
      <c r="AO25" s="319">
        <f>Data!AO28/AO$4*100000*AO$3</f>
        <v>0</v>
      </c>
      <c r="AP25" s="319">
        <f>Data!AP28/AP$4*100000*AP$3</f>
        <v>0</v>
      </c>
      <c r="AQ25" s="319">
        <f>Data!AQ28/AQ$4*100000*AQ$3</f>
        <v>0</v>
      </c>
      <c r="AR25" s="319">
        <f>Data!AR28/AR$4*100000*AR$3</f>
        <v>0</v>
      </c>
      <c r="AS25" s="319">
        <f>Data!AS28/AS$4*100000*AS$3</f>
        <v>0</v>
      </c>
      <c r="AT25" s="319">
        <f>Data!AT28/AT$4*100000*AT$3</f>
        <v>0</v>
      </c>
      <c r="AU25" s="319">
        <f>Data!AU28/AU$4*100000*AU$3</f>
        <v>0</v>
      </c>
      <c r="AV25" s="319">
        <f>Data!AV28/AV$4*100000*AV$3</f>
        <v>0</v>
      </c>
      <c r="AW25" s="319">
        <f>Data!AW28/AW$4*100000*AW$3</f>
        <v>5969.9710456404291</v>
      </c>
      <c r="AX25" s="319">
        <f>Data!AX28/AX$4*100000*AX$3</f>
        <v>23031.497876495898</v>
      </c>
      <c r="AY25" s="319">
        <f>Data!AY28/AY$4*100000*AY$3</f>
        <v>69041.403266521404</v>
      </c>
      <c r="AZ25" s="319">
        <f>Data!AZ28/AZ$4*100000*AZ$3</f>
        <v>165501.26194712234</v>
      </c>
      <c r="BA25" s="319">
        <f>Data!BA28/BA$4*100000*BA$3</f>
        <v>250086.08035374494</v>
      </c>
      <c r="BB25" s="319">
        <f>Data!BB28/BB$4*100000*BB$3</f>
        <v>357491.06272343191</v>
      </c>
      <c r="BC25" s="319">
        <f>Data!BC28/BC$4*100000*BC$3</f>
        <v>299173.46990517725</v>
      </c>
      <c r="BD25" s="319">
        <f>Data!BD28/BD$4*100000*BD$3</f>
        <v>240297.96948215787</v>
      </c>
      <c r="BE25" s="319">
        <f>Data!BE28/BE$4*100000*BE$3</f>
        <v>334448.16053511703</v>
      </c>
    </row>
    <row r="26" spans="1:57" ht="12" customHeight="1">
      <c r="A26" s="30"/>
      <c r="B26" s="146" t="str">
        <f>UPPER(LEFT(TRIM(Data!B29),1)) &amp; MID(TRIM(Data!B29),2,50)</f>
        <v>Sėklidžių</v>
      </c>
      <c r="C26" s="125" t="str">
        <f>Data!C29</f>
        <v>C62</v>
      </c>
      <c r="D26" s="138">
        <f>Data!E29</f>
        <v>2</v>
      </c>
      <c r="E26" s="127">
        <f t="shared" si="5"/>
        <v>0.14802468459640331</v>
      </c>
      <c r="F26" s="128">
        <f t="shared" si="6"/>
        <v>0.14937880333598366</v>
      </c>
      <c r="G26" s="129">
        <f t="shared" si="7"/>
        <v>0.128038974287986</v>
      </c>
      <c r="H26" s="58"/>
      <c r="I26" s="58"/>
      <c r="J26" s="58"/>
      <c r="K26" s="58"/>
      <c r="L26" s="58"/>
      <c r="M26" s="58"/>
      <c r="N26" s="58"/>
      <c r="O26" s="58"/>
      <c r="P26" s="58"/>
      <c r="Q26" s="311"/>
      <c r="R26" s="327" t="s">
        <v>353</v>
      </c>
      <c r="S26" s="319">
        <f t="shared" si="2"/>
        <v>14937.880333598365</v>
      </c>
      <c r="T26" s="319">
        <f>Data!AN29/T$4*100000*T$3</f>
        <v>0</v>
      </c>
      <c r="U26" s="319">
        <f>Data!AO29/U$4*100000*U$3</f>
        <v>0</v>
      </c>
      <c r="V26" s="319">
        <f>Data!AP29/V$4*100000*V$3</f>
        <v>0</v>
      </c>
      <c r="W26" s="319">
        <f>Data!AQ29/W$4*100000*W$3</f>
        <v>0</v>
      </c>
      <c r="X26" s="319">
        <f>Data!AR29/X$4*100000*X$3</f>
        <v>0</v>
      </c>
      <c r="Y26" s="319">
        <f>Data!AS29/Y$4*100000*Y$3</f>
        <v>0</v>
      </c>
      <c r="Z26" s="319">
        <f>Data!AT29/Z$4*100000*Z$3</f>
        <v>7831.6420715812073</v>
      </c>
      <c r="AA26" s="319">
        <f>Data!AU29/AA$4*100000*AA$3</f>
        <v>0</v>
      </c>
      <c r="AB26" s="319">
        <f>Data!AV29/AB$4*100000*AB$3</f>
        <v>7106.2382620171566</v>
      </c>
      <c r="AC26" s="319">
        <f>Data!AW29/AC$4*100000*AC$3</f>
        <v>0</v>
      </c>
      <c r="AD26" s="319">
        <f>Data!AX29/AD$4*100000*AD$3</f>
        <v>0</v>
      </c>
      <c r="AE26" s="319">
        <f>Data!AY29/AE$4*100000*AE$3</f>
        <v>0</v>
      </c>
      <c r="AF26" s="319">
        <f>Data!AZ29/AF$4*100000*AF$3</f>
        <v>0</v>
      </c>
      <c r="AG26" s="319">
        <f>Data!BA29/AG$4*100000*AG$3</f>
        <v>0</v>
      </c>
      <c r="AH26" s="319">
        <f>Data!BB29/AH$4*100000*AH$3</f>
        <v>0</v>
      </c>
      <c r="AI26" s="319">
        <f>Data!BC29/AI$4*100000*AI$3</f>
        <v>0</v>
      </c>
      <c r="AJ26" s="319">
        <f>Data!BD29/AJ$4*100000*AJ$3</f>
        <v>0</v>
      </c>
      <c r="AK26" s="319">
        <f>Data!BE29/AK$4*100000*AK$3</f>
        <v>0</v>
      </c>
      <c r="AL26" s="327" t="s">
        <v>353</v>
      </c>
      <c r="AM26" s="319">
        <f t="shared" si="3"/>
        <v>12803.897428798598</v>
      </c>
      <c r="AN26" s="319">
        <f>Data!AN29/AN$4*100000*AN$3</f>
        <v>0</v>
      </c>
      <c r="AO26" s="319">
        <f>Data!AO29/AO$4*100000*AO$3</f>
        <v>0</v>
      </c>
      <c r="AP26" s="319">
        <f>Data!AP29/AP$4*100000*AP$3</f>
        <v>0</v>
      </c>
      <c r="AQ26" s="319">
        <f>Data!AQ29/AQ$4*100000*AQ$3</f>
        <v>0</v>
      </c>
      <c r="AR26" s="319">
        <f>Data!AR29/AR$4*100000*AR$3</f>
        <v>0</v>
      </c>
      <c r="AS26" s="319">
        <f>Data!AS29/AS$4*100000*AS$3</f>
        <v>0</v>
      </c>
      <c r="AT26" s="319">
        <f>Data!AT29/AT$4*100000*AT$3</f>
        <v>6712.8360613553205</v>
      </c>
      <c r="AU26" s="319">
        <f>Data!AU29/AU$4*100000*AU$3</f>
        <v>0</v>
      </c>
      <c r="AV26" s="319">
        <f>Data!AV29/AV$4*100000*AV$3</f>
        <v>6091.061367443277</v>
      </c>
      <c r="AW26" s="319">
        <f>Data!AW29/AW$4*100000*AW$3</f>
        <v>0</v>
      </c>
      <c r="AX26" s="319">
        <f>Data!AX29/AX$4*100000*AX$3</f>
        <v>0</v>
      </c>
      <c r="AY26" s="319">
        <f>Data!AY29/AY$4*100000*AY$3</f>
        <v>0</v>
      </c>
      <c r="AZ26" s="319">
        <f>Data!AZ29/AZ$4*100000*AZ$3</f>
        <v>0</v>
      </c>
      <c r="BA26" s="319">
        <f>Data!BA29/BA$4*100000*BA$3</f>
        <v>0</v>
      </c>
      <c r="BB26" s="319">
        <f>Data!BB29/BB$4*100000*BB$3</f>
        <v>0</v>
      </c>
      <c r="BC26" s="319">
        <f>Data!BC29/BC$4*100000*BC$3</f>
        <v>0</v>
      </c>
      <c r="BD26" s="319">
        <f>Data!BD29/BD$4*100000*BD$3</f>
        <v>0</v>
      </c>
      <c r="BE26" s="319">
        <f>Data!BE29/BE$4*100000*BE$3</f>
        <v>0</v>
      </c>
    </row>
    <row r="27" spans="1:57" ht="12" customHeight="1">
      <c r="A27" s="30"/>
      <c r="B27" s="141" t="str">
        <f>UPPER(LEFT(TRIM(Data!B30),1)) &amp; MID(TRIM(Data!B30),2,50)</f>
        <v>Kitų lyties organų</v>
      </c>
      <c r="C27" s="141" t="s">
        <v>417</v>
      </c>
      <c r="D27" s="142">
        <f>Data!E30</f>
        <v>10</v>
      </c>
      <c r="E27" s="143">
        <f t="shared" si="5"/>
        <v>0.7401234229820165</v>
      </c>
      <c r="F27" s="144">
        <f t="shared" si="6"/>
        <v>0.6227060194755405</v>
      </c>
      <c r="G27" s="144">
        <f t="shared" si="7"/>
        <v>0.42265069223218904</v>
      </c>
      <c r="H27" s="58"/>
      <c r="I27" s="58"/>
      <c r="J27" s="58"/>
      <c r="K27" s="58"/>
      <c r="L27" s="58"/>
      <c r="M27" s="58"/>
      <c r="N27" s="58"/>
      <c r="O27" s="58"/>
      <c r="P27" s="58"/>
      <c r="Q27" s="311"/>
      <c r="R27" s="327" t="s">
        <v>353</v>
      </c>
      <c r="S27" s="319">
        <f t="shared" si="2"/>
        <v>62270.601947554045</v>
      </c>
      <c r="T27" s="319">
        <f>Data!AN30/T$4*100000*T$3</f>
        <v>0</v>
      </c>
      <c r="U27" s="319">
        <f>Data!AO30/U$4*100000*U$3</f>
        <v>0</v>
      </c>
      <c r="V27" s="319">
        <f>Data!AP30/V$4*100000*V$3</f>
        <v>0</v>
      </c>
      <c r="W27" s="319">
        <f>Data!AQ30/W$4*100000*W$3</f>
        <v>0</v>
      </c>
      <c r="X27" s="319">
        <f>Data!AR30/X$4*100000*X$3</f>
        <v>0</v>
      </c>
      <c r="Y27" s="319">
        <f>Data!AS30/Y$4*100000*Y$3</f>
        <v>0</v>
      </c>
      <c r="Z27" s="319">
        <f>Data!AT30/Z$4*100000*Z$3</f>
        <v>0</v>
      </c>
      <c r="AA27" s="319">
        <f>Data!AU30/AA$4*100000*AA$3</f>
        <v>0</v>
      </c>
      <c r="AB27" s="319">
        <f>Data!AV30/AB$4*100000*AB$3</f>
        <v>7106.2382620171566</v>
      </c>
      <c r="AC27" s="319">
        <f>Data!AW30/AC$4*100000*AC$3</f>
        <v>0</v>
      </c>
      <c r="AD27" s="319">
        <f>Data!AX30/AD$4*100000*AD$3</f>
        <v>6448.8194054188498</v>
      </c>
      <c r="AE27" s="319">
        <f>Data!AY30/AE$4*100000*AE$3</f>
        <v>6472.6315562363816</v>
      </c>
      <c r="AF27" s="319">
        <f>Data!AZ30/AF$4*100000*AF$3</f>
        <v>6895.8859144634307</v>
      </c>
      <c r="AG27" s="319">
        <f>Data!BA30/AG$4*100000*AG$3</f>
        <v>0</v>
      </c>
      <c r="AH27" s="319">
        <f>Data!BB30/AH$4*100000*AH$3</f>
        <v>24374.390640233993</v>
      </c>
      <c r="AI27" s="319">
        <f>Data!BC30/AI$4*100000*AI$3</f>
        <v>0</v>
      </c>
      <c r="AJ27" s="319">
        <f>Data!BD30/AJ$4*100000*AJ$3</f>
        <v>4004.9661580359643</v>
      </c>
      <c r="AK27" s="319">
        <f>Data!BE30/AK$4*100000*AK$3</f>
        <v>6967.6700111482714</v>
      </c>
      <c r="AL27" s="327" t="s">
        <v>353</v>
      </c>
      <c r="AM27" s="319">
        <f t="shared" si="3"/>
        <v>42265.069223218903</v>
      </c>
      <c r="AN27" s="319">
        <f>Data!AN30/AN$4*100000*AN$3</f>
        <v>0</v>
      </c>
      <c r="AO27" s="319">
        <f>Data!AO30/AO$4*100000*AO$3</f>
        <v>0</v>
      </c>
      <c r="AP27" s="319">
        <f>Data!AP30/AP$4*100000*AP$3</f>
        <v>0</v>
      </c>
      <c r="AQ27" s="319">
        <f>Data!AQ30/AQ$4*100000*AQ$3</f>
        <v>0</v>
      </c>
      <c r="AR27" s="319">
        <f>Data!AR30/AR$4*100000*AR$3</f>
        <v>0</v>
      </c>
      <c r="AS27" s="319">
        <f>Data!AS30/AS$4*100000*AS$3</f>
        <v>0</v>
      </c>
      <c r="AT27" s="319">
        <f>Data!AT30/AT$4*100000*AT$3</f>
        <v>0</v>
      </c>
      <c r="AU27" s="319">
        <f>Data!AU30/AU$4*100000*AU$3</f>
        <v>0</v>
      </c>
      <c r="AV27" s="319">
        <f>Data!AV30/AV$4*100000*AV$3</f>
        <v>6091.061367443277</v>
      </c>
      <c r="AW27" s="319">
        <f>Data!AW30/AW$4*100000*AW$3</f>
        <v>0</v>
      </c>
      <c r="AX27" s="319">
        <f>Data!AX30/AX$4*100000*AX$3</f>
        <v>4606.2995752991783</v>
      </c>
      <c r="AY27" s="319">
        <f>Data!AY30/AY$4*100000*AY$3</f>
        <v>4315.0877041575877</v>
      </c>
      <c r="AZ27" s="319">
        <f>Data!AZ30/AZ$4*100000*AZ$3</f>
        <v>5516.7087315707449</v>
      </c>
      <c r="BA27" s="319">
        <f>Data!BA30/BA$4*100000*BA$3</f>
        <v>0</v>
      </c>
      <c r="BB27" s="319">
        <f>Data!BB30/BB$4*100000*BB$3</f>
        <v>16249.593760155996</v>
      </c>
      <c r="BC27" s="319">
        <f>Data!BC30/BC$4*100000*BC$3</f>
        <v>0</v>
      </c>
      <c r="BD27" s="319">
        <f>Data!BD30/BD$4*100000*BD$3</f>
        <v>2002.4830790179822</v>
      </c>
      <c r="BE27" s="319">
        <f>Data!BE30/BE$4*100000*BE$3</f>
        <v>3483.8350055741357</v>
      </c>
    </row>
    <row r="28" spans="1:57" ht="12" customHeight="1">
      <c r="A28" s="30"/>
      <c r="B28" s="146" t="str">
        <f>UPPER(LEFT(TRIM(Data!B31),1)) &amp; MID(TRIM(Data!B31),2,50)</f>
        <v>Inkstų</v>
      </c>
      <c r="C28" s="125" t="str">
        <f>Data!C31</f>
        <v>C64</v>
      </c>
      <c r="D28" s="138">
        <f>Data!E31</f>
        <v>177</v>
      </c>
      <c r="E28" s="127">
        <f t="shared" si="5"/>
        <v>13.100184586781692</v>
      </c>
      <c r="F28" s="128">
        <f t="shared" si="6"/>
        <v>10.854997525120577</v>
      </c>
      <c r="G28" s="129">
        <f t="shared" si="7"/>
        <v>7.3234646954299043</v>
      </c>
      <c r="H28" s="58"/>
      <c r="I28" s="58"/>
      <c r="J28" s="58"/>
      <c r="K28" s="58"/>
      <c r="L28" s="58"/>
      <c r="M28" s="58"/>
      <c r="N28" s="58"/>
      <c r="O28" s="58"/>
      <c r="P28" s="58"/>
      <c r="Q28" s="311"/>
      <c r="R28" s="327" t="s">
        <v>353</v>
      </c>
      <c r="S28" s="319">
        <f t="shared" si="2"/>
        <v>1085499.7525120578</v>
      </c>
      <c r="T28" s="319">
        <f>Data!AN31/T$4*100000*T$3</f>
        <v>0</v>
      </c>
      <c r="U28" s="319">
        <f>Data!AO31/U$4*100000*U$3</f>
        <v>10009.723731625007</v>
      </c>
      <c r="V28" s="319">
        <f>Data!AP31/V$4*100000*V$3</f>
        <v>0</v>
      </c>
      <c r="W28" s="319">
        <f>Data!AQ31/W$4*100000*W$3</f>
        <v>0</v>
      </c>
      <c r="X28" s="319">
        <f>Data!AR31/X$4*100000*X$3</f>
        <v>0</v>
      </c>
      <c r="Y28" s="319">
        <f>Data!AS31/Y$4*100000*Y$3</f>
        <v>0</v>
      </c>
      <c r="Z28" s="319">
        <f>Data!AT31/Z$4*100000*Z$3</f>
        <v>0</v>
      </c>
      <c r="AA28" s="319">
        <f>Data!AU31/AA$4*100000*AA$3</f>
        <v>0</v>
      </c>
      <c r="AB28" s="319">
        <f>Data!AV31/AB$4*100000*AB$3</f>
        <v>14212.476524034313</v>
      </c>
      <c r="AC28" s="319">
        <f>Data!AW31/AC$4*100000*AC$3</f>
        <v>62684.695979224503</v>
      </c>
      <c r="AD28" s="319">
        <f>Data!AX31/AD$4*100000*AD$3</f>
        <v>64488.19405418852</v>
      </c>
      <c r="AE28" s="319">
        <f>Data!AY31/AE$4*100000*AE$3</f>
        <v>122979.99956849124</v>
      </c>
      <c r="AF28" s="319">
        <f>Data!AZ31/AF$4*100000*AF$3</f>
        <v>137917.71828926861</v>
      </c>
      <c r="AG28" s="319">
        <f>Data!BA31/AG$4*100000*AG$3</f>
        <v>202968.41304072054</v>
      </c>
      <c r="AH28" s="319">
        <f>Data!BB31/AH$4*100000*AH$3</f>
        <v>158433.53916152098</v>
      </c>
      <c r="AI28" s="319">
        <f>Data!BC31/AI$4*100000*AI$3</f>
        <v>147051.36656356169</v>
      </c>
      <c r="AJ28" s="319">
        <f>Data!BD31/AJ$4*100000*AJ$3</f>
        <v>88109.255476791222</v>
      </c>
      <c r="AK28" s="319">
        <f>Data!BE31/AK$4*100000*AK$3</f>
        <v>76644.370122630993</v>
      </c>
      <c r="AL28" s="327" t="s">
        <v>353</v>
      </c>
      <c r="AM28" s="319">
        <f t="shared" si="3"/>
        <v>732346.46954299044</v>
      </c>
      <c r="AN28" s="319">
        <f>Data!AN31/AN$4*100000*AN$3</f>
        <v>0</v>
      </c>
      <c r="AO28" s="319">
        <f>Data!AO31/AO$4*100000*AO$3</f>
        <v>14299.605330892866</v>
      </c>
      <c r="AP28" s="319">
        <f>Data!AP31/AP$4*100000*AP$3</f>
        <v>0</v>
      </c>
      <c r="AQ28" s="319">
        <f>Data!AQ31/AQ$4*100000*AQ$3</f>
        <v>0</v>
      </c>
      <c r="AR28" s="319">
        <f>Data!AR31/AR$4*100000*AR$3</f>
        <v>0</v>
      </c>
      <c r="AS28" s="319">
        <f>Data!AS31/AS$4*100000*AS$3</f>
        <v>0</v>
      </c>
      <c r="AT28" s="319">
        <f>Data!AT31/AT$4*100000*AT$3</f>
        <v>0</v>
      </c>
      <c r="AU28" s="319">
        <f>Data!AU31/AU$4*100000*AU$3</f>
        <v>0</v>
      </c>
      <c r="AV28" s="319">
        <f>Data!AV31/AV$4*100000*AV$3</f>
        <v>12182.122734886554</v>
      </c>
      <c r="AW28" s="319">
        <f>Data!AW31/AW$4*100000*AW$3</f>
        <v>53729.739410763861</v>
      </c>
      <c r="AX28" s="319">
        <f>Data!AX31/AX$4*100000*AX$3</f>
        <v>46062.995752991796</v>
      </c>
      <c r="AY28" s="319">
        <f>Data!AY31/AY$4*100000*AY$3</f>
        <v>81986.666378994152</v>
      </c>
      <c r="AZ28" s="319">
        <f>Data!AZ31/AZ$4*100000*AZ$3</f>
        <v>110334.17463141489</v>
      </c>
      <c r="BA28" s="319">
        <f>Data!BA31/BA$4*100000*BA$3</f>
        <v>152226.30978054041</v>
      </c>
      <c r="BB28" s="319">
        <f>Data!BB31/BB$4*100000*BB$3</f>
        <v>105622.35944101398</v>
      </c>
      <c r="BC28" s="319">
        <f>Data!BC31/BC$4*100000*BC$3</f>
        <v>73525.683281780846</v>
      </c>
      <c r="BD28" s="319">
        <f>Data!BD31/BD$4*100000*BD$3</f>
        <v>44054.627738395611</v>
      </c>
      <c r="BE28" s="319">
        <f>Data!BE31/BE$4*100000*BE$3</f>
        <v>38322.185061315497</v>
      </c>
    </row>
    <row r="29" spans="1:57" ht="12" customHeight="1">
      <c r="A29" s="30"/>
      <c r="B29" s="141" t="str">
        <f>UPPER(LEFT(TRIM(Data!B32),1)) &amp; MID(TRIM(Data!B32),2,50)</f>
        <v>Šlapimo pūslės</v>
      </c>
      <c r="C29" s="141" t="str">
        <f>Data!C32</f>
        <v>C67</v>
      </c>
      <c r="D29" s="142">
        <f>Data!E32</f>
        <v>172</v>
      </c>
      <c r="E29" s="143">
        <f t="shared" si="5"/>
        <v>12.730122875290682</v>
      </c>
      <c r="F29" s="144">
        <f t="shared" si="6"/>
        <v>9.8761204836508103</v>
      </c>
      <c r="G29" s="144">
        <f t="shared" si="7"/>
        <v>6.0005454787589327</v>
      </c>
      <c r="H29" s="58"/>
      <c r="I29" s="58"/>
      <c r="J29" s="58"/>
      <c r="K29" s="58"/>
      <c r="L29" s="58"/>
      <c r="M29" s="58"/>
      <c r="N29" s="58"/>
      <c r="O29" s="58"/>
      <c r="P29" s="58"/>
      <c r="Q29" s="311"/>
      <c r="R29" s="327" t="s">
        <v>353</v>
      </c>
      <c r="S29" s="319">
        <f t="shared" si="2"/>
        <v>987612.04836508096</v>
      </c>
      <c r="T29" s="319">
        <f>Data!AN32/T$4*100000*T$3</f>
        <v>0</v>
      </c>
      <c r="U29" s="319">
        <f>Data!AO32/U$4*100000*U$3</f>
        <v>0</v>
      </c>
      <c r="V29" s="319">
        <f>Data!AP32/V$4*100000*V$3</f>
        <v>0</v>
      </c>
      <c r="W29" s="319">
        <f>Data!AQ32/W$4*100000*W$3</f>
        <v>0</v>
      </c>
      <c r="X29" s="319">
        <f>Data!AR32/X$4*100000*X$3</f>
        <v>0</v>
      </c>
      <c r="Y29" s="319">
        <f>Data!AS32/Y$4*100000*Y$3</f>
        <v>0</v>
      </c>
      <c r="Z29" s="319">
        <f>Data!AT32/Z$4*100000*Z$3</f>
        <v>0</v>
      </c>
      <c r="AA29" s="319">
        <f>Data!AU32/AA$4*100000*AA$3</f>
        <v>0</v>
      </c>
      <c r="AB29" s="319">
        <f>Data!AV32/AB$4*100000*AB$3</f>
        <v>0</v>
      </c>
      <c r="AC29" s="319">
        <f>Data!AW32/AC$4*100000*AC$3</f>
        <v>6964.9662199138338</v>
      </c>
      <c r="AD29" s="319">
        <f>Data!AX32/AD$4*100000*AD$3</f>
        <v>19346.458216256553</v>
      </c>
      <c r="AE29" s="319">
        <f>Data!AY32/AE$4*100000*AE$3</f>
        <v>32363.157781181901</v>
      </c>
      <c r="AF29" s="319">
        <f>Data!AZ32/AF$4*100000*AF$3</f>
        <v>96542.402802488039</v>
      </c>
      <c r="AG29" s="319">
        <f>Data!BA32/AG$4*100000*AG$3</f>
        <v>159475.18167485186</v>
      </c>
      <c r="AH29" s="319">
        <f>Data!BB32/AH$4*100000*AH$3</f>
        <v>152339.94150146248</v>
      </c>
      <c r="AI29" s="319">
        <f>Data!BC32/AI$4*100000*AI$3</f>
        <v>223112.41823436946</v>
      </c>
      <c r="AJ29" s="319">
        <f>Data!BD32/AJ$4*100000*AJ$3</f>
        <v>144178.78168929473</v>
      </c>
      <c r="AK29" s="319">
        <f>Data!BE32/AK$4*100000*AK$3</f>
        <v>153288.74024526199</v>
      </c>
      <c r="AL29" s="327" t="s">
        <v>353</v>
      </c>
      <c r="AM29" s="319">
        <f t="shared" si="3"/>
        <v>600054.5478758933</v>
      </c>
      <c r="AN29" s="319">
        <f>Data!AN32/AN$4*100000*AN$3</f>
        <v>0</v>
      </c>
      <c r="AO29" s="319">
        <f>Data!AO32/AO$4*100000*AO$3</f>
        <v>0</v>
      </c>
      <c r="AP29" s="319">
        <f>Data!AP32/AP$4*100000*AP$3</f>
        <v>0</v>
      </c>
      <c r="AQ29" s="319">
        <f>Data!AQ32/AQ$4*100000*AQ$3</f>
        <v>0</v>
      </c>
      <c r="AR29" s="319">
        <f>Data!AR32/AR$4*100000*AR$3</f>
        <v>0</v>
      </c>
      <c r="AS29" s="319">
        <f>Data!AS32/AS$4*100000*AS$3</f>
        <v>0</v>
      </c>
      <c r="AT29" s="319">
        <f>Data!AT32/AT$4*100000*AT$3</f>
        <v>0</v>
      </c>
      <c r="AU29" s="319">
        <f>Data!AU32/AU$4*100000*AU$3</f>
        <v>0</v>
      </c>
      <c r="AV29" s="319">
        <f>Data!AV32/AV$4*100000*AV$3</f>
        <v>0</v>
      </c>
      <c r="AW29" s="319">
        <f>Data!AW32/AW$4*100000*AW$3</f>
        <v>5969.9710456404291</v>
      </c>
      <c r="AX29" s="319">
        <f>Data!AX32/AX$4*100000*AX$3</f>
        <v>13818.898725897538</v>
      </c>
      <c r="AY29" s="319">
        <f>Data!AY32/AY$4*100000*AY$3</f>
        <v>21575.438520787935</v>
      </c>
      <c r="AZ29" s="319">
        <f>Data!AZ32/AZ$4*100000*AZ$3</f>
        <v>77233.922241990425</v>
      </c>
      <c r="BA29" s="319">
        <f>Data!BA32/BA$4*100000*BA$3</f>
        <v>119606.3862561389</v>
      </c>
      <c r="BB29" s="319">
        <f>Data!BB32/BB$4*100000*BB$3</f>
        <v>101559.96100097497</v>
      </c>
      <c r="BC29" s="319">
        <f>Data!BC32/BC$4*100000*BC$3</f>
        <v>111556.20911718473</v>
      </c>
      <c r="BD29" s="319">
        <f>Data!BD32/BD$4*100000*BD$3</f>
        <v>72089.390844647365</v>
      </c>
      <c r="BE29" s="319">
        <f>Data!BE32/BE$4*100000*BE$3</f>
        <v>76644.370122630993</v>
      </c>
    </row>
    <row r="30" spans="1:57" ht="12" customHeight="1">
      <c r="A30" s="30"/>
      <c r="B30" s="146" t="str">
        <f>UPPER(LEFT(TRIM(Data!B33),1)) &amp; MID(TRIM(Data!B33),2,50)</f>
        <v>Kitų šlapimą išskiriančių organų</v>
      </c>
      <c r="C30" s="125" t="str">
        <f>Data!C33</f>
        <v>C65, C66, C68</v>
      </c>
      <c r="D30" s="138">
        <f>Data!E33</f>
        <v>8</v>
      </c>
      <c r="E30" s="127">
        <f t="shared" si="5"/>
        <v>0.59209873838561322</v>
      </c>
      <c r="F30" s="128">
        <f t="shared" si="6"/>
        <v>0.5052633973009022</v>
      </c>
      <c r="G30" s="129">
        <f t="shared" si="7"/>
        <v>0.34735750941729121</v>
      </c>
      <c r="H30" s="58"/>
      <c r="I30" s="58"/>
      <c r="J30" s="58"/>
      <c r="K30" s="58"/>
      <c r="L30" s="58"/>
      <c r="M30" s="58"/>
      <c r="N30" s="58"/>
      <c r="O30" s="58"/>
      <c r="P30" s="58"/>
      <c r="Q30" s="311"/>
      <c r="R30" s="327" t="s">
        <v>353</v>
      </c>
      <c r="S30" s="319">
        <f t="shared" si="2"/>
        <v>50526.339730090222</v>
      </c>
      <c r="T30" s="319">
        <f>Data!AN33/T$4*100000*T$3</f>
        <v>0</v>
      </c>
      <c r="U30" s="319">
        <f>Data!AO33/U$4*100000*U$3</f>
        <v>0</v>
      </c>
      <c r="V30" s="319">
        <f>Data!AP33/V$4*100000*V$3</f>
        <v>0</v>
      </c>
      <c r="W30" s="319">
        <f>Data!AQ33/W$4*100000*W$3</f>
        <v>0</v>
      </c>
      <c r="X30" s="319">
        <f>Data!AR33/X$4*100000*X$3</f>
        <v>0</v>
      </c>
      <c r="Y30" s="319">
        <f>Data!AS33/Y$4*100000*Y$3</f>
        <v>0</v>
      </c>
      <c r="Z30" s="319">
        <f>Data!AT33/Z$4*100000*Z$3</f>
        <v>0</v>
      </c>
      <c r="AA30" s="319">
        <f>Data!AU33/AA$4*100000*AA$3</f>
        <v>0</v>
      </c>
      <c r="AB30" s="319">
        <f>Data!AV33/AB$4*100000*AB$3</f>
        <v>0</v>
      </c>
      <c r="AC30" s="319">
        <f>Data!AW33/AC$4*100000*AC$3</f>
        <v>0</v>
      </c>
      <c r="AD30" s="319">
        <f>Data!AX33/AD$4*100000*AD$3</f>
        <v>12897.6388108377</v>
      </c>
      <c r="AE30" s="319">
        <f>Data!AY33/AE$4*100000*AE$3</f>
        <v>0</v>
      </c>
      <c r="AF30" s="319">
        <f>Data!AZ33/AF$4*100000*AF$3</f>
        <v>6895.8859144634307</v>
      </c>
      <c r="AG30" s="319">
        <f>Data!BA33/AG$4*100000*AG$3</f>
        <v>14497.743788622894</v>
      </c>
      <c r="AH30" s="319">
        <f>Data!BB33/AH$4*100000*AH$3</f>
        <v>6093.5976600584981</v>
      </c>
      <c r="AI30" s="319">
        <f>Data!BC33/AI$4*100000*AI$3</f>
        <v>10141.473556107703</v>
      </c>
      <c r="AJ30" s="319">
        <f>Data!BD33/AJ$4*100000*AJ$3</f>
        <v>0</v>
      </c>
      <c r="AK30" s="319">
        <f>Data!BE33/AK$4*100000*AK$3</f>
        <v>0</v>
      </c>
      <c r="AL30" s="327" t="s">
        <v>353</v>
      </c>
      <c r="AM30" s="319">
        <f t="shared" si="3"/>
        <v>34735.750941729122</v>
      </c>
      <c r="AN30" s="319">
        <f>Data!AN33/AN$4*100000*AN$3</f>
        <v>0</v>
      </c>
      <c r="AO30" s="319">
        <f>Data!AO33/AO$4*100000*AO$3</f>
        <v>0</v>
      </c>
      <c r="AP30" s="319">
        <f>Data!AP33/AP$4*100000*AP$3</f>
        <v>0</v>
      </c>
      <c r="AQ30" s="319">
        <f>Data!AQ33/AQ$4*100000*AQ$3</f>
        <v>0</v>
      </c>
      <c r="AR30" s="319">
        <f>Data!AR33/AR$4*100000*AR$3</f>
        <v>0</v>
      </c>
      <c r="AS30" s="319">
        <f>Data!AS33/AS$4*100000*AS$3</f>
        <v>0</v>
      </c>
      <c r="AT30" s="319">
        <f>Data!AT33/AT$4*100000*AT$3</f>
        <v>0</v>
      </c>
      <c r="AU30" s="319">
        <f>Data!AU33/AU$4*100000*AU$3</f>
        <v>0</v>
      </c>
      <c r="AV30" s="319">
        <f>Data!AV33/AV$4*100000*AV$3</f>
        <v>0</v>
      </c>
      <c r="AW30" s="319">
        <f>Data!AW33/AW$4*100000*AW$3</f>
        <v>0</v>
      </c>
      <c r="AX30" s="319">
        <f>Data!AX33/AX$4*100000*AX$3</f>
        <v>9212.5991505983566</v>
      </c>
      <c r="AY30" s="319">
        <f>Data!AY33/AY$4*100000*AY$3</f>
        <v>0</v>
      </c>
      <c r="AZ30" s="319">
        <f>Data!AZ33/AZ$4*100000*AZ$3</f>
        <v>5516.7087315707449</v>
      </c>
      <c r="BA30" s="319">
        <f>Data!BA33/BA$4*100000*BA$3</f>
        <v>10873.307841467171</v>
      </c>
      <c r="BB30" s="319">
        <f>Data!BB33/BB$4*100000*BB$3</f>
        <v>4062.3984400389991</v>
      </c>
      <c r="BC30" s="319">
        <f>Data!BC33/BC$4*100000*BC$3</f>
        <v>5070.7367780538516</v>
      </c>
      <c r="BD30" s="319">
        <f>Data!BD33/BD$4*100000*BD$3</f>
        <v>0</v>
      </c>
      <c r="BE30" s="319">
        <f>Data!BE33/BE$4*100000*BE$3</f>
        <v>0</v>
      </c>
    </row>
    <row r="31" spans="1:57" ht="12" customHeight="1">
      <c r="A31" s="30"/>
      <c r="B31" s="141" t="str">
        <f>UPPER(LEFT(TRIM(Data!B34),1)) &amp; MID(TRIM(Data!B34),2,50)</f>
        <v>Akių</v>
      </c>
      <c r="C31" s="141" t="str">
        <f>Data!C34</f>
        <v>C69</v>
      </c>
      <c r="D31" s="142">
        <f>Data!E34</f>
        <v>4</v>
      </c>
      <c r="E31" s="143">
        <f t="shared" si="5"/>
        <v>0.29604936919280661</v>
      </c>
      <c r="F31" s="144">
        <f t="shared" si="6"/>
        <v>0.26331953128891872</v>
      </c>
      <c r="G31" s="144">
        <f t="shared" si="7"/>
        <v>0.19078159532382327</v>
      </c>
      <c r="H31" s="58"/>
      <c r="I31" s="58"/>
      <c r="J31" s="58"/>
      <c r="K31" s="58"/>
      <c r="L31" s="58"/>
      <c r="M31" s="58"/>
      <c r="N31" s="58"/>
      <c r="O31" s="58"/>
      <c r="P31" s="58"/>
      <c r="Q31" s="311"/>
      <c r="R31" s="327" t="s">
        <v>353</v>
      </c>
      <c r="S31" s="319">
        <f t="shared" si="2"/>
        <v>26331.953128891873</v>
      </c>
      <c r="T31" s="319">
        <f>Data!AN34/T$4*100000*T$3</f>
        <v>0</v>
      </c>
      <c r="U31" s="319">
        <f>Data!AO34/U$4*100000*U$3</f>
        <v>0</v>
      </c>
      <c r="V31" s="319">
        <f>Data!AP34/V$4*100000*V$3</f>
        <v>0</v>
      </c>
      <c r="W31" s="319">
        <f>Data!AQ34/W$4*100000*W$3</f>
        <v>0</v>
      </c>
      <c r="X31" s="319">
        <f>Data!AR34/X$4*100000*X$3</f>
        <v>0</v>
      </c>
      <c r="Y31" s="319">
        <f>Data!AS34/Y$4*100000*Y$3</f>
        <v>0</v>
      </c>
      <c r="Z31" s="319">
        <f>Data!AT34/Z$4*100000*Z$3</f>
        <v>0</v>
      </c>
      <c r="AA31" s="319">
        <f>Data!AU34/AA$4*100000*AA$3</f>
        <v>0</v>
      </c>
      <c r="AB31" s="319">
        <f>Data!AV34/AB$4*100000*AB$3</f>
        <v>0</v>
      </c>
      <c r="AC31" s="319">
        <f>Data!AW34/AC$4*100000*AC$3</f>
        <v>0</v>
      </c>
      <c r="AD31" s="319">
        <f>Data!AX34/AD$4*100000*AD$3</f>
        <v>0</v>
      </c>
      <c r="AE31" s="319">
        <f>Data!AY34/AE$4*100000*AE$3</f>
        <v>0</v>
      </c>
      <c r="AF31" s="319">
        <f>Data!AZ34/AF$4*100000*AF$3</f>
        <v>6895.8859144634307</v>
      </c>
      <c r="AG31" s="319">
        <f>Data!BA34/AG$4*100000*AG$3</f>
        <v>7248.8718943114472</v>
      </c>
      <c r="AH31" s="319">
        <f>Data!BB34/AH$4*100000*AH$3</f>
        <v>12187.195320116996</v>
      </c>
      <c r="AI31" s="319">
        <f>Data!BC34/AI$4*100000*AI$3</f>
        <v>0</v>
      </c>
      <c r="AJ31" s="319">
        <f>Data!BD34/AJ$4*100000*AJ$3</f>
        <v>0</v>
      </c>
      <c r="AK31" s="319">
        <f>Data!BE34/AK$4*100000*AK$3</f>
        <v>0</v>
      </c>
      <c r="AL31" s="327" t="s">
        <v>353</v>
      </c>
      <c r="AM31" s="319">
        <f t="shared" si="3"/>
        <v>19078.159532382328</v>
      </c>
      <c r="AN31" s="319">
        <f>Data!AN34/AN$4*100000*AN$3</f>
        <v>0</v>
      </c>
      <c r="AO31" s="319">
        <f>Data!AO34/AO$4*100000*AO$3</f>
        <v>0</v>
      </c>
      <c r="AP31" s="319">
        <f>Data!AP34/AP$4*100000*AP$3</f>
        <v>0</v>
      </c>
      <c r="AQ31" s="319">
        <f>Data!AQ34/AQ$4*100000*AQ$3</f>
        <v>0</v>
      </c>
      <c r="AR31" s="319">
        <f>Data!AR34/AR$4*100000*AR$3</f>
        <v>0</v>
      </c>
      <c r="AS31" s="319">
        <f>Data!AS34/AS$4*100000*AS$3</f>
        <v>0</v>
      </c>
      <c r="AT31" s="319">
        <f>Data!AT34/AT$4*100000*AT$3</f>
        <v>0</v>
      </c>
      <c r="AU31" s="319">
        <f>Data!AU34/AU$4*100000*AU$3</f>
        <v>0</v>
      </c>
      <c r="AV31" s="319">
        <f>Data!AV34/AV$4*100000*AV$3</f>
        <v>0</v>
      </c>
      <c r="AW31" s="319">
        <f>Data!AW34/AW$4*100000*AW$3</f>
        <v>0</v>
      </c>
      <c r="AX31" s="319">
        <f>Data!AX34/AX$4*100000*AX$3</f>
        <v>0</v>
      </c>
      <c r="AY31" s="319">
        <f>Data!AY34/AY$4*100000*AY$3</f>
        <v>0</v>
      </c>
      <c r="AZ31" s="319">
        <f>Data!AZ34/AZ$4*100000*AZ$3</f>
        <v>5516.7087315707449</v>
      </c>
      <c r="BA31" s="319">
        <f>Data!BA34/BA$4*100000*BA$3</f>
        <v>5436.6539207335854</v>
      </c>
      <c r="BB31" s="319">
        <f>Data!BB34/BB$4*100000*BB$3</f>
        <v>8124.7968800779981</v>
      </c>
      <c r="BC31" s="319">
        <f>Data!BC34/BC$4*100000*BC$3</f>
        <v>0</v>
      </c>
      <c r="BD31" s="319">
        <f>Data!BD34/BD$4*100000*BD$3</f>
        <v>0</v>
      </c>
      <c r="BE31" s="319">
        <f>Data!BE34/BE$4*100000*BE$3</f>
        <v>0</v>
      </c>
    </row>
    <row r="32" spans="1:57" ht="12" customHeight="1">
      <c r="A32" s="30"/>
      <c r="B32" s="146" t="str">
        <f>UPPER(LEFT(TRIM(Data!B35),1)) &amp; MID(TRIM(Data!B35),2,50)</f>
        <v>Smegenų</v>
      </c>
      <c r="C32" s="125" t="str">
        <f>Data!C35</f>
        <v>C70-C72</v>
      </c>
      <c r="D32" s="138">
        <f>Data!E35</f>
        <v>127</v>
      </c>
      <c r="E32" s="127">
        <f t="shared" si="5"/>
        <v>9.3995674718716096</v>
      </c>
      <c r="F32" s="128">
        <f t="shared" si="6"/>
        <v>8.163002729790783</v>
      </c>
      <c r="G32" s="129">
        <f t="shared" si="7"/>
        <v>6.0685391603599292</v>
      </c>
      <c r="H32" s="58"/>
      <c r="I32" s="58"/>
      <c r="J32" s="58"/>
      <c r="K32" s="58"/>
      <c r="L32" s="58"/>
      <c r="M32" s="58"/>
      <c r="N32" s="58"/>
      <c r="O32" s="58"/>
      <c r="P32" s="58"/>
      <c r="Q32" s="311"/>
      <c r="R32" s="327" t="s">
        <v>353</v>
      </c>
      <c r="S32" s="319">
        <f t="shared" si="2"/>
        <v>816300.27297907835</v>
      </c>
      <c r="T32" s="319">
        <f>Data!AN35/T$4*100000*T$3</f>
        <v>10356.121114836438</v>
      </c>
      <c r="U32" s="319">
        <f>Data!AO35/U$4*100000*U$3</f>
        <v>10009.723731625007</v>
      </c>
      <c r="V32" s="319">
        <f>Data!AP35/V$4*100000*V$3</f>
        <v>9721.9521679953341</v>
      </c>
      <c r="W32" s="319">
        <f>Data!AQ35/W$4*100000*W$3</f>
        <v>7840.0627205017636</v>
      </c>
      <c r="X32" s="319">
        <f>Data!AR35/X$4*100000*X$3</f>
        <v>6468.365074524806</v>
      </c>
      <c r="Y32" s="319">
        <f>Data!AS35/Y$4*100000*Y$3</f>
        <v>7005.6745964231022</v>
      </c>
      <c r="Z32" s="319">
        <f>Data!AT35/Z$4*100000*Z$3</f>
        <v>15663.284143162415</v>
      </c>
      <c r="AA32" s="319">
        <f>Data!AU35/AA$4*100000*AA$3</f>
        <v>47083.618263959732</v>
      </c>
      <c r="AB32" s="319">
        <f>Data!AV35/AB$4*100000*AB$3</f>
        <v>28424.953048068626</v>
      </c>
      <c r="AC32" s="319">
        <f>Data!AW35/AC$4*100000*AC$3</f>
        <v>27859.864879655335</v>
      </c>
      <c r="AD32" s="319">
        <f>Data!AX35/AD$4*100000*AD$3</f>
        <v>96732.291081282761</v>
      </c>
      <c r="AE32" s="319">
        <f>Data!AY35/AE$4*100000*AE$3</f>
        <v>51781.052449891053</v>
      </c>
      <c r="AF32" s="319">
        <f>Data!AZ35/AF$4*100000*AF$3</f>
        <v>96542.402802488039</v>
      </c>
      <c r="AG32" s="319">
        <f>Data!BA35/AG$4*100000*AG$3</f>
        <v>137728.56599191751</v>
      </c>
      <c r="AH32" s="319">
        <f>Data!BB35/AH$4*100000*AH$3</f>
        <v>127965.55086122846</v>
      </c>
      <c r="AI32" s="319">
        <f>Data!BC35/AI$4*100000*AI$3</f>
        <v>81131.788448861626</v>
      </c>
      <c r="AJ32" s="319">
        <f>Data!BD35/AJ$4*100000*AJ$3</f>
        <v>40049.661580359651</v>
      </c>
      <c r="AK32" s="319">
        <f>Data!BE35/AK$4*100000*AK$3</f>
        <v>13935.340022296543</v>
      </c>
      <c r="AL32" s="327" t="s">
        <v>353</v>
      </c>
      <c r="AM32" s="319">
        <f t="shared" si="3"/>
        <v>606853.91603599291</v>
      </c>
      <c r="AN32" s="319">
        <f>Data!AN35/AN$4*100000*AN$3</f>
        <v>15534.181672254659</v>
      </c>
      <c r="AO32" s="319">
        <f>Data!AO35/AO$4*100000*AO$3</f>
        <v>14299.605330892866</v>
      </c>
      <c r="AP32" s="319">
        <f>Data!AP35/AP$4*100000*AP$3</f>
        <v>12499.652787422572</v>
      </c>
      <c r="AQ32" s="319">
        <f>Data!AQ35/AQ$4*100000*AQ$3</f>
        <v>10080.080640645125</v>
      </c>
      <c r="AR32" s="319">
        <f>Data!AR35/AR$4*100000*AR$3</f>
        <v>7392.4172280283501</v>
      </c>
      <c r="AS32" s="319">
        <f>Data!AS35/AS$4*100000*AS$3</f>
        <v>8006.4852530549742</v>
      </c>
      <c r="AT32" s="319">
        <f>Data!AT35/AT$4*100000*AT$3</f>
        <v>13425.672122710641</v>
      </c>
      <c r="AU32" s="319">
        <f>Data!AU35/AU$4*100000*AU$3</f>
        <v>40357.387083394053</v>
      </c>
      <c r="AV32" s="319">
        <f>Data!AV35/AV$4*100000*AV$3</f>
        <v>24364.245469773108</v>
      </c>
      <c r="AW32" s="319">
        <f>Data!AW35/AW$4*100000*AW$3</f>
        <v>23879.884182561716</v>
      </c>
      <c r="AX32" s="319">
        <f>Data!AX35/AX$4*100000*AX$3</f>
        <v>69094.493629487682</v>
      </c>
      <c r="AY32" s="319">
        <f>Data!AY35/AY$4*100000*AY$3</f>
        <v>34520.701633260702</v>
      </c>
      <c r="AZ32" s="319">
        <f>Data!AZ35/AZ$4*100000*AZ$3</f>
        <v>77233.922241990425</v>
      </c>
      <c r="BA32" s="319">
        <f>Data!BA35/BA$4*100000*BA$3</f>
        <v>103296.42449393815</v>
      </c>
      <c r="BB32" s="319">
        <f>Data!BB35/BB$4*100000*BB$3</f>
        <v>85310.367240818974</v>
      </c>
      <c r="BC32" s="319">
        <f>Data!BC35/BC$4*100000*BC$3</f>
        <v>40565.894224430813</v>
      </c>
      <c r="BD32" s="319">
        <f>Data!BD35/BD$4*100000*BD$3</f>
        <v>20024.830790179825</v>
      </c>
      <c r="BE32" s="319">
        <f>Data!BE35/BE$4*100000*BE$3</f>
        <v>6967.6700111482714</v>
      </c>
    </row>
    <row r="33" spans="1:57" ht="12" customHeight="1">
      <c r="A33" s="30"/>
      <c r="B33" s="141" t="str">
        <f>UPPER(LEFT(TRIM(Data!B36),1)) &amp; MID(TRIM(Data!B36),2,50)</f>
        <v>Skydliaukės</v>
      </c>
      <c r="C33" s="141" t="str">
        <f>Data!C36</f>
        <v>C73</v>
      </c>
      <c r="D33" s="142">
        <f>Data!E36</f>
        <v>7</v>
      </c>
      <c r="E33" s="143">
        <f t="shared" si="5"/>
        <v>0.51808639608741158</v>
      </c>
      <c r="F33" s="144">
        <f t="shared" si="6"/>
        <v>0.43277467835778777</v>
      </c>
      <c r="G33" s="144">
        <f t="shared" si="7"/>
        <v>0.2929909702099554</v>
      </c>
      <c r="H33" s="58"/>
      <c r="I33" s="58"/>
      <c r="J33" s="58"/>
      <c r="K33" s="58"/>
      <c r="L33" s="58"/>
      <c r="M33" s="58"/>
      <c r="N33" s="58"/>
      <c r="O33" s="58"/>
      <c r="P33" s="58"/>
      <c r="Q33" s="311"/>
      <c r="R33" s="327" t="s">
        <v>353</v>
      </c>
      <c r="S33" s="319">
        <f t="shared" si="2"/>
        <v>43277.467835778778</v>
      </c>
      <c r="T33" s="319">
        <f>Data!AN36/T$4*100000*T$3</f>
        <v>0</v>
      </c>
      <c r="U33" s="319">
        <f>Data!AO36/U$4*100000*U$3</f>
        <v>0</v>
      </c>
      <c r="V33" s="319">
        <f>Data!AP36/V$4*100000*V$3</f>
        <v>0</v>
      </c>
      <c r="W33" s="319">
        <f>Data!AQ36/W$4*100000*W$3</f>
        <v>0</v>
      </c>
      <c r="X33" s="319">
        <f>Data!AR36/X$4*100000*X$3</f>
        <v>0</v>
      </c>
      <c r="Y33" s="319">
        <f>Data!AS36/Y$4*100000*Y$3</f>
        <v>0</v>
      </c>
      <c r="Z33" s="319">
        <f>Data!AT36/Z$4*100000*Z$3</f>
        <v>0</v>
      </c>
      <c r="AA33" s="319">
        <f>Data!AU36/AA$4*100000*AA$3</f>
        <v>0</v>
      </c>
      <c r="AB33" s="319">
        <f>Data!AV36/AB$4*100000*AB$3</f>
        <v>0</v>
      </c>
      <c r="AC33" s="319">
        <f>Data!AW36/AC$4*100000*AC$3</f>
        <v>0</v>
      </c>
      <c r="AD33" s="319">
        <f>Data!AX36/AD$4*100000*AD$3</f>
        <v>12897.6388108377</v>
      </c>
      <c r="AE33" s="319">
        <f>Data!AY36/AE$4*100000*AE$3</f>
        <v>0</v>
      </c>
      <c r="AF33" s="319">
        <f>Data!AZ36/AF$4*100000*AF$3</f>
        <v>6895.8859144634307</v>
      </c>
      <c r="AG33" s="319">
        <f>Data!BA36/AG$4*100000*AG$3</f>
        <v>7248.8718943114472</v>
      </c>
      <c r="AH33" s="319">
        <f>Data!BB36/AH$4*100000*AH$3</f>
        <v>6093.5976600584981</v>
      </c>
      <c r="AI33" s="319">
        <f>Data!BC36/AI$4*100000*AI$3</f>
        <v>10141.473556107703</v>
      </c>
      <c r="AJ33" s="319">
        <f>Data!BD36/AJ$4*100000*AJ$3</f>
        <v>0</v>
      </c>
      <c r="AK33" s="319">
        <f>Data!BE36/AK$4*100000*AK$3</f>
        <v>0</v>
      </c>
      <c r="AL33" s="327" t="s">
        <v>353</v>
      </c>
      <c r="AM33" s="319">
        <f t="shared" si="3"/>
        <v>29299.097020995538</v>
      </c>
      <c r="AN33" s="319">
        <f>Data!AN36/AN$4*100000*AN$3</f>
        <v>0</v>
      </c>
      <c r="AO33" s="319">
        <f>Data!AO36/AO$4*100000*AO$3</f>
        <v>0</v>
      </c>
      <c r="AP33" s="319">
        <f>Data!AP36/AP$4*100000*AP$3</f>
        <v>0</v>
      </c>
      <c r="AQ33" s="319">
        <f>Data!AQ36/AQ$4*100000*AQ$3</f>
        <v>0</v>
      </c>
      <c r="AR33" s="319">
        <f>Data!AR36/AR$4*100000*AR$3</f>
        <v>0</v>
      </c>
      <c r="AS33" s="319">
        <f>Data!AS36/AS$4*100000*AS$3</f>
        <v>0</v>
      </c>
      <c r="AT33" s="319">
        <f>Data!AT36/AT$4*100000*AT$3</f>
        <v>0</v>
      </c>
      <c r="AU33" s="319">
        <f>Data!AU36/AU$4*100000*AU$3</f>
        <v>0</v>
      </c>
      <c r="AV33" s="319">
        <f>Data!AV36/AV$4*100000*AV$3</f>
        <v>0</v>
      </c>
      <c r="AW33" s="319">
        <f>Data!AW36/AW$4*100000*AW$3</f>
        <v>0</v>
      </c>
      <c r="AX33" s="319">
        <f>Data!AX36/AX$4*100000*AX$3</f>
        <v>9212.5991505983566</v>
      </c>
      <c r="AY33" s="319">
        <f>Data!AY36/AY$4*100000*AY$3</f>
        <v>0</v>
      </c>
      <c r="AZ33" s="319">
        <f>Data!AZ36/AZ$4*100000*AZ$3</f>
        <v>5516.7087315707449</v>
      </c>
      <c r="BA33" s="319">
        <f>Data!BA36/BA$4*100000*BA$3</f>
        <v>5436.6539207335854</v>
      </c>
      <c r="BB33" s="319">
        <f>Data!BB36/BB$4*100000*BB$3</f>
        <v>4062.3984400389991</v>
      </c>
      <c r="BC33" s="319">
        <f>Data!BC36/BC$4*100000*BC$3</f>
        <v>5070.7367780538516</v>
      </c>
      <c r="BD33" s="319">
        <f>Data!BD36/BD$4*100000*BD$3</f>
        <v>0</v>
      </c>
      <c r="BE33" s="319">
        <f>Data!BE36/BE$4*100000*BE$3</f>
        <v>0</v>
      </c>
    </row>
    <row r="34" spans="1:57" ht="12" customHeight="1">
      <c r="A34" s="30"/>
      <c r="B34" s="146" t="str">
        <f>UPPER(LEFT(TRIM(Data!B37),1)) &amp; MID(TRIM(Data!B37),2,50)</f>
        <v>Kitų endokrininių liaukų</v>
      </c>
      <c r="C34" s="125" t="str">
        <f>Data!C37</f>
        <v>C74-C75</v>
      </c>
      <c r="D34" s="138">
        <f>Data!E37</f>
        <v>2</v>
      </c>
      <c r="E34" s="127">
        <f t="shared" si="5"/>
        <v>0.14802468459640331</v>
      </c>
      <c r="F34" s="128">
        <f t="shared" si="6"/>
        <v>0.11966622692517281</v>
      </c>
      <c r="G34" s="129">
        <f t="shared" si="7"/>
        <v>8.0520771205976713E-2</v>
      </c>
      <c r="H34" s="58"/>
      <c r="I34" s="58"/>
      <c r="J34" s="58"/>
      <c r="K34" s="58"/>
      <c r="L34" s="58"/>
      <c r="M34" s="58"/>
      <c r="N34" s="58"/>
      <c r="O34" s="58"/>
      <c r="P34" s="58"/>
      <c r="Q34" s="311"/>
      <c r="R34" s="327" t="s">
        <v>353</v>
      </c>
      <c r="S34" s="319">
        <f t="shared" si="2"/>
        <v>11966.622692517281</v>
      </c>
      <c r="T34" s="319">
        <f>Data!AN37/T$4*100000*T$3</f>
        <v>0</v>
      </c>
      <c r="U34" s="319">
        <f>Data!AO37/U$4*100000*U$3</f>
        <v>0</v>
      </c>
      <c r="V34" s="319">
        <f>Data!AP37/V$4*100000*V$3</f>
        <v>0</v>
      </c>
      <c r="W34" s="319">
        <f>Data!AQ37/W$4*100000*W$3</f>
        <v>0</v>
      </c>
      <c r="X34" s="319">
        <f>Data!AR37/X$4*100000*X$3</f>
        <v>0</v>
      </c>
      <c r="Y34" s="319">
        <f>Data!AS37/Y$4*100000*Y$3</f>
        <v>0</v>
      </c>
      <c r="Z34" s="319">
        <f>Data!AT37/Z$4*100000*Z$3</f>
        <v>0</v>
      </c>
      <c r="AA34" s="319">
        <f>Data!AU37/AA$4*100000*AA$3</f>
        <v>0</v>
      </c>
      <c r="AB34" s="319">
        <f>Data!AV37/AB$4*100000*AB$3</f>
        <v>0</v>
      </c>
      <c r="AC34" s="319">
        <f>Data!AW37/AC$4*100000*AC$3</f>
        <v>0</v>
      </c>
      <c r="AD34" s="319">
        <f>Data!AX37/AD$4*100000*AD$3</f>
        <v>0</v>
      </c>
      <c r="AE34" s="319">
        <f>Data!AY37/AE$4*100000*AE$3</f>
        <v>0</v>
      </c>
      <c r="AF34" s="319">
        <f>Data!AZ37/AF$4*100000*AF$3</f>
        <v>6895.8859144634307</v>
      </c>
      <c r="AG34" s="319">
        <f>Data!BA37/AG$4*100000*AG$3</f>
        <v>0</v>
      </c>
      <c r="AH34" s="319">
        <f>Data!BB37/AH$4*100000*AH$3</f>
        <v>0</v>
      </c>
      <c r="AI34" s="319">
        <f>Data!BC37/AI$4*100000*AI$3</f>
        <v>5070.7367780538516</v>
      </c>
      <c r="AJ34" s="319">
        <f>Data!BD37/AJ$4*100000*AJ$3</f>
        <v>0</v>
      </c>
      <c r="AK34" s="319">
        <f>Data!BE37/AK$4*100000*AK$3</f>
        <v>0</v>
      </c>
      <c r="AL34" s="327" t="s">
        <v>353</v>
      </c>
      <c r="AM34" s="319">
        <f t="shared" si="3"/>
        <v>8052.0771205976707</v>
      </c>
      <c r="AN34" s="319">
        <f>Data!AN37/AN$4*100000*AN$3</f>
        <v>0</v>
      </c>
      <c r="AO34" s="319">
        <f>Data!AO37/AO$4*100000*AO$3</f>
        <v>0</v>
      </c>
      <c r="AP34" s="319">
        <f>Data!AP37/AP$4*100000*AP$3</f>
        <v>0</v>
      </c>
      <c r="AQ34" s="319">
        <f>Data!AQ37/AQ$4*100000*AQ$3</f>
        <v>0</v>
      </c>
      <c r="AR34" s="319">
        <f>Data!AR37/AR$4*100000*AR$3</f>
        <v>0</v>
      </c>
      <c r="AS34" s="319">
        <f>Data!AS37/AS$4*100000*AS$3</f>
        <v>0</v>
      </c>
      <c r="AT34" s="319">
        <f>Data!AT37/AT$4*100000*AT$3</f>
        <v>0</v>
      </c>
      <c r="AU34" s="319">
        <f>Data!AU37/AU$4*100000*AU$3</f>
        <v>0</v>
      </c>
      <c r="AV34" s="319">
        <f>Data!AV37/AV$4*100000*AV$3</f>
        <v>0</v>
      </c>
      <c r="AW34" s="319">
        <f>Data!AW37/AW$4*100000*AW$3</f>
        <v>0</v>
      </c>
      <c r="AX34" s="319">
        <f>Data!AX37/AX$4*100000*AX$3</f>
        <v>0</v>
      </c>
      <c r="AY34" s="319">
        <f>Data!AY37/AY$4*100000*AY$3</f>
        <v>0</v>
      </c>
      <c r="AZ34" s="319">
        <f>Data!AZ37/AZ$4*100000*AZ$3</f>
        <v>5516.7087315707449</v>
      </c>
      <c r="BA34" s="319">
        <f>Data!BA37/BA$4*100000*BA$3</f>
        <v>0</v>
      </c>
      <c r="BB34" s="319">
        <f>Data!BB37/BB$4*100000*BB$3</f>
        <v>0</v>
      </c>
      <c r="BC34" s="319">
        <f>Data!BC37/BC$4*100000*BC$3</f>
        <v>2535.3683890269258</v>
      </c>
      <c r="BD34" s="319">
        <f>Data!BD37/BD$4*100000*BD$3</f>
        <v>0</v>
      </c>
      <c r="BE34" s="319">
        <f>Data!BE37/BE$4*100000*BE$3</f>
        <v>0</v>
      </c>
    </row>
    <row r="35" spans="1:57" ht="12" customHeight="1">
      <c r="A35" s="30"/>
      <c r="B35" s="141" t="str">
        <f>UPPER(LEFT(TRIM(Data!B38),1)) &amp; MID(TRIM(Data!B38),2,50)</f>
        <v>Nepatikslintos lokalizacijos</v>
      </c>
      <c r="C35" s="141" t="str">
        <f>Data!C38</f>
        <v>C76-C80</v>
      </c>
      <c r="D35" s="142">
        <f>Data!E38</f>
        <v>227</v>
      </c>
      <c r="E35" s="143">
        <f t="shared" si="5"/>
        <v>16.800801701691775</v>
      </c>
      <c r="F35" s="144">
        <f t="shared" si="6"/>
        <v>13.925001620618987</v>
      </c>
      <c r="G35" s="144">
        <f t="shared" si="7"/>
        <v>9.1665134378783559</v>
      </c>
      <c r="H35" s="58"/>
      <c r="I35" s="58"/>
      <c r="J35" s="58"/>
      <c r="K35" s="58"/>
      <c r="L35" s="58"/>
      <c r="M35" s="58"/>
      <c r="N35" s="58"/>
      <c r="O35" s="58"/>
      <c r="P35" s="58"/>
      <c r="Q35" s="311"/>
      <c r="R35" s="327" t="s">
        <v>353</v>
      </c>
      <c r="S35" s="319">
        <f t="shared" si="2"/>
        <v>1392500.1620618987</v>
      </c>
      <c r="T35" s="319">
        <f>Data!AN38/T$4*100000*T$3</f>
        <v>0</v>
      </c>
      <c r="U35" s="319">
        <f>Data!AO38/U$4*100000*U$3</f>
        <v>0</v>
      </c>
      <c r="V35" s="319">
        <f>Data!AP38/V$4*100000*V$3</f>
        <v>0</v>
      </c>
      <c r="W35" s="319">
        <f>Data!AQ38/W$4*100000*W$3</f>
        <v>0</v>
      </c>
      <c r="X35" s="319">
        <f>Data!AR38/X$4*100000*X$3</f>
        <v>0</v>
      </c>
      <c r="Y35" s="319">
        <f>Data!AS38/Y$4*100000*Y$3</f>
        <v>0</v>
      </c>
      <c r="Z35" s="319">
        <f>Data!AT38/Z$4*100000*Z$3</f>
        <v>7831.6420715812073</v>
      </c>
      <c r="AA35" s="319">
        <f>Data!AU38/AA$4*100000*AA$3</f>
        <v>7847.2697106599553</v>
      </c>
      <c r="AB35" s="319">
        <f>Data!AV38/AB$4*100000*AB$3</f>
        <v>14212.476524034313</v>
      </c>
      <c r="AC35" s="319">
        <f>Data!AW38/AC$4*100000*AC$3</f>
        <v>48754.76353939683</v>
      </c>
      <c r="AD35" s="319">
        <f>Data!AX38/AD$4*100000*AD$3</f>
        <v>45141.735837931963</v>
      </c>
      <c r="AE35" s="319">
        <f>Data!AY38/AE$4*100000*AE$3</f>
        <v>116507.36801225485</v>
      </c>
      <c r="AF35" s="319">
        <f>Data!AZ38/AF$4*100000*AF$3</f>
        <v>220668.34926282978</v>
      </c>
      <c r="AG35" s="319">
        <f>Data!BA38/AG$4*100000*AG$3</f>
        <v>217466.15682934344</v>
      </c>
      <c r="AH35" s="319">
        <f>Data!BB38/AH$4*100000*AH$3</f>
        <v>255931.10172245692</v>
      </c>
      <c r="AI35" s="319">
        <f>Data!BC38/AI$4*100000*AI$3</f>
        <v>197758.7343441002</v>
      </c>
      <c r="AJ35" s="319">
        <f>Data!BD38/AJ$4*100000*AJ$3</f>
        <v>100124.15395089913</v>
      </c>
      <c r="AK35" s="319">
        <f>Data!BE38/AK$4*100000*AK$3</f>
        <v>160256.41025641025</v>
      </c>
      <c r="AL35" s="327" t="s">
        <v>353</v>
      </c>
      <c r="AM35" s="319">
        <f t="shared" si="3"/>
        <v>916651.34378783556</v>
      </c>
      <c r="AN35" s="319">
        <f>Data!AN38/AN$4*100000*AN$3</f>
        <v>0</v>
      </c>
      <c r="AO35" s="319">
        <f>Data!AO38/AO$4*100000*AO$3</f>
        <v>0</v>
      </c>
      <c r="AP35" s="319">
        <f>Data!AP38/AP$4*100000*AP$3</f>
        <v>0</v>
      </c>
      <c r="AQ35" s="319">
        <f>Data!AQ38/AQ$4*100000*AQ$3</f>
        <v>0</v>
      </c>
      <c r="AR35" s="319">
        <f>Data!AR38/AR$4*100000*AR$3</f>
        <v>0</v>
      </c>
      <c r="AS35" s="319">
        <f>Data!AS38/AS$4*100000*AS$3</f>
        <v>0</v>
      </c>
      <c r="AT35" s="319">
        <f>Data!AT38/AT$4*100000*AT$3</f>
        <v>6712.8360613553205</v>
      </c>
      <c r="AU35" s="319">
        <f>Data!AU38/AU$4*100000*AU$3</f>
        <v>6726.2311805656764</v>
      </c>
      <c r="AV35" s="319">
        <f>Data!AV38/AV$4*100000*AV$3</f>
        <v>12182.122734886554</v>
      </c>
      <c r="AW35" s="319">
        <f>Data!AW38/AW$4*100000*AW$3</f>
        <v>41789.797319482997</v>
      </c>
      <c r="AX35" s="319">
        <f>Data!AX38/AX$4*100000*AX$3</f>
        <v>32244.09702709426</v>
      </c>
      <c r="AY35" s="319">
        <f>Data!AY38/AY$4*100000*AY$3</f>
        <v>77671.578674836564</v>
      </c>
      <c r="AZ35" s="319">
        <f>Data!AZ38/AZ$4*100000*AZ$3</f>
        <v>176534.67941026384</v>
      </c>
      <c r="BA35" s="319">
        <f>Data!BA38/BA$4*100000*BA$3</f>
        <v>163099.61762200759</v>
      </c>
      <c r="BB35" s="319">
        <f>Data!BB38/BB$4*100000*BB$3</f>
        <v>170620.73448163795</v>
      </c>
      <c r="BC35" s="319">
        <f>Data!BC38/BC$4*100000*BC$3</f>
        <v>98879.367172050101</v>
      </c>
      <c r="BD35" s="319">
        <f>Data!BD38/BD$4*100000*BD$3</f>
        <v>50062.076975449563</v>
      </c>
      <c r="BE35" s="319">
        <f>Data!BE38/BE$4*100000*BE$3</f>
        <v>80128.205128205125</v>
      </c>
    </row>
    <row r="36" spans="1:57" ht="12" customHeight="1">
      <c r="A36" s="30"/>
      <c r="B36" s="146" t="str">
        <f>UPPER(LEFT(TRIM(Data!B39),1)) &amp; MID(TRIM(Data!B39),2,50)</f>
        <v>Hodžkino limfomos</v>
      </c>
      <c r="C36" s="125" t="str">
        <f>Data!C39</f>
        <v>C81</v>
      </c>
      <c r="D36" s="138">
        <f>Data!E39</f>
        <v>6</v>
      </c>
      <c r="E36" s="127">
        <f t="shared" si="5"/>
        <v>0.44407405378920989</v>
      </c>
      <c r="F36" s="128">
        <f t="shared" si="6"/>
        <v>0.36926480443374632</v>
      </c>
      <c r="G36" s="129">
        <f t="shared" si="7"/>
        <v>0.22992667794655494</v>
      </c>
      <c r="H36" s="58"/>
      <c r="I36" s="58"/>
      <c r="J36" s="58"/>
      <c r="K36" s="58"/>
      <c r="L36" s="58"/>
      <c r="M36" s="58"/>
      <c r="N36" s="58"/>
      <c r="O36" s="58"/>
      <c r="P36" s="58"/>
      <c r="Q36" s="311"/>
      <c r="R36" s="327" t="s">
        <v>353</v>
      </c>
      <c r="S36" s="319">
        <f t="shared" si="2"/>
        <v>36926.480443374632</v>
      </c>
      <c r="T36" s="319">
        <f>Data!AN39/T$4*100000*T$3</f>
        <v>0</v>
      </c>
      <c r="U36" s="319">
        <f>Data!AO39/U$4*100000*U$3</f>
        <v>0</v>
      </c>
      <c r="V36" s="319">
        <f>Data!AP39/V$4*100000*V$3</f>
        <v>0</v>
      </c>
      <c r="W36" s="319">
        <f>Data!AQ39/W$4*100000*W$3</f>
        <v>0</v>
      </c>
      <c r="X36" s="319">
        <f>Data!AR39/X$4*100000*X$3</f>
        <v>0</v>
      </c>
      <c r="Y36" s="319">
        <f>Data!AS39/Y$4*100000*Y$3</f>
        <v>0</v>
      </c>
      <c r="Z36" s="319">
        <f>Data!AT39/Z$4*100000*Z$3</f>
        <v>0</v>
      </c>
      <c r="AA36" s="319">
        <f>Data!AU39/AA$4*100000*AA$3</f>
        <v>0</v>
      </c>
      <c r="AB36" s="319">
        <f>Data!AV39/AB$4*100000*AB$3</f>
        <v>0</v>
      </c>
      <c r="AC36" s="319">
        <f>Data!AW39/AC$4*100000*AC$3</f>
        <v>0</v>
      </c>
      <c r="AD36" s="319">
        <f>Data!AX39/AD$4*100000*AD$3</f>
        <v>6448.8194054188498</v>
      </c>
      <c r="AE36" s="319">
        <f>Data!AY39/AE$4*100000*AE$3</f>
        <v>6472.6315562363816</v>
      </c>
      <c r="AF36" s="319">
        <f>Data!AZ39/AF$4*100000*AF$3</f>
        <v>6895.8859144634307</v>
      </c>
      <c r="AG36" s="319">
        <f>Data!BA39/AG$4*100000*AG$3</f>
        <v>0</v>
      </c>
      <c r="AH36" s="319">
        <f>Data!BB39/AH$4*100000*AH$3</f>
        <v>0</v>
      </c>
      <c r="AI36" s="319">
        <f>Data!BC39/AI$4*100000*AI$3</f>
        <v>10141.473556107703</v>
      </c>
      <c r="AJ36" s="319">
        <f>Data!BD39/AJ$4*100000*AJ$3</f>
        <v>0</v>
      </c>
      <c r="AK36" s="319">
        <f>Data!BE39/AK$4*100000*AK$3</f>
        <v>6967.6700111482714</v>
      </c>
      <c r="AL36" s="327" t="s">
        <v>353</v>
      </c>
      <c r="AM36" s="319">
        <f t="shared" si="3"/>
        <v>22992.667794655496</v>
      </c>
      <c r="AN36" s="319">
        <f>Data!AN39/AN$4*100000*AN$3</f>
        <v>0</v>
      </c>
      <c r="AO36" s="319">
        <f>Data!AO39/AO$4*100000*AO$3</f>
        <v>0</v>
      </c>
      <c r="AP36" s="319">
        <f>Data!AP39/AP$4*100000*AP$3</f>
        <v>0</v>
      </c>
      <c r="AQ36" s="319">
        <f>Data!AQ39/AQ$4*100000*AQ$3</f>
        <v>0</v>
      </c>
      <c r="AR36" s="319">
        <f>Data!AR39/AR$4*100000*AR$3</f>
        <v>0</v>
      </c>
      <c r="AS36" s="319">
        <f>Data!AS39/AS$4*100000*AS$3</f>
        <v>0</v>
      </c>
      <c r="AT36" s="319">
        <f>Data!AT39/AT$4*100000*AT$3</f>
        <v>0</v>
      </c>
      <c r="AU36" s="319">
        <f>Data!AU39/AU$4*100000*AU$3</f>
        <v>0</v>
      </c>
      <c r="AV36" s="319">
        <f>Data!AV39/AV$4*100000*AV$3</f>
        <v>0</v>
      </c>
      <c r="AW36" s="319">
        <f>Data!AW39/AW$4*100000*AW$3</f>
        <v>0</v>
      </c>
      <c r="AX36" s="319">
        <f>Data!AX39/AX$4*100000*AX$3</f>
        <v>4606.2995752991783</v>
      </c>
      <c r="AY36" s="319">
        <f>Data!AY39/AY$4*100000*AY$3</f>
        <v>4315.0877041575877</v>
      </c>
      <c r="AZ36" s="319">
        <f>Data!AZ39/AZ$4*100000*AZ$3</f>
        <v>5516.7087315707449</v>
      </c>
      <c r="BA36" s="319">
        <f>Data!BA39/BA$4*100000*BA$3</f>
        <v>0</v>
      </c>
      <c r="BB36" s="319">
        <f>Data!BB39/BB$4*100000*BB$3</f>
        <v>0</v>
      </c>
      <c r="BC36" s="319">
        <f>Data!BC39/BC$4*100000*BC$3</f>
        <v>5070.7367780538516</v>
      </c>
      <c r="BD36" s="319">
        <f>Data!BD39/BD$4*100000*BD$3</f>
        <v>0</v>
      </c>
      <c r="BE36" s="319">
        <f>Data!BE39/BE$4*100000*BE$3</f>
        <v>3483.8350055741357</v>
      </c>
    </row>
    <row r="37" spans="1:57" ht="12" customHeight="1">
      <c r="A37" s="30"/>
      <c r="B37" s="141" t="str">
        <f>UPPER(LEFT(TRIM(Data!B40),1)) &amp; MID(TRIM(Data!B40),2,50)</f>
        <v>Ne Hodžkino limfomos</v>
      </c>
      <c r="C37" s="141" t="str">
        <f>Data!C40</f>
        <v>C82-C85</v>
      </c>
      <c r="D37" s="142">
        <f>Data!E40</f>
        <v>75</v>
      </c>
      <c r="E37" s="143">
        <f t="shared" si="5"/>
        <v>5.5509256723651239</v>
      </c>
      <c r="F37" s="144">
        <f t="shared" si="6"/>
        <v>4.5565193500153525</v>
      </c>
      <c r="G37" s="144">
        <f t="shared" si="7"/>
        <v>3.0011166741998174</v>
      </c>
      <c r="H37" s="58"/>
      <c r="I37" s="58"/>
      <c r="J37" s="58"/>
      <c r="K37" s="58"/>
      <c r="L37" s="58"/>
      <c r="M37" s="58"/>
      <c r="N37" s="58"/>
      <c r="O37" s="58"/>
      <c r="P37" s="58"/>
      <c r="Q37" s="311"/>
      <c r="R37" s="327" t="s">
        <v>353</v>
      </c>
      <c r="S37" s="319">
        <f t="shared" si="2"/>
        <v>455651.93500153522</v>
      </c>
      <c r="T37" s="319">
        <f>Data!AN40/T$4*100000*T$3</f>
        <v>0</v>
      </c>
      <c r="U37" s="319">
        <f>Data!AO40/U$4*100000*U$3</f>
        <v>0</v>
      </c>
      <c r="V37" s="319">
        <f>Data!AP40/V$4*100000*V$3</f>
        <v>0</v>
      </c>
      <c r="W37" s="319">
        <f>Data!AQ40/W$4*100000*W$3</f>
        <v>7840.0627205017636</v>
      </c>
      <c r="X37" s="319">
        <f>Data!AR40/X$4*100000*X$3</f>
        <v>6468.365074524806</v>
      </c>
      <c r="Y37" s="319">
        <f>Data!AS40/Y$4*100000*Y$3</f>
        <v>0</v>
      </c>
      <c r="Z37" s="319">
        <f>Data!AT40/Z$4*100000*Z$3</f>
        <v>0</v>
      </c>
      <c r="AA37" s="319">
        <f>Data!AU40/AA$4*100000*AA$3</f>
        <v>0</v>
      </c>
      <c r="AB37" s="319">
        <f>Data!AV40/AB$4*100000*AB$3</f>
        <v>0</v>
      </c>
      <c r="AC37" s="319">
        <f>Data!AW40/AC$4*100000*AC$3</f>
        <v>13929.932439827668</v>
      </c>
      <c r="AD37" s="319">
        <f>Data!AX40/AD$4*100000*AD$3</f>
        <v>45141.735837931963</v>
      </c>
      <c r="AE37" s="319">
        <f>Data!AY40/AE$4*100000*AE$3</f>
        <v>32363.157781181901</v>
      </c>
      <c r="AF37" s="319">
        <f>Data!AZ40/AF$4*100000*AF$3</f>
        <v>41375.315486780586</v>
      </c>
      <c r="AG37" s="319">
        <f>Data!BA40/AG$4*100000*AG$3</f>
        <v>65239.847048803029</v>
      </c>
      <c r="AH37" s="319">
        <f>Data!BB40/AH$4*100000*AH$3</f>
        <v>79216.76958076049</v>
      </c>
      <c r="AI37" s="319">
        <f>Data!BC40/AI$4*100000*AI$3</f>
        <v>91273.262004969321</v>
      </c>
      <c r="AJ37" s="319">
        <f>Data!BD40/AJ$4*100000*AJ$3</f>
        <v>24029.796948215786</v>
      </c>
      <c r="AK37" s="319">
        <f>Data!BE40/AK$4*100000*AK$3</f>
        <v>48773.690078037907</v>
      </c>
      <c r="AL37" s="327" t="s">
        <v>353</v>
      </c>
      <c r="AM37" s="319">
        <f t="shared" si="3"/>
        <v>300111.66741998174</v>
      </c>
      <c r="AN37" s="319">
        <f>Data!AN40/AN$4*100000*AN$3</f>
        <v>0</v>
      </c>
      <c r="AO37" s="319">
        <f>Data!AO40/AO$4*100000*AO$3</f>
        <v>0</v>
      </c>
      <c r="AP37" s="319">
        <f>Data!AP40/AP$4*100000*AP$3</f>
        <v>0</v>
      </c>
      <c r="AQ37" s="319">
        <f>Data!AQ40/AQ$4*100000*AQ$3</f>
        <v>10080.080640645125</v>
      </c>
      <c r="AR37" s="319">
        <f>Data!AR40/AR$4*100000*AR$3</f>
        <v>7392.4172280283501</v>
      </c>
      <c r="AS37" s="319">
        <f>Data!AS40/AS$4*100000*AS$3</f>
        <v>0</v>
      </c>
      <c r="AT37" s="319">
        <f>Data!AT40/AT$4*100000*AT$3</f>
        <v>0</v>
      </c>
      <c r="AU37" s="319">
        <f>Data!AU40/AU$4*100000*AU$3</f>
        <v>0</v>
      </c>
      <c r="AV37" s="319">
        <f>Data!AV40/AV$4*100000*AV$3</f>
        <v>0</v>
      </c>
      <c r="AW37" s="319">
        <f>Data!AW40/AW$4*100000*AW$3</f>
        <v>11939.942091280858</v>
      </c>
      <c r="AX37" s="319">
        <f>Data!AX40/AX$4*100000*AX$3</f>
        <v>32244.09702709426</v>
      </c>
      <c r="AY37" s="319">
        <f>Data!AY40/AY$4*100000*AY$3</f>
        <v>21575.438520787935</v>
      </c>
      <c r="AZ37" s="319">
        <f>Data!AZ40/AZ$4*100000*AZ$3</f>
        <v>33100.252389424466</v>
      </c>
      <c r="BA37" s="319">
        <f>Data!BA40/BA$4*100000*BA$3</f>
        <v>48929.885286602272</v>
      </c>
      <c r="BB37" s="319">
        <f>Data!BB40/BB$4*100000*BB$3</f>
        <v>52811.179720506989</v>
      </c>
      <c r="BC37" s="319">
        <f>Data!BC40/BC$4*100000*BC$3</f>
        <v>45636.631002484661</v>
      </c>
      <c r="BD37" s="319">
        <f>Data!BD40/BD$4*100000*BD$3</f>
        <v>12014.898474107893</v>
      </c>
      <c r="BE37" s="319">
        <f>Data!BE40/BE$4*100000*BE$3</f>
        <v>24386.845039018954</v>
      </c>
    </row>
    <row r="38" spans="1:57" ht="12" customHeight="1">
      <c r="A38" s="30"/>
      <c r="B38" s="146" t="str">
        <f>UPPER(LEFT(TRIM(Data!B41),1)) &amp; MID(TRIM(Data!B41),2,50)</f>
        <v>Mielominės ligos</v>
      </c>
      <c r="C38" s="125" t="str">
        <f>Data!C41</f>
        <v>C90</v>
      </c>
      <c r="D38" s="138">
        <f>Data!E41</f>
        <v>38</v>
      </c>
      <c r="E38" s="127">
        <f t="shared" si="5"/>
        <v>2.8124690073316625</v>
      </c>
      <c r="F38" s="128">
        <f t="shared" si="6"/>
        <v>2.2072488888262392</v>
      </c>
      <c r="G38" s="129">
        <f t="shared" si="7"/>
        <v>1.3633415971155953</v>
      </c>
      <c r="H38" s="58"/>
      <c r="I38" s="58"/>
      <c r="J38" s="58"/>
      <c r="K38" s="58"/>
      <c r="L38" s="58"/>
      <c r="M38" s="58"/>
      <c r="N38" s="58"/>
      <c r="O38" s="58"/>
      <c r="P38" s="58"/>
      <c r="Q38" s="311"/>
      <c r="R38" s="327" t="s">
        <v>353</v>
      </c>
      <c r="S38" s="319">
        <f t="shared" si="2"/>
        <v>220724.8888826239</v>
      </c>
      <c r="T38" s="319">
        <f>Data!AN41/T$4*100000*T$3</f>
        <v>0</v>
      </c>
      <c r="U38" s="319">
        <f>Data!AO41/U$4*100000*U$3</f>
        <v>0</v>
      </c>
      <c r="V38" s="319">
        <f>Data!AP41/V$4*100000*V$3</f>
        <v>0</v>
      </c>
      <c r="W38" s="319">
        <f>Data!AQ41/W$4*100000*W$3</f>
        <v>0</v>
      </c>
      <c r="X38" s="319">
        <f>Data!AR41/X$4*100000*X$3</f>
        <v>0</v>
      </c>
      <c r="Y38" s="319">
        <f>Data!AS41/Y$4*100000*Y$3</f>
        <v>0</v>
      </c>
      <c r="Z38" s="319">
        <f>Data!AT41/Z$4*100000*Z$3</f>
        <v>0</v>
      </c>
      <c r="AA38" s="319">
        <f>Data!AU41/AA$4*100000*AA$3</f>
        <v>0</v>
      </c>
      <c r="AB38" s="319">
        <f>Data!AV41/AB$4*100000*AB$3</f>
        <v>0</v>
      </c>
      <c r="AC38" s="319">
        <f>Data!AW41/AC$4*100000*AC$3</f>
        <v>13929.932439827668</v>
      </c>
      <c r="AD38" s="319">
        <f>Data!AX41/AD$4*100000*AD$3</f>
        <v>25795.277621675399</v>
      </c>
      <c r="AE38" s="319">
        <f>Data!AY41/AE$4*100000*AE$3</f>
        <v>38835.789337418282</v>
      </c>
      <c r="AF38" s="319">
        <f>Data!AZ41/AF$4*100000*AF$3</f>
        <v>13791.771828926861</v>
      </c>
      <c r="AG38" s="319">
        <f>Data!BA41/AG$4*100000*AG$3</f>
        <v>7248.8718943114472</v>
      </c>
      <c r="AH38" s="319">
        <f>Data!BB41/AH$4*100000*AH$3</f>
        <v>18280.792980175494</v>
      </c>
      <c r="AI38" s="319">
        <f>Data!BC41/AI$4*100000*AI$3</f>
        <v>65919.578114700053</v>
      </c>
      <c r="AJ38" s="319">
        <f>Data!BD41/AJ$4*100000*AJ$3</f>
        <v>16019.864632143857</v>
      </c>
      <c r="AK38" s="319">
        <f>Data!BE41/AK$4*100000*AK$3</f>
        <v>20903.010033444814</v>
      </c>
      <c r="AL38" s="327" t="s">
        <v>353</v>
      </c>
      <c r="AM38" s="319">
        <f t="shared" si="3"/>
        <v>136334.15971155954</v>
      </c>
      <c r="AN38" s="319">
        <f>Data!AN41/AN$4*100000*AN$3</f>
        <v>0</v>
      </c>
      <c r="AO38" s="319">
        <f>Data!AO41/AO$4*100000*AO$3</f>
        <v>0</v>
      </c>
      <c r="AP38" s="319">
        <f>Data!AP41/AP$4*100000*AP$3</f>
        <v>0</v>
      </c>
      <c r="AQ38" s="319">
        <f>Data!AQ41/AQ$4*100000*AQ$3</f>
        <v>0</v>
      </c>
      <c r="AR38" s="319">
        <f>Data!AR41/AR$4*100000*AR$3</f>
        <v>0</v>
      </c>
      <c r="AS38" s="319">
        <f>Data!AS41/AS$4*100000*AS$3</f>
        <v>0</v>
      </c>
      <c r="AT38" s="319">
        <f>Data!AT41/AT$4*100000*AT$3</f>
        <v>0</v>
      </c>
      <c r="AU38" s="319">
        <f>Data!AU41/AU$4*100000*AU$3</f>
        <v>0</v>
      </c>
      <c r="AV38" s="319">
        <f>Data!AV41/AV$4*100000*AV$3</f>
        <v>0</v>
      </c>
      <c r="AW38" s="319">
        <f>Data!AW41/AW$4*100000*AW$3</f>
        <v>11939.942091280858</v>
      </c>
      <c r="AX38" s="319">
        <f>Data!AX41/AX$4*100000*AX$3</f>
        <v>18425.198301196713</v>
      </c>
      <c r="AY38" s="319">
        <f>Data!AY41/AY$4*100000*AY$3</f>
        <v>25890.526224945523</v>
      </c>
      <c r="AZ38" s="319">
        <f>Data!AZ41/AZ$4*100000*AZ$3</f>
        <v>11033.41746314149</v>
      </c>
      <c r="BA38" s="319">
        <f>Data!BA41/BA$4*100000*BA$3</f>
        <v>5436.6539207335854</v>
      </c>
      <c r="BB38" s="319">
        <f>Data!BB41/BB$4*100000*BB$3</f>
        <v>12187.195320116996</v>
      </c>
      <c r="BC38" s="319">
        <f>Data!BC41/BC$4*100000*BC$3</f>
        <v>32959.789057350026</v>
      </c>
      <c r="BD38" s="319">
        <f>Data!BD41/BD$4*100000*BD$3</f>
        <v>8009.9323160719287</v>
      </c>
      <c r="BE38" s="319">
        <f>Data!BE41/BE$4*100000*BE$3</f>
        <v>10451.505016722407</v>
      </c>
    </row>
    <row r="39" spans="1:57" ht="12" customHeight="1">
      <c r="A39" s="30"/>
      <c r="B39" s="141" t="str">
        <f>UPPER(LEFT(TRIM(Data!B42),1)) &amp; MID(TRIM(Data!B42),2,50)</f>
        <v>Leukemijos</v>
      </c>
      <c r="C39" s="141" t="str">
        <f>Data!C42</f>
        <v>C91-C95</v>
      </c>
      <c r="D39" s="142">
        <f>Data!E42</f>
        <v>124</v>
      </c>
      <c r="E39" s="143">
        <f t="shared" si="5"/>
        <v>9.1775304449770054</v>
      </c>
      <c r="F39" s="144">
        <f t="shared" si="6"/>
        <v>7.5140229619506469</v>
      </c>
      <c r="G39" s="144">
        <f t="shared" si="7"/>
        <v>5.0402434741828301</v>
      </c>
      <c r="H39" s="58"/>
      <c r="I39" s="58"/>
      <c r="J39" s="58"/>
      <c r="K39" s="58"/>
      <c r="L39" s="58"/>
      <c r="M39" s="58"/>
      <c r="N39" s="58"/>
      <c r="O39" s="58"/>
      <c r="P39" s="58"/>
      <c r="Q39" s="311"/>
      <c r="R39" s="327" t="s">
        <v>353</v>
      </c>
      <c r="S39" s="319">
        <f t="shared" si="2"/>
        <v>751402.29619506467</v>
      </c>
      <c r="T39" s="319">
        <f>Data!AN42/T$4*100000*T$3</f>
        <v>0</v>
      </c>
      <c r="U39" s="319">
        <f>Data!AO42/U$4*100000*U$3</f>
        <v>10009.723731625007</v>
      </c>
      <c r="V39" s="319">
        <f>Data!AP42/V$4*100000*V$3</f>
        <v>9721.9521679953341</v>
      </c>
      <c r="W39" s="319">
        <f>Data!AQ42/W$4*100000*W$3</f>
        <v>7840.0627205017636</v>
      </c>
      <c r="X39" s="319">
        <f>Data!AR42/X$4*100000*X$3</f>
        <v>12936.730149049612</v>
      </c>
      <c r="Y39" s="319">
        <f>Data!AS42/Y$4*100000*Y$3</f>
        <v>0</v>
      </c>
      <c r="Z39" s="319">
        <f>Data!AT42/Z$4*100000*Z$3</f>
        <v>15663.284143162415</v>
      </c>
      <c r="AA39" s="319">
        <f>Data!AU42/AA$4*100000*AA$3</f>
        <v>15694.539421319911</v>
      </c>
      <c r="AB39" s="319">
        <f>Data!AV42/AB$4*100000*AB$3</f>
        <v>7106.2382620171566</v>
      </c>
      <c r="AC39" s="319">
        <f>Data!AW42/AC$4*100000*AC$3</f>
        <v>6964.9662199138338</v>
      </c>
      <c r="AD39" s="319">
        <f>Data!AX42/AD$4*100000*AD$3</f>
        <v>38692.916432513106</v>
      </c>
      <c r="AE39" s="319">
        <f>Data!AY42/AE$4*100000*AE$3</f>
        <v>19417.894668709141</v>
      </c>
      <c r="AF39" s="319">
        <f>Data!AZ42/AF$4*100000*AF$3</f>
        <v>62062.973230170879</v>
      </c>
      <c r="AG39" s="319">
        <f>Data!BA42/AG$4*100000*AG$3</f>
        <v>108733.07841467172</v>
      </c>
      <c r="AH39" s="319">
        <f>Data!BB42/AH$4*100000*AH$3</f>
        <v>140152.74618134546</v>
      </c>
      <c r="AI39" s="319">
        <f>Data!BC42/AI$4*100000*AI$3</f>
        <v>126768.41945134629</v>
      </c>
      <c r="AJ39" s="319">
        <f>Data!BD42/AJ$4*100000*AJ$3</f>
        <v>72089.390844647365</v>
      </c>
      <c r="AK39" s="319">
        <f>Data!BE42/AK$4*100000*AK$3</f>
        <v>97547.380156075815</v>
      </c>
      <c r="AL39" s="327" t="s">
        <v>353</v>
      </c>
      <c r="AM39" s="319">
        <f t="shared" si="3"/>
        <v>504024.347418283</v>
      </c>
      <c r="AN39" s="319">
        <f>Data!AN42/AN$4*100000*AN$3</f>
        <v>0</v>
      </c>
      <c r="AO39" s="319">
        <f>Data!AO42/AO$4*100000*AO$3</f>
        <v>14299.605330892866</v>
      </c>
      <c r="AP39" s="319">
        <f>Data!AP42/AP$4*100000*AP$3</f>
        <v>12499.652787422572</v>
      </c>
      <c r="AQ39" s="319">
        <f>Data!AQ42/AQ$4*100000*AQ$3</f>
        <v>10080.080640645125</v>
      </c>
      <c r="AR39" s="319">
        <f>Data!AR42/AR$4*100000*AR$3</f>
        <v>14784.8344560567</v>
      </c>
      <c r="AS39" s="319">
        <f>Data!AS42/AS$4*100000*AS$3</f>
        <v>0</v>
      </c>
      <c r="AT39" s="319">
        <f>Data!AT42/AT$4*100000*AT$3</f>
        <v>13425.672122710641</v>
      </c>
      <c r="AU39" s="319">
        <f>Data!AU42/AU$4*100000*AU$3</f>
        <v>13452.462361131353</v>
      </c>
      <c r="AV39" s="319">
        <f>Data!AV42/AV$4*100000*AV$3</f>
        <v>6091.061367443277</v>
      </c>
      <c r="AW39" s="319">
        <f>Data!AW42/AW$4*100000*AW$3</f>
        <v>5969.9710456404291</v>
      </c>
      <c r="AX39" s="319">
        <f>Data!AX42/AX$4*100000*AX$3</f>
        <v>27637.797451795075</v>
      </c>
      <c r="AY39" s="319">
        <f>Data!AY42/AY$4*100000*AY$3</f>
        <v>12945.263112472761</v>
      </c>
      <c r="AZ39" s="319">
        <f>Data!AZ42/AZ$4*100000*AZ$3</f>
        <v>49650.378584136706</v>
      </c>
      <c r="BA39" s="319">
        <f>Data!BA42/BA$4*100000*BA$3</f>
        <v>81549.808811003793</v>
      </c>
      <c r="BB39" s="319">
        <f>Data!BB42/BB$4*100000*BB$3</f>
        <v>93435.164120896967</v>
      </c>
      <c r="BC39" s="319">
        <f>Data!BC42/BC$4*100000*BC$3</f>
        <v>63384.209725673143</v>
      </c>
      <c r="BD39" s="319">
        <f>Data!BD42/BD$4*100000*BD$3</f>
        <v>36044.695422323683</v>
      </c>
      <c r="BE39" s="319">
        <f>Data!BE42/BE$4*100000*BE$3</f>
        <v>48773.690078037907</v>
      </c>
    </row>
    <row r="40" spans="1:57" ht="12" customHeight="1">
      <c r="A40" s="30"/>
      <c r="B40" s="146" t="str">
        <f>UPPER(LEFT(TRIM(Data!B43),1)) &amp; MID(TRIM(Data!B43),2,50)</f>
        <v>Kiti limfinio, kraujodaros audinių</v>
      </c>
      <c r="C40" s="125" t="str">
        <f>Data!C43</f>
        <v>C88, C96</v>
      </c>
      <c r="D40" s="138">
        <f>Data!E43</f>
        <v>1</v>
      </c>
      <c r="E40" s="127">
        <f t="shared" si="5"/>
        <v>7.4012342298201653E-2</v>
      </c>
      <c r="F40" s="128">
        <f t="shared" si="6"/>
        <v>6.4726315562363815E-2</v>
      </c>
      <c r="G40" s="129">
        <f t="shared" si="7"/>
        <v>4.3150877041575879E-2</v>
      </c>
      <c r="H40" s="58"/>
      <c r="I40" s="58"/>
      <c r="J40" s="58"/>
      <c r="K40" s="58"/>
      <c r="L40" s="58"/>
      <c r="M40" s="58"/>
      <c r="N40" s="58"/>
      <c r="O40" s="58"/>
      <c r="P40" s="58"/>
      <c r="Q40" s="311"/>
      <c r="R40" s="327" t="s">
        <v>353</v>
      </c>
      <c r="S40" s="319">
        <f t="shared" si="2"/>
        <v>6472.6315562363816</v>
      </c>
      <c r="T40" s="319">
        <f>Data!AN43/T$4*100000*T$3</f>
        <v>0</v>
      </c>
      <c r="U40" s="319">
        <f>Data!AO43/U$4*100000*U$3</f>
        <v>0</v>
      </c>
      <c r="V40" s="319">
        <f>Data!AP43/V$4*100000*V$3</f>
        <v>0</v>
      </c>
      <c r="W40" s="319">
        <f>Data!AQ43/W$4*100000*W$3</f>
        <v>0</v>
      </c>
      <c r="X40" s="319">
        <f>Data!AR43/X$4*100000*X$3</f>
        <v>0</v>
      </c>
      <c r="Y40" s="319">
        <f>Data!AS43/Y$4*100000*Y$3</f>
        <v>0</v>
      </c>
      <c r="Z40" s="319">
        <f>Data!AT43/Z$4*100000*Z$3</f>
        <v>0</v>
      </c>
      <c r="AA40" s="319">
        <f>Data!AU43/AA$4*100000*AA$3</f>
        <v>0</v>
      </c>
      <c r="AB40" s="319">
        <f>Data!AV43/AB$4*100000*AB$3</f>
        <v>0</v>
      </c>
      <c r="AC40" s="319">
        <f>Data!AW43/AC$4*100000*AC$3</f>
        <v>0</v>
      </c>
      <c r="AD40" s="319">
        <f>Data!AX43/AD$4*100000*AD$3</f>
        <v>0</v>
      </c>
      <c r="AE40" s="319">
        <f>Data!AY43/AE$4*100000*AE$3</f>
        <v>6472.6315562363816</v>
      </c>
      <c r="AF40" s="319">
        <f>Data!AZ43/AF$4*100000*AF$3</f>
        <v>0</v>
      </c>
      <c r="AG40" s="319">
        <f>Data!BA43/AG$4*100000*AG$3</f>
        <v>0</v>
      </c>
      <c r="AH40" s="319">
        <f>Data!BB43/AH$4*100000*AH$3</f>
        <v>0</v>
      </c>
      <c r="AI40" s="319">
        <f>Data!BC43/AI$4*100000*AI$3</f>
        <v>0</v>
      </c>
      <c r="AJ40" s="319">
        <f>Data!BD43/AJ$4*100000*AJ$3</f>
        <v>0</v>
      </c>
      <c r="AK40" s="319">
        <f>Data!BE43/AK$4*100000*AK$3</f>
        <v>0</v>
      </c>
      <c r="AL40" s="327" t="s">
        <v>353</v>
      </c>
      <c r="AM40" s="319">
        <f t="shared" si="3"/>
        <v>4315.0877041575877</v>
      </c>
      <c r="AN40" s="319">
        <f>Data!AN43/AN$4*100000*AN$3</f>
        <v>0</v>
      </c>
      <c r="AO40" s="319">
        <f>Data!AO43/AO$4*100000*AO$3</f>
        <v>0</v>
      </c>
      <c r="AP40" s="319">
        <f>Data!AP43/AP$4*100000*AP$3</f>
        <v>0</v>
      </c>
      <c r="AQ40" s="319">
        <f>Data!AQ43/AQ$4*100000*AQ$3</f>
        <v>0</v>
      </c>
      <c r="AR40" s="319">
        <f>Data!AR43/AR$4*100000*AR$3</f>
        <v>0</v>
      </c>
      <c r="AS40" s="319">
        <f>Data!AS43/AS$4*100000*AS$3</f>
        <v>0</v>
      </c>
      <c r="AT40" s="319">
        <f>Data!AT43/AT$4*100000*AT$3</f>
        <v>0</v>
      </c>
      <c r="AU40" s="319">
        <f>Data!AU43/AU$4*100000*AU$3</f>
        <v>0</v>
      </c>
      <c r="AV40" s="319">
        <f>Data!AV43/AV$4*100000*AV$3</f>
        <v>0</v>
      </c>
      <c r="AW40" s="319">
        <f>Data!AW43/AW$4*100000*AW$3</f>
        <v>0</v>
      </c>
      <c r="AX40" s="319">
        <f>Data!AX43/AX$4*100000*AX$3</f>
        <v>0</v>
      </c>
      <c r="AY40" s="319">
        <f>Data!AY43/AY$4*100000*AY$3</f>
        <v>4315.0877041575877</v>
      </c>
      <c r="AZ40" s="319">
        <f>Data!AZ43/AZ$4*100000*AZ$3</f>
        <v>0</v>
      </c>
      <c r="BA40" s="319">
        <f>Data!BA43/BA$4*100000*BA$3</f>
        <v>0</v>
      </c>
      <c r="BB40" s="319">
        <f>Data!BB43/BB$4*100000*BB$3</f>
        <v>0</v>
      </c>
      <c r="BC40" s="319">
        <f>Data!BC43/BC$4*100000*BC$3</f>
        <v>0</v>
      </c>
      <c r="BD40" s="319">
        <f>Data!BD43/BD$4*100000*BD$3</f>
        <v>0</v>
      </c>
      <c r="BE40" s="319">
        <f>Data!BE43/BE$4*100000*BE$3</f>
        <v>0</v>
      </c>
    </row>
    <row r="41" spans="1:57" ht="24" customHeight="1">
      <c r="A41" s="30"/>
      <c r="B41" s="134"/>
      <c r="C41" s="134"/>
      <c r="D41" s="135"/>
      <c r="E41" s="136"/>
      <c r="F41" s="137"/>
      <c r="G41" s="137"/>
      <c r="H41" s="58"/>
      <c r="I41" s="58"/>
      <c r="J41" s="58"/>
      <c r="K41" s="58"/>
      <c r="L41" s="58"/>
      <c r="M41" s="58"/>
      <c r="N41" s="58"/>
      <c r="O41" s="58"/>
      <c r="P41" s="58"/>
      <c r="Q41" s="311"/>
      <c r="R41" s="327"/>
      <c r="S41" s="319"/>
      <c r="T41" s="319"/>
      <c r="U41" s="319"/>
      <c r="V41" s="319"/>
      <c r="W41" s="319"/>
      <c r="X41" s="319"/>
      <c r="Y41" s="319"/>
      <c r="Z41" s="319"/>
      <c r="AA41" s="319"/>
      <c r="AB41" s="319"/>
      <c r="AC41" s="319"/>
      <c r="AD41" s="319"/>
      <c r="AE41" s="319"/>
      <c r="AF41" s="319"/>
      <c r="AG41" s="319"/>
      <c r="AH41" s="319"/>
      <c r="AI41" s="319"/>
      <c r="AJ41" s="319"/>
      <c r="AK41" s="319"/>
      <c r="AL41" s="327"/>
      <c r="AM41" s="319"/>
      <c r="AN41" s="319"/>
      <c r="AO41" s="319"/>
      <c r="AP41" s="319"/>
      <c r="AQ41" s="319"/>
      <c r="AR41" s="319"/>
      <c r="AS41" s="319"/>
      <c r="AT41" s="319"/>
      <c r="AU41" s="319"/>
      <c r="AV41" s="319"/>
      <c r="AW41" s="319"/>
      <c r="AX41" s="319"/>
      <c r="AY41" s="319"/>
      <c r="AZ41" s="319"/>
      <c r="BA41" s="319"/>
      <c r="BB41" s="319"/>
      <c r="BC41" s="319"/>
      <c r="BD41" s="319"/>
      <c r="BE41" s="319"/>
    </row>
    <row r="42" spans="1:57" ht="12" customHeight="1">
      <c r="A42" s="30"/>
      <c r="B42" s="125" t="str">
        <f>UPPER(LEFT(TRIM(Data!B44),1)) &amp; MID(TRIM(Data!B44),2,50)</f>
        <v>Melanoma in situ</v>
      </c>
      <c r="C42" s="125" t="str">
        <f>Data!C44</f>
        <v>D03</v>
      </c>
      <c r="D42" s="138">
        <f>Data!E44</f>
        <v>0</v>
      </c>
      <c r="E42" s="139">
        <f t="shared" si="5"/>
        <v>0</v>
      </c>
      <c r="F42" s="129">
        <f t="shared" si="6"/>
        <v>0</v>
      </c>
      <c r="G42" s="129">
        <f t="shared" si="7"/>
        <v>0</v>
      </c>
      <c r="H42" s="58"/>
      <c r="I42" s="58"/>
      <c r="J42" s="58"/>
      <c r="K42" s="58"/>
      <c r="L42" s="58"/>
      <c r="M42" s="58"/>
      <c r="N42" s="58"/>
      <c r="O42" s="58"/>
      <c r="P42" s="58"/>
      <c r="Q42" s="311"/>
      <c r="R42" s="327" t="s">
        <v>353</v>
      </c>
      <c r="S42" s="319">
        <f t="shared" si="2"/>
        <v>0</v>
      </c>
      <c r="T42" s="319">
        <f>Data!AN44/T$4*100000*T$3</f>
        <v>0</v>
      </c>
      <c r="U42" s="319">
        <f>Data!AO44/U$4*100000*U$3</f>
        <v>0</v>
      </c>
      <c r="V42" s="319">
        <f>Data!AP44/V$4*100000*V$3</f>
        <v>0</v>
      </c>
      <c r="W42" s="319">
        <f>Data!AQ44/W$4*100000*W$3</f>
        <v>0</v>
      </c>
      <c r="X42" s="319">
        <f>Data!AR44/X$4*100000*X$3</f>
        <v>0</v>
      </c>
      <c r="Y42" s="319">
        <f>Data!AS44/Y$4*100000*Y$3</f>
        <v>0</v>
      </c>
      <c r="Z42" s="319">
        <f>Data!AT44/Z$4*100000*Z$3</f>
        <v>0</v>
      </c>
      <c r="AA42" s="319">
        <f>Data!AU44/AA$4*100000*AA$3</f>
        <v>0</v>
      </c>
      <c r="AB42" s="319">
        <f>Data!AV44/AB$4*100000*AB$3</f>
        <v>0</v>
      </c>
      <c r="AC42" s="319">
        <f>Data!AW44/AC$4*100000*AC$3</f>
        <v>0</v>
      </c>
      <c r="AD42" s="319">
        <f>Data!AX44/AD$4*100000*AD$3</f>
        <v>0</v>
      </c>
      <c r="AE42" s="319">
        <f>Data!AY44/AE$4*100000*AE$3</f>
        <v>0</v>
      </c>
      <c r="AF42" s="319">
        <f>Data!AZ44/AF$4*100000*AF$3</f>
        <v>0</v>
      </c>
      <c r="AG42" s="319">
        <f>Data!BA44/AG$4*100000*AG$3</f>
        <v>0</v>
      </c>
      <c r="AH42" s="319">
        <f>Data!BB44/AH$4*100000*AH$3</f>
        <v>0</v>
      </c>
      <c r="AI42" s="319">
        <f>Data!BC44/AI$4*100000*AI$3</f>
        <v>0</v>
      </c>
      <c r="AJ42" s="319">
        <f>Data!BD44/AJ$4*100000*AJ$3</f>
        <v>0</v>
      </c>
      <c r="AK42" s="319">
        <f>Data!BE44/AK$4*100000*AK$3</f>
        <v>0</v>
      </c>
      <c r="AL42" s="327" t="s">
        <v>353</v>
      </c>
      <c r="AM42" s="319">
        <f t="shared" si="3"/>
        <v>0</v>
      </c>
      <c r="AN42" s="319">
        <f>Data!AN44/AN$4*100000*AN$3</f>
        <v>0</v>
      </c>
      <c r="AO42" s="319">
        <f>Data!AO44/AO$4*100000*AO$3</f>
        <v>0</v>
      </c>
      <c r="AP42" s="319">
        <f>Data!AP44/AP$4*100000*AP$3</f>
        <v>0</v>
      </c>
      <c r="AQ42" s="319">
        <f>Data!AQ44/AQ$4*100000*AQ$3</f>
        <v>0</v>
      </c>
      <c r="AR42" s="319">
        <f>Data!AR44/AR$4*100000*AR$3</f>
        <v>0</v>
      </c>
      <c r="AS42" s="319">
        <f>Data!AS44/AS$4*100000*AS$3</f>
        <v>0</v>
      </c>
      <c r="AT42" s="319">
        <f>Data!AT44/AT$4*100000*AT$3</f>
        <v>0</v>
      </c>
      <c r="AU42" s="319">
        <f>Data!AU44/AU$4*100000*AU$3</f>
        <v>0</v>
      </c>
      <c r="AV42" s="319">
        <f>Data!AV44/AV$4*100000*AV$3</f>
        <v>0</v>
      </c>
      <c r="AW42" s="319">
        <f>Data!AW44/AW$4*100000*AW$3</f>
        <v>0</v>
      </c>
      <c r="AX42" s="319">
        <f>Data!AX44/AX$4*100000*AX$3</f>
        <v>0</v>
      </c>
      <c r="AY42" s="319">
        <f>Data!AY44/AY$4*100000*AY$3</f>
        <v>0</v>
      </c>
      <c r="AZ42" s="319">
        <f>Data!AZ44/AZ$4*100000*AZ$3</f>
        <v>0</v>
      </c>
      <c r="BA42" s="319">
        <f>Data!BA44/BA$4*100000*BA$3</f>
        <v>0</v>
      </c>
      <c r="BB42" s="319">
        <f>Data!BB44/BB$4*100000*BB$3</f>
        <v>0</v>
      </c>
      <c r="BC42" s="319">
        <f>Data!BC44/BC$4*100000*BC$3</f>
        <v>0</v>
      </c>
      <c r="BD42" s="319">
        <f>Data!BD44/BD$4*100000*BD$3</f>
        <v>0</v>
      </c>
      <c r="BE42" s="319">
        <f>Data!BE44/BE$4*100000*BE$3</f>
        <v>0</v>
      </c>
    </row>
    <row r="43" spans="1:57" ht="12" customHeight="1">
      <c r="A43" s="30"/>
      <c r="B43" s="130" t="str">
        <f>UPPER(LEFT(TRIM(Data!B45),1)) &amp; MID(TRIM(Data!B45),2,50)</f>
        <v>Krūties navikai in situ</v>
      </c>
      <c r="C43" s="130" t="str">
        <f>Data!C45</f>
        <v>D05</v>
      </c>
      <c r="D43" s="131">
        <f>Data!E45</f>
        <v>0</v>
      </c>
      <c r="E43" s="132">
        <f t="shared" si="5"/>
        <v>0</v>
      </c>
      <c r="F43" s="133">
        <f t="shared" si="6"/>
        <v>0</v>
      </c>
      <c r="G43" s="133">
        <f t="shared" si="7"/>
        <v>0</v>
      </c>
      <c r="H43" s="58"/>
      <c r="I43" s="58"/>
      <c r="J43" s="58"/>
      <c r="K43" s="58"/>
      <c r="L43" s="58"/>
      <c r="M43" s="58"/>
      <c r="N43" s="58"/>
      <c r="O43" s="58"/>
      <c r="P43" s="58"/>
      <c r="Q43" s="311"/>
      <c r="R43" s="327" t="s">
        <v>353</v>
      </c>
      <c r="S43" s="319">
        <f t="shared" si="2"/>
        <v>0</v>
      </c>
      <c r="T43" s="319">
        <f>Data!AN45/T$4*100000*T$3</f>
        <v>0</v>
      </c>
      <c r="U43" s="319">
        <f>Data!AO45/U$4*100000*U$3</f>
        <v>0</v>
      </c>
      <c r="V43" s="319">
        <f>Data!AP45/V$4*100000*V$3</f>
        <v>0</v>
      </c>
      <c r="W43" s="319">
        <f>Data!AQ45/W$4*100000*W$3</f>
        <v>0</v>
      </c>
      <c r="X43" s="319">
        <f>Data!AR45/X$4*100000*X$3</f>
        <v>0</v>
      </c>
      <c r="Y43" s="319">
        <f>Data!AS45/Y$4*100000*Y$3</f>
        <v>0</v>
      </c>
      <c r="Z43" s="319">
        <f>Data!AT45/Z$4*100000*Z$3</f>
        <v>0</v>
      </c>
      <c r="AA43" s="319">
        <f>Data!AU45/AA$4*100000*AA$3</f>
        <v>0</v>
      </c>
      <c r="AB43" s="319">
        <f>Data!AV45/AB$4*100000*AB$3</f>
        <v>0</v>
      </c>
      <c r="AC43" s="319">
        <f>Data!AW45/AC$4*100000*AC$3</f>
        <v>0</v>
      </c>
      <c r="AD43" s="319">
        <f>Data!AX45/AD$4*100000*AD$3</f>
        <v>0</v>
      </c>
      <c r="AE43" s="319">
        <f>Data!AY45/AE$4*100000*AE$3</f>
        <v>0</v>
      </c>
      <c r="AF43" s="319">
        <f>Data!AZ45/AF$4*100000*AF$3</f>
        <v>0</v>
      </c>
      <c r="AG43" s="319">
        <f>Data!BA45/AG$4*100000*AG$3</f>
        <v>0</v>
      </c>
      <c r="AH43" s="319">
        <f>Data!BB45/AH$4*100000*AH$3</f>
        <v>0</v>
      </c>
      <c r="AI43" s="319">
        <f>Data!BC45/AI$4*100000*AI$3</f>
        <v>0</v>
      </c>
      <c r="AJ43" s="319">
        <f>Data!BD45/AJ$4*100000*AJ$3</f>
        <v>0</v>
      </c>
      <c r="AK43" s="319">
        <f>Data!BE45/AK$4*100000*AK$3</f>
        <v>0</v>
      </c>
      <c r="AL43" s="327" t="s">
        <v>353</v>
      </c>
      <c r="AM43" s="319">
        <f t="shared" si="3"/>
        <v>0</v>
      </c>
      <c r="AN43" s="319">
        <f>Data!AN45/AN$4*100000*AN$3</f>
        <v>0</v>
      </c>
      <c r="AO43" s="319">
        <f>Data!AO45/AO$4*100000*AO$3</f>
        <v>0</v>
      </c>
      <c r="AP43" s="319">
        <f>Data!AP45/AP$4*100000*AP$3</f>
        <v>0</v>
      </c>
      <c r="AQ43" s="319">
        <f>Data!AQ45/AQ$4*100000*AQ$3</f>
        <v>0</v>
      </c>
      <c r="AR43" s="319">
        <f>Data!AR45/AR$4*100000*AR$3</f>
        <v>0</v>
      </c>
      <c r="AS43" s="319">
        <f>Data!AS45/AS$4*100000*AS$3</f>
        <v>0</v>
      </c>
      <c r="AT43" s="319">
        <f>Data!AT45/AT$4*100000*AT$3</f>
        <v>0</v>
      </c>
      <c r="AU43" s="319">
        <f>Data!AU45/AU$4*100000*AU$3</f>
        <v>0</v>
      </c>
      <c r="AV43" s="319">
        <f>Data!AV45/AV$4*100000*AV$3</f>
        <v>0</v>
      </c>
      <c r="AW43" s="319">
        <f>Data!AW45/AW$4*100000*AW$3</f>
        <v>0</v>
      </c>
      <c r="AX43" s="319">
        <f>Data!AX45/AX$4*100000*AX$3</f>
        <v>0</v>
      </c>
      <c r="AY43" s="319">
        <f>Data!AY45/AY$4*100000*AY$3</f>
        <v>0</v>
      </c>
      <c r="AZ43" s="319">
        <f>Data!AZ45/AZ$4*100000*AZ$3</f>
        <v>0</v>
      </c>
      <c r="BA43" s="319">
        <f>Data!BA45/BA$4*100000*BA$3</f>
        <v>0</v>
      </c>
      <c r="BB43" s="319">
        <f>Data!BB45/BB$4*100000*BB$3</f>
        <v>0</v>
      </c>
      <c r="BC43" s="319">
        <f>Data!BC45/BC$4*100000*BC$3</f>
        <v>0</v>
      </c>
      <c r="BD43" s="319">
        <f>Data!BD45/BD$4*100000*BD$3</f>
        <v>0</v>
      </c>
      <c r="BE43" s="319">
        <f>Data!BE45/BE$4*100000*BE$3</f>
        <v>0</v>
      </c>
    </row>
    <row r="44" spans="1:57" ht="12" customHeight="1">
      <c r="A44" s="30"/>
      <c r="B44" s="125" t="str">
        <f>UPPER(LEFT(TRIM(Data!B47),1)) &amp; MID(TRIM(Data!B47),2,50)</f>
        <v>Šlapimo pūslės in situ</v>
      </c>
      <c r="C44" s="125" t="str">
        <f>Data!C47</f>
        <v>D09.0</v>
      </c>
      <c r="D44" s="138">
        <f>Data!E47</f>
        <v>0</v>
      </c>
      <c r="E44" s="139">
        <f t="shared" si="5"/>
        <v>0</v>
      </c>
      <c r="F44" s="129">
        <f t="shared" si="6"/>
        <v>0</v>
      </c>
      <c r="G44" s="129">
        <f t="shared" si="7"/>
        <v>0</v>
      </c>
      <c r="H44" s="58"/>
      <c r="I44" s="58"/>
      <c r="J44" s="58"/>
      <c r="K44" s="58"/>
      <c r="L44" s="58"/>
      <c r="M44" s="58"/>
      <c r="N44" s="58"/>
      <c r="O44" s="58"/>
      <c r="P44" s="58"/>
      <c r="Q44" s="311"/>
      <c r="R44" s="327" t="s">
        <v>353</v>
      </c>
      <c r="S44" s="319">
        <f t="shared" si="2"/>
        <v>0</v>
      </c>
      <c r="T44" s="319">
        <f>Data!AN47/T$4*100000*T$3</f>
        <v>0</v>
      </c>
      <c r="U44" s="319">
        <f>Data!AO47/U$4*100000*U$3</f>
        <v>0</v>
      </c>
      <c r="V44" s="319">
        <f>Data!AP47/V$4*100000*V$3</f>
        <v>0</v>
      </c>
      <c r="W44" s="319">
        <f>Data!AQ47/W$4*100000*W$3</f>
        <v>0</v>
      </c>
      <c r="X44" s="319">
        <f>Data!AR47/X$4*100000*X$3</f>
        <v>0</v>
      </c>
      <c r="Y44" s="319">
        <f>Data!AS47/Y$4*100000*Y$3</f>
        <v>0</v>
      </c>
      <c r="Z44" s="319">
        <f>Data!AT47/Z$4*100000*Z$3</f>
        <v>0</v>
      </c>
      <c r="AA44" s="319">
        <f>Data!AU47/AA$4*100000*AA$3</f>
        <v>0</v>
      </c>
      <c r="AB44" s="319">
        <f>Data!AV47/AB$4*100000*AB$3</f>
        <v>0</v>
      </c>
      <c r="AC44" s="319">
        <f>Data!AW47/AC$4*100000*AC$3</f>
        <v>0</v>
      </c>
      <c r="AD44" s="319">
        <f>Data!AX47/AD$4*100000*AD$3</f>
        <v>0</v>
      </c>
      <c r="AE44" s="319">
        <f>Data!AY47/AE$4*100000*AE$3</f>
        <v>0</v>
      </c>
      <c r="AF44" s="319">
        <f>Data!AZ47/AF$4*100000*AF$3</f>
        <v>0</v>
      </c>
      <c r="AG44" s="319">
        <f>Data!BA47/AG$4*100000*AG$3</f>
        <v>0</v>
      </c>
      <c r="AH44" s="319">
        <f>Data!BB47/AH$4*100000*AH$3</f>
        <v>0</v>
      </c>
      <c r="AI44" s="319">
        <f>Data!BC47/AI$4*100000*AI$3</f>
        <v>0</v>
      </c>
      <c r="AJ44" s="319">
        <f>Data!BD47/AJ$4*100000*AJ$3</f>
        <v>0</v>
      </c>
      <c r="AK44" s="319">
        <f>Data!BE47/AK$4*100000*AK$3</f>
        <v>0</v>
      </c>
      <c r="AL44" s="327" t="s">
        <v>353</v>
      </c>
      <c r="AM44" s="319">
        <f t="shared" si="3"/>
        <v>0</v>
      </c>
      <c r="AN44" s="319">
        <f>Data!AN47/AN$4*100000*AN$3</f>
        <v>0</v>
      </c>
      <c r="AO44" s="319">
        <f>Data!AO47/AO$4*100000*AO$3</f>
        <v>0</v>
      </c>
      <c r="AP44" s="319">
        <f>Data!AP47/AP$4*100000*AP$3</f>
        <v>0</v>
      </c>
      <c r="AQ44" s="319">
        <f>Data!AQ47/AQ$4*100000*AQ$3</f>
        <v>0</v>
      </c>
      <c r="AR44" s="319">
        <f>Data!AR47/AR$4*100000*AR$3</f>
        <v>0</v>
      </c>
      <c r="AS44" s="319">
        <f>Data!AS47/AS$4*100000*AS$3</f>
        <v>0</v>
      </c>
      <c r="AT44" s="319">
        <f>Data!AT47/AT$4*100000*AT$3</f>
        <v>0</v>
      </c>
      <c r="AU44" s="319">
        <f>Data!AU47/AU$4*100000*AU$3</f>
        <v>0</v>
      </c>
      <c r="AV44" s="319">
        <f>Data!AV47/AV$4*100000*AV$3</f>
        <v>0</v>
      </c>
      <c r="AW44" s="319">
        <f>Data!AW47/AW$4*100000*AW$3</f>
        <v>0</v>
      </c>
      <c r="AX44" s="319">
        <f>Data!AX47/AX$4*100000*AX$3</f>
        <v>0</v>
      </c>
      <c r="AY44" s="319">
        <f>Data!AY47/AY$4*100000*AY$3</f>
        <v>0</v>
      </c>
      <c r="AZ44" s="319">
        <f>Data!AZ47/AZ$4*100000*AZ$3</f>
        <v>0</v>
      </c>
      <c r="BA44" s="319">
        <f>Data!BA47/BA$4*100000*BA$3</f>
        <v>0</v>
      </c>
      <c r="BB44" s="319">
        <f>Data!BB47/BB$4*100000*BB$3</f>
        <v>0</v>
      </c>
      <c r="BC44" s="319">
        <f>Data!BC47/BC$4*100000*BC$3</f>
        <v>0</v>
      </c>
      <c r="BD44" s="319">
        <f>Data!BD47/BD$4*100000*BD$3</f>
        <v>0</v>
      </c>
      <c r="BE44" s="319">
        <f>Data!BE47/BE$4*100000*BE$3</f>
        <v>0</v>
      </c>
    </row>
    <row r="45" spans="1:57" ht="12" customHeight="1">
      <c r="A45" s="30"/>
      <c r="B45" s="130" t="str">
        <f>UPPER(LEFT(TRIM(Data!B48),1)) &amp; MID(TRIM(Data!B48),2,50)</f>
        <v>Nervų sistemos gerybiniai navikai</v>
      </c>
      <c r="C45" s="130" t="str">
        <f>Data!C48</f>
        <v>D32, D33</v>
      </c>
      <c r="D45" s="131">
        <f>Data!E48</f>
        <v>11</v>
      </c>
      <c r="E45" s="132">
        <f t="shared" si="5"/>
        <v>0.81413576528021803</v>
      </c>
      <c r="F45" s="133">
        <f t="shared" si="6"/>
        <v>0.68630274770791788</v>
      </c>
      <c r="G45" s="133">
        <f t="shared" si="7"/>
        <v>0.42039538326910159</v>
      </c>
      <c r="H45" s="58"/>
      <c r="I45" s="58"/>
      <c r="J45" s="58"/>
      <c r="K45" s="58"/>
      <c r="L45" s="58"/>
      <c r="M45" s="58"/>
      <c r="N45" s="58"/>
      <c r="O45" s="58"/>
      <c r="P45" s="58"/>
      <c r="Q45" s="311"/>
      <c r="R45" s="327" t="s">
        <v>353</v>
      </c>
      <c r="S45" s="319">
        <f t="shared" si="2"/>
        <v>68630.274770791788</v>
      </c>
      <c r="T45" s="319">
        <f>Data!AN48/T$4*100000*T$3</f>
        <v>0</v>
      </c>
      <c r="U45" s="319">
        <f>Data!AO48/U$4*100000*U$3</f>
        <v>0</v>
      </c>
      <c r="V45" s="319">
        <f>Data!AP48/V$4*100000*V$3</f>
        <v>0</v>
      </c>
      <c r="W45" s="319">
        <f>Data!AQ48/W$4*100000*W$3</f>
        <v>0</v>
      </c>
      <c r="X45" s="319">
        <f>Data!AR48/X$4*100000*X$3</f>
        <v>0</v>
      </c>
      <c r="Y45" s="319">
        <f>Data!AS48/Y$4*100000*Y$3</f>
        <v>0</v>
      </c>
      <c r="Z45" s="319">
        <f>Data!AT48/Z$4*100000*Z$3</f>
        <v>0</v>
      </c>
      <c r="AA45" s="319">
        <f>Data!AU48/AA$4*100000*AA$3</f>
        <v>0</v>
      </c>
      <c r="AB45" s="319">
        <f>Data!AV48/AB$4*100000*AB$3</f>
        <v>0</v>
      </c>
      <c r="AC45" s="319">
        <f>Data!AW48/AC$4*100000*AC$3</f>
        <v>0</v>
      </c>
      <c r="AD45" s="319">
        <f>Data!AX48/AD$4*100000*AD$3</f>
        <v>0</v>
      </c>
      <c r="AE45" s="319">
        <f>Data!AY48/AE$4*100000*AE$3</f>
        <v>0</v>
      </c>
      <c r="AF45" s="319">
        <f>Data!AZ48/AF$4*100000*AF$3</f>
        <v>6895.8859144634307</v>
      </c>
      <c r="AG45" s="319">
        <f>Data!BA48/AG$4*100000*AG$3</f>
        <v>14497.743788622894</v>
      </c>
      <c r="AH45" s="319">
        <f>Data!BB48/AH$4*100000*AH$3</f>
        <v>12187.195320116996</v>
      </c>
      <c r="AI45" s="319">
        <f>Data!BC48/AI$4*100000*AI$3</f>
        <v>10141.473556107703</v>
      </c>
      <c r="AJ45" s="319">
        <f>Data!BD48/AJ$4*100000*AJ$3</f>
        <v>4004.9661580359643</v>
      </c>
      <c r="AK45" s="319">
        <f>Data!BE48/AK$4*100000*AK$3</f>
        <v>20903.010033444814</v>
      </c>
      <c r="AL45" s="327" t="s">
        <v>353</v>
      </c>
      <c r="AM45" s="319">
        <f t="shared" si="3"/>
        <v>42039.538326910159</v>
      </c>
      <c r="AN45" s="319">
        <f>Data!AN48/AN$4*100000*AN$3</f>
        <v>0</v>
      </c>
      <c r="AO45" s="319">
        <f>Data!AO48/AO$4*100000*AO$3</f>
        <v>0</v>
      </c>
      <c r="AP45" s="319">
        <f>Data!AP48/AP$4*100000*AP$3</f>
        <v>0</v>
      </c>
      <c r="AQ45" s="319">
        <f>Data!AQ48/AQ$4*100000*AQ$3</f>
        <v>0</v>
      </c>
      <c r="AR45" s="319">
        <f>Data!AR48/AR$4*100000*AR$3</f>
        <v>0</v>
      </c>
      <c r="AS45" s="319">
        <f>Data!AS48/AS$4*100000*AS$3</f>
        <v>0</v>
      </c>
      <c r="AT45" s="319">
        <f>Data!AT48/AT$4*100000*AT$3</f>
        <v>0</v>
      </c>
      <c r="AU45" s="319">
        <f>Data!AU48/AU$4*100000*AU$3</f>
        <v>0</v>
      </c>
      <c r="AV45" s="319">
        <f>Data!AV48/AV$4*100000*AV$3</f>
        <v>0</v>
      </c>
      <c r="AW45" s="319">
        <f>Data!AW48/AW$4*100000*AW$3</f>
        <v>0</v>
      </c>
      <c r="AX45" s="319">
        <f>Data!AX48/AX$4*100000*AX$3</f>
        <v>0</v>
      </c>
      <c r="AY45" s="319">
        <f>Data!AY48/AY$4*100000*AY$3</f>
        <v>0</v>
      </c>
      <c r="AZ45" s="319">
        <f>Data!AZ48/AZ$4*100000*AZ$3</f>
        <v>5516.7087315707449</v>
      </c>
      <c r="BA45" s="319">
        <f>Data!BA48/BA$4*100000*BA$3</f>
        <v>10873.307841467171</v>
      </c>
      <c r="BB45" s="319">
        <f>Data!BB48/BB$4*100000*BB$3</f>
        <v>8124.7968800779981</v>
      </c>
      <c r="BC45" s="319">
        <f>Data!BC48/BC$4*100000*BC$3</f>
        <v>5070.7367780538516</v>
      </c>
      <c r="BD45" s="319">
        <f>Data!BD48/BD$4*100000*BD$3</f>
        <v>2002.4830790179822</v>
      </c>
      <c r="BE45" s="319">
        <f>Data!BE48/BE$4*100000*BE$3</f>
        <v>10451.505016722407</v>
      </c>
    </row>
    <row r="46" spans="1:57" ht="12" customHeight="1">
      <c r="A46" s="30"/>
      <c r="B46" s="125" t="str">
        <f>UPPER(LEFT(TRIM(Data!B50),1)) &amp; MID(TRIM(Data!B50),2,50)</f>
        <v>Kiti nervų sistemos</v>
      </c>
      <c r="C46" s="125" t="str">
        <f>Data!C50</f>
        <v>D42, D43</v>
      </c>
      <c r="D46" s="138">
        <f>Data!E50</f>
        <v>4</v>
      </c>
      <c r="E46" s="139">
        <f t="shared" si="5"/>
        <v>0.29604936919280661</v>
      </c>
      <c r="F46" s="129">
        <f t="shared" si="6"/>
        <v>0.31191231856998558</v>
      </c>
      <c r="G46" s="129">
        <f t="shared" si="7"/>
        <v>0.29190065302841017</v>
      </c>
      <c r="H46" s="58"/>
      <c r="I46" s="58"/>
      <c r="J46" s="58"/>
      <c r="K46" s="58"/>
      <c r="L46" s="58"/>
      <c r="M46" s="58"/>
      <c r="N46" s="58"/>
      <c r="O46" s="58"/>
      <c r="P46" s="58"/>
      <c r="Q46" s="311"/>
      <c r="R46" s="327" t="s">
        <v>353</v>
      </c>
      <c r="S46" s="319">
        <f t="shared" si="2"/>
        <v>31191.231856998558</v>
      </c>
      <c r="T46" s="319">
        <f>Data!AN50/T$4*100000*T$3</f>
        <v>0</v>
      </c>
      <c r="U46" s="319">
        <f>Data!AO50/U$4*100000*U$3</f>
        <v>10009.723731625007</v>
      </c>
      <c r="V46" s="319">
        <f>Data!AP50/V$4*100000*V$3</f>
        <v>0</v>
      </c>
      <c r="W46" s="319">
        <f>Data!AQ50/W$4*100000*W$3</f>
        <v>0</v>
      </c>
      <c r="X46" s="319">
        <f>Data!AR50/X$4*100000*X$3</f>
        <v>0</v>
      </c>
      <c r="Y46" s="319">
        <f>Data!AS50/Y$4*100000*Y$3</f>
        <v>0</v>
      </c>
      <c r="Z46" s="319">
        <f>Data!AT50/Z$4*100000*Z$3</f>
        <v>0</v>
      </c>
      <c r="AA46" s="319">
        <f>Data!AU50/AA$4*100000*AA$3</f>
        <v>0</v>
      </c>
      <c r="AB46" s="319">
        <f>Data!AV50/AB$4*100000*AB$3</f>
        <v>0</v>
      </c>
      <c r="AC46" s="319">
        <f>Data!AW50/AC$4*100000*AC$3</f>
        <v>6964.9662199138338</v>
      </c>
      <c r="AD46" s="319">
        <f>Data!AX50/AD$4*100000*AD$3</f>
        <v>0</v>
      </c>
      <c r="AE46" s="319">
        <f>Data!AY50/AE$4*100000*AE$3</f>
        <v>0</v>
      </c>
      <c r="AF46" s="319">
        <f>Data!AZ50/AF$4*100000*AF$3</f>
        <v>0</v>
      </c>
      <c r="AG46" s="319">
        <f>Data!BA50/AG$4*100000*AG$3</f>
        <v>7248.8718943114472</v>
      </c>
      <c r="AH46" s="319">
        <f>Data!BB50/AH$4*100000*AH$3</f>
        <v>0</v>
      </c>
      <c r="AI46" s="319">
        <f>Data!BC50/AI$4*100000*AI$3</f>
        <v>0</v>
      </c>
      <c r="AJ46" s="319">
        <f>Data!BD50/AJ$4*100000*AJ$3</f>
        <v>0</v>
      </c>
      <c r="AK46" s="319">
        <f>Data!BE50/AK$4*100000*AK$3</f>
        <v>6967.6700111482714</v>
      </c>
      <c r="AL46" s="327" t="s">
        <v>353</v>
      </c>
      <c r="AM46" s="319">
        <f t="shared" si="3"/>
        <v>29190.065302841016</v>
      </c>
      <c r="AN46" s="319">
        <f>Data!AN50/AN$4*100000*AN$3</f>
        <v>0</v>
      </c>
      <c r="AO46" s="319">
        <f>Data!AO50/AO$4*100000*AO$3</f>
        <v>14299.605330892866</v>
      </c>
      <c r="AP46" s="319">
        <f>Data!AP50/AP$4*100000*AP$3</f>
        <v>0</v>
      </c>
      <c r="AQ46" s="319">
        <f>Data!AQ50/AQ$4*100000*AQ$3</f>
        <v>0</v>
      </c>
      <c r="AR46" s="319">
        <f>Data!AR50/AR$4*100000*AR$3</f>
        <v>0</v>
      </c>
      <c r="AS46" s="319">
        <f>Data!AS50/AS$4*100000*AS$3</f>
        <v>0</v>
      </c>
      <c r="AT46" s="319">
        <f>Data!AT50/AT$4*100000*AT$3</f>
        <v>0</v>
      </c>
      <c r="AU46" s="319">
        <f>Data!AU50/AU$4*100000*AU$3</f>
        <v>0</v>
      </c>
      <c r="AV46" s="319">
        <f>Data!AV50/AV$4*100000*AV$3</f>
        <v>0</v>
      </c>
      <c r="AW46" s="319">
        <f>Data!AW50/AW$4*100000*AW$3</f>
        <v>5969.9710456404291</v>
      </c>
      <c r="AX46" s="319">
        <f>Data!AX50/AX$4*100000*AX$3</f>
        <v>0</v>
      </c>
      <c r="AY46" s="319">
        <f>Data!AY50/AY$4*100000*AY$3</f>
        <v>0</v>
      </c>
      <c r="AZ46" s="319">
        <f>Data!AZ50/AZ$4*100000*AZ$3</f>
        <v>0</v>
      </c>
      <c r="BA46" s="319">
        <f>Data!BA50/BA$4*100000*BA$3</f>
        <v>5436.6539207335854</v>
      </c>
      <c r="BB46" s="319">
        <f>Data!BB50/BB$4*100000*BB$3</f>
        <v>0</v>
      </c>
      <c r="BC46" s="319">
        <f>Data!BC50/BC$4*100000*BC$3</f>
        <v>0</v>
      </c>
      <c r="BD46" s="319">
        <f>Data!BD50/BD$4*100000*BD$3</f>
        <v>0</v>
      </c>
      <c r="BE46" s="319">
        <f>Data!BE50/BE$4*100000*BE$3</f>
        <v>3483.8350055741357</v>
      </c>
    </row>
    <row r="47" spans="1:57" ht="12" customHeight="1">
      <c r="A47" s="30"/>
      <c r="B47" s="130" t="str">
        <f>UPPER(LEFT(TRIM(Data!B51),1)) &amp; MID(TRIM(Data!B51),2,50)</f>
        <v>Limfinio ir kraujodaros audinių</v>
      </c>
      <c r="C47" s="130" t="str">
        <f>Data!C51</f>
        <v>D45-D47</v>
      </c>
      <c r="D47" s="131">
        <f>Data!E51</f>
        <v>35</v>
      </c>
      <c r="E47" s="132">
        <f t="shared" si="5"/>
        <v>2.5904319804370579</v>
      </c>
      <c r="F47" s="133">
        <f t="shared" si="6"/>
        <v>1.9822540302408493</v>
      </c>
      <c r="G47" s="133">
        <f t="shared" si="7"/>
        <v>1.2498214955189648</v>
      </c>
      <c r="H47" s="58"/>
      <c r="I47" s="58"/>
      <c r="J47" s="58"/>
      <c r="K47" s="58"/>
      <c r="L47" s="58"/>
      <c r="M47" s="58"/>
      <c r="N47" s="58"/>
      <c r="O47" s="58"/>
      <c r="P47" s="58"/>
      <c r="Q47" s="311"/>
      <c r="R47" s="327" t="s">
        <v>353</v>
      </c>
      <c r="S47" s="319">
        <f t="shared" si="2"/>
        <v>198225.40302408492</v>
      </c>
      <c r="T47" s="319">
        <f>Data!AN51/T$4*100000*T$3</f>
        <v>0</v>
      </c>
      <c r="U47" s="319">
        <f>Data!AO51/U$4*100000*U$3</f>
        <v>0</v>
      </c>
      <c r="V47" s="319">
        <f>Data!AP51/V$4*100000*V$3</f>
        <v>0</v>
      </c>
      <c r="W47" s="319">
        <f>Data!AQ51/W$4*100000*W$3</f>
        <v>0</v>
      </c>
      <c r="X47" s="319">
        <f>Data!AR51/X$4*100000*X$3</f>
        <v>0</v>
      </c>
      <c r="Y47" s="319">
        <f>Data!AS51/Y$4*100000*Y$3</f>
        <v>0</v>
      </c>
      <c r="Z47" s="319">
        <f>Data!AT51/Z$4*100000*Z$3</f>
        <v>0</v>
      </c>
      <c r="AA47" s="319">
        <f>Data!AU51/AA$4*100000*AA$3</f>
        <v>0</v>
      </c>
      <c r="AB47" s="319">
        <f>Data!AV51/AB$4*100000*AB$3</f>
        <v>0</v>
      </c>
      <c r="AC47" s="319">
        <f>Data!AW51/AC$4*100000*AC$3</f>
        <v>0</v>
      </c>
      <c r="AD47" s="319">
        <f>Data!AX51/AD$4*100000*AD$3</f>
        <v>0</v>
      </c>
      <c r="AE47" s="319">
        <f>Data!AY51/AE$4*100000*AE$3</f>
        <v>19417.894668709141</v>
      </c>
      <c r="AF47" s="319">
        <f>Data!AZ51/AF$4*100000*AF$3</f>
        <v>27583.543657853723</v>
      </c>
      <c r="AG47" s="319">
        <f>Data!BA51/AG$4*100000*AG$3</f>
        <v>28995.487577245789</v>
      </c>
      <c r="AH47" s="319">
        <f>Data!BB51/AH$4*100000*AH$3</f>
        <v>42655.183620409487</v>
      </c>
      <c r="AI47" s="319">
        <f>Data!BC51/AI$4*100000*AI$3</f>
        <v>40565.894224430813</v>
      </c>
      <c r="AJ47" s="319">
        <f>Data!BD51/AJ$4*100000*AJ$3</f>
        <v>32039.729264287715</v>
      </c>
      <c r="AK47" s="319">
        <f>Data!BE51/AK$4*100000*AK$3</f>
        <v>6967.6700111482714</v>
      </c>
      <c r="AL47" s="327" t="s">
        <v>353</v>
      </c>
      <c r="AM47" s="319">
        <f t="shared" si="3"/>
        <v>124982.14955189648</v>
      </c>
      <c r="AN47" s="319">
        <f>Data!AN51/AN$4*100000*AN$3</f>
        <v>0</v>
      </c>
      <c r="AO47" s="319">
        <f>Data!AO51/AO$4*100000*AO$3</f>
        <v>0</v>
      </c>
      <c r="AP47" s="319">
        <f>Data!AP51/AP$4*100000*AP$3</f>
        <v>0</v>
      </c>
      <c r="AQ47" s="319">
        <f>Data!AQ51/AQ$4*100000*AQ$3</f>
        <v>0</v>
      </c>
      <c r="AR47" s="319">
        <f>Data!AR51/AR$4*100000*AR$3</f>
        <v>0</v>
      </c>
      <c r="AS47" s="319">
        <f>Data!AS51/AS$4*100000*AS$3</f>
        <v>0</v>
      </c>
      <c r="AT47" s="319">
        <f>Data!AT51/AT$4*100000*AT$3</f>
        <v>0</v>
      </c>
      <c r="AU47" s="319">
        <f>Data!AU51/AU$4*100000*AU$3</f>
        <v>0</v>
      </c>
      <c r="AV47" s="319">
        <f>Data!AV51/AV$4*100000*AV$3</f>
        <v>0</v>
      </c>
      <c r="AW47" s="319">
        <f>Data!AW51/AW$4*100000*AW$3</f>
        <v>0</v>
      </c>
      <c r="AX47" s="319">
        <f>Data!AX51/AX$4*100000*AX$3</f>
        <v>0</v>
      </c>
      <c r="AY47" s="319">
        <f>Data!AY51/AY$4*100000*AY$3</f>
        <v>12945.263112472761</v>
      </c>
      <c r="AZ47" s="319">
        <f>Data!AZ51/AZ$4*100000*AZ$3</f>
        <v>22066.83492628298</v>
      </c>
      <c r="BA47" s="319">
        <f>Data!BA51/BA$4*100000*BA$3</f>
        <v>21746.615682934342</v>
      </c>
      <c r="BB47" s="319">
        <f>Data!BB51/BB$4*100000*BB$3</f>
        <v>28436.789080272993</v>
      </c>
      <c r="BC47" s="319">
        <f>Data!BC51/BC$4*100000*BC$3</f>
        <v>20282.947112215406</v>
      </c>
      <c r="BD47" s="319">
        <f>Data!BD51/BD$4*100000*BD$3</f>
        <v>16019.864632143857</v>
      </c>
      <c r="BE47" s="319">
        <f>Data!BE51/BE$4*100000*BE$3</f>
        <v>3483.8350055741357</v>
      </c>
    </row>
    <row r="48" spans="1:57">
      <c r="A48" s="30"/>
      <c r="B48" s="30"/>
      <c r="C48" s="30"/>
      <c r="D48" s="30"/>
      <c r="E48" s="30"/>
      <c r="F48" s="30"/>
      <c r="G48" s="30"/>
      <c r="H48" s="58"/>
      <c r="I48" s="58"/>
      <c r="J48" s="58"/>
      <c r="K48" s="58"/>
      <c r="L48" s="58"/>
      <c r="M48" s="58"/>
      <c r="N48" s="58"/>
      <c r="O48" s="58"/>
      <c r="P48" s="58"/>
    </row>
    <row r="49" spans="1:37">
      <c r="A49" s="30"/>
      <c r="B49" s="30"/>
      <c r="C49" s="30"/>
      <c r="D49" s="30"/>
      <c r="E49" s="30"/>
      <c r="F49" s="30"/>
      <c r="G49" s="30"/>
      <c r="H49" s="58"/>
      <c r="I49" s="58"/>
      <c r="J49" s="58"/>
      <c r="K49" s="58"/>
      <c r="L49" s="58"/>
      <c r="M49" s="58"/>
      <c r="N49" s="58"/>
      <c r="O49" s="58"/>
      <c r="P49" s="58"/>
    </row>
    <row r="50" spans="1:37">
      <c r="R50" s="34" t="s">
        <v>408</v>
      </c>
      <c r="S50" s="33">
        <f>SUM(T50:AK50)</f>
        <v>100000</v>
      </c>
      <c r="T50" s="55">
        <v>8000</v>
      </c>
      <c r="U50" s="55">
        <v>7000</v>
      </c>
      <c r="V50" s="55">
        <v>7000</v>
      </c>
      <c r="W50" s="55">
        <v>7000</v>
      </c>
      <c r="X50" s="55">
        <v>7000</v>
      </c>
      <c r="Y50" s="55">
        <v>7000</v>
      </c>
      <c r="Z50" s="55">
        <v>7000</v>
      </c>
      <c r="AA50" s="55">
        <v>7000</v>
      </c>
      <c r="AB50" s="55">
        <v>7000</v>
      </c>
      <c r="AC50" s="55">
        <v>7000</v>
      </c>
      <c r="AD50" s="55">
        <v>7000</v>
      </c>
      <c r="AE50" s="55">
        <v>6000</v>
      </c>
      <c r="AF50" s="55">
        <v>5000</v>
      </c>
      <c r="AG50" s="55">
        <v>4000</v>
      </c>
      <c r="AH50" s="55">
        <v>3000</v>
      </c>
      <c r="AI50" s="55">
        <v>2000</v>
      </c>
      <c r="AJ50" s="55">
        <v>1000</v>
      </c>
      <c r="AK50" s="55">
        <v>1000</v>
      </c>
    </row>
    <row r="51" spans="1:37">
      <c r="R51" s="34" t="s">
        <v>409</v>
      </c>
      <c r="S51">
        <v>100000</v>
      </c>
      <c r="T51">
        <v>12000</v>
      </c>
      <c r="U51">
        <v>10000</v>
      </c>
      <c r="V51">
        <v>9000</v>
      </c>
      <c r="W51">
        <v>9000</v>
      </c>
      <c r="X51">
        <v>8000</v>
      </c>
      <c r="Y51">
        <v>8000</v>
      </c>
      <c r="Z51">
        <v>6000</v>
      </c>
      <c r="AA51">
        <v>6000</v>
      </c>
      <c r="AB51">
        <v>6000</v>
      </c>
      <c r="AC51">
        <v>6000</v>
      </c>
      <c r="AD51">
        <v>5000</v>
      </c>
      <c r="AE51">
        <v>4000</v>
      </c>
      <c r="AF51">
        <v>4000</v>
      </c>
      <c r="AG51">
        <v>3000</v>
      </c>
      <c r="AH51">
        <v>2000</v>
      </c>
      <c r="AI51">
        <v>1000</v>
      </c>
      <c r="AJ51">
        <v>500</v>
      </c>
      <c r="AK51">
        <v>500</v>
      </c>
    </row>
  </sheetData>
  <mergeCells count="9">
    <mergeCell ref="B1:D1"/>
    <mergeCell ref="AN2:AP2"/>
    <mergeCell ref="T2:V2"/>
    <mergeCell ref="F4:G4"/>
    <mergeCell ref="C4:C5"/>
    <mergeCell ref="B4:B5"/>
    <mergeCell ref="D4:D5"/>
    <mergeCell ref="E4:E5"/>
    <mergeCell ref="R1:R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0.39997558519241921"/>
  </sheetPr>
  <dimension ref="A1:G39"/>
  <sheetViews>
    <sheetView workbookViewId="0">
      <selection activeCell="D1" sqref="D1"/>
    </sheetView>
  </sheetViews>
  <sheetFormatPr defaultRowHeight="12.75"/>
  <cols>
    <col min="1" max="1" width="28.140625" bestFit="1" customWidth="1"/>
    <col min="2" max="2" width="5" bestFit="1" customWidth="1"/>
    <col min="3" max="3" width="5.7109375" bestFit="1" customWidth="1"/>
    <col min="5" max="5" width="24" bestFit="1" customWidth="1"/>
  </cols>
  <sheetData>
    <row r="1" spans="1:7">
      <c r="A1" s="402" t="s">
        <v>485</v>
      </c>
      <c r="B1" s="402"/>
      <c r="C1" s="402"/>
      <c r="E1" s="402" t="s">
        <v>487</v>
      </c>
      <c r="F1" s="402"/>
      <c r="G1" s="402"/>
    </row>
    <row r="2" spans="1:7">
      <c r="A2" t="s">
        <v>26</v>
      </c>
      <c r="B2">
        <v>2591</v>
      </c>
      <c r="C2" s="28">
        <f t="shared" ref="C2:C12" si="0">B2/$B$13</f>
        <v>0.32314791718633074</v>
      </c>
      <c r="E2" t="s">
        <v>26</v>
      </c>
      <c r="F2">
        <v>259</v>
      </c>
      <c r="G2" s="28">
        <f t="shared" ref="G2:G12" si="1">F2/$F$13</f>
        <v>0.29365079365079366</v>
      </c>
    </row>
    <row r="3" spans="1:7">
      <c r="A3" t="s">
        <v>231</v>
      </c>
      <c r="B3">
        <f>Data!E27+Data!BR27</f>
        <v>272</v>
      </c>
      <c r="C3" s="28">
        <f t="shared" si="0"/>
        <v>3.3923671738588179E-2</v>
      </c>
      <c r="E3" t="s">
        <v>423</v>
      </c>
      <c r="F3">
        <f>Data!BH8+Data!DU8</f>
        <v>35</v>
      </c>
      <c r="G3" s="28">
        <f t="shared" si="1"/>
        <v>3.968253968253968E-2</v>
      </c>
    </row>
    <row r="4" spans="1:7">
      <c r="A4" t="s">
        <v>213</v>
      </c>
      <c r="B4">
        <f>Data!E31+Data!BR31</f>
        <v>277</v>
      </c>
      <c r="C4" s="28">
        <f t="shared" si="0"/>
        <v>3.4547268645547517E-2</v>
      </c>
      <c r="E4" t="s">
        <v>237</v>
      </c>
      <c r="F4">
        <f>Data!BH38+Data!DU38</f>
        <v>35</v>
      </c>
      <c r="G4" s="28">
        <f t="shared" si="1"/>
        <v>3.968253968253968E-2</v>
      </c>
    </row>
    <row r="5" spans="1:7">
      <c r="A5" t="s">
        <v>237</v>
      </c>
      <c r="B5">
        <f>Data!E38+Data!BR38</f>
        <v>399</v>
      </c>
      <c r="C5" s="28">
        <f t="shared" si="0"/>
        <v>4.9763033175355451E-2</v>
      </c>
      <c r="E5" t="s">
        <v>231</v>
      </c>
      <c r="F5">
        <f>Data!BH27+Data!DU27</f>
        <v>44</v>
      </c>
      <c r="G5" s="28">
        <f t="shared" si="1"/>
        <v>4.9886621315192746E-2</v>
      </c>
    </row>
    <row r="6" spans="1:7">
      <c r="A6" t="s">
        <v>212</v>
      </c>
      <c r="B6">
        <f>Data!E11+Data!BR11</f>
        <v>431</v>
      </c>
      <c r="C6" s="28">
        <f t="shared" si="0"/>
        <v>5.3754053379895236E-2</v>
      </c>
      <c r="E6" t="s">
        <v>225</v>
      </c>
      <c r="F6">
        <f>Data!BH35+Data!DU35</f>
        <v>46</v>
      </c>
      <c r="G6" s="28">
        <f t="shared" si="1"/>
        <v>5.2154195011337869E-2</v>
      </c>
    </row>
    <row r="7" spans="1:7">
      <c r="A7" t="s">
        <v>219</v>
      </c>
      <c r="B7">
        <f>Data!E14+Data!BR14</f>
        <v>474</v>
      </c>
      <c r="C7" s="28">
        <f t="shared" si="0"/>
        <v>5.911698677974557E-2</v>
      </c>
      <c r="E7" t="s">
        <v>219</v>
      </c>
      <c r="F7">
        <f>Data!BH14+Data!DU14</f>
        <v>56</v>
      </c>
      <c r="G7" s="28">
        <f t="shared" si="1"/>
        <v>6.3492063492063489E-2</v>
      </c>
    </row>
    <row r="8" spans="1:7">
      <c r="A8" t="s">
        <v>214</v>
      </c>
      <c r="B8">
        <f>Data!E10+Data!BR10</f>
        <v>500</v>
      </c>
      <c r="C8" s="28">
        <f t="shared" si="0"/>
        <v>6.2359690695934146E-2</v>
      </c>
      <c r="E8" t="s">
        <v>232</v>
      </c>
      <c r="F8">
        <f>Data!BH25+Data!DU25</f>
        <v>58</v>
      </c>
      <c r="G8" s="28">
        <f t="shared" si="1"/>
        <v>6.5759637188208611E-2</v>
      </c>
    </row>
    <row r="9" spans="1:7">
      <c r="A9" t="s">
        <v>234</v>
      </c>
      <c r="B9">
        <f>Data!E23+Data!BR23</f>
        <v>520</v>
      </c>
      <c r="C9" s="28">
        <f t="shared" si="0"/>
        <v>6.4854078323771519E-2</v>
      </c>
      <c r="E9" t="s">
        <v>211</v>
      </c>
      <c r="F9">
        <f>Data!BH7+Data!DU7</f>
        <v>60</v>
      </c>
      <c r="G9" s="28">
        <f t="shared" si="1"/>
        <v>6.8027210884353748E-2</v>
      </c>
    </row>
    <row r="10" spans="1:7">
      <c r="A10" t="s">
        <v>218</v>
      </c>
      <c r="B10">
        <f>Data!E28+Data!BR28</f>
        <v>520</v>
      </c>
      <c r="C10" s="28">
        <f t="shared" si="0"/>
        <v>6.4854078323771519E-2</v>
      </c>
      <c r="E10" t="s">
        <v>234</v>
      </c>
      <c r="F10">
        <f>Data!BH23+Data!DU23</f>
        <v>83</v>
      </c>
      <c r="G10" s="28">
        <f t="shared" si="1"/>
        <v>9.4104308390022678E-2</v>
      </c>
    </row>
    <row r="11" spans="1:7">
      <c r="A11" t="s">
        <v>215</v>
      </c>
      <c r="B11">
        <f>Data!E9+Data!BR9</f>
        <v>698</v>
      </c>
      <c r="C11" s="28">
        <f t="shared" si="0"/>
        <v>8.7054128211524071E-2</v>
      </c>
      <c r="E11" t="s">
        <v>215</v>
      </c>
      <c r="F11">
        <f>Data!BH9+Data!DU9</f>
        <v>88</v>
      </c>
      <c r="G11" s="28">
        <f t="shared" si="1"/>
        <v>9.9773242630385492E-2</v>
      </c>
    </row>
    <row r="12" spans="1:7">
      <c r="A12" t="s">
        <v>217</v>
      </c>
      <c r="B12">
        <f>Data!E18+Data!BR18</f>
        <v>1336</v>
      </c>
      <c r="C12" s="28">
        <f t="shared" si="0"/>
        <v>0.16662509353953606</v>
      </c>
      <c r="E12" t="s">
        <v>217</v>
      </c>
      <c r="F12">
        <f>Data!BH18+Data!DU18</f>
        <v>118</v>
      </c>
      <c r="G12" s="28">
        <f t="shared" si="1"/>
        <v>0.13378684807256236</v>
      </c>
    </row>
    <row r="13" spans="1:7">
      <c r="A13" s="26" t="s">
        <v>210</v>
      </c>
      <c r="B13">
        <f>SUM(B2:B12)</f>
        <v>8018</v>
      </c>
      <c r="C13" s="28">
        <f>SUM(C2:C12)</f>
        <v>1</v>
      </c>
      <c r="E13" s="26" t="s">
        <v>210</v>
      </c>
      <c r="F13">
        <f>SUM(F2:F12)</f>
        <v>882</v>
      </c>
      <c r="G13" s="28">
        <f>SUM(G2:G12)</f>
        <v>1</v>
      </c>
    </row>
    <row r="14" spans="1:7">
      <c r="A14" s="402" t="s">
        <v>452</v>
      </c>
      <c r="B14" s="402"/>
      <c r="C14" s="402"/>
      <c r="E14" s="402" t="s">
        <v>488</v>
      </c>
      <c r="F14" s="402"/>
      <c r="G14" s="402"/>
    </row>
    <row r="15" spans="1:7">
      <c r="E15" t="s">
        <v>26</v>
      </c>
      <c r="F15">
        <v>1150</v>
      </c>
      <c r="G15" s="28">
        <f t="shared" ref="G15:G25" si="2">F15/$F$26</f>
        <v>0.30520169851380041</v>
      </c>
    </row>
    <row r="16" spans="1:7">
      <c r="E16" t="s">
        <v>213</v>
      </c>
      <c r="F16">
        <f>Data!BI31+Data!DV31</f>
        <v>128</v>
      </c>
      <c r="G16" s="28">
        <f t="shared" si="2"/>
        <v>3.3970276008492568E-2</v>
      </c>
    </row>
    <row r="17" spans="1:7">
      <c r="E17" t="s">
        <v>211</v>
      </c>
      <c r="F17">
        <f>Data!BI7+Data!DV7</f>
        <v>149</v>
      </c>
      <c r="G17" s="28">
        <f t="shared" si="2"/>
        <v>3.9543524416135879E-2</v>
      </c>
    </row>
    <row r="18" spans="1:7">
      <c r="E18" t="s">
        <v>237</v>
      </c>
      <c r="F18">
        <f>Data!BI38+Data!DV38</f>
        <v>173</v>
      </c>
      <c r="G18" s="28">
        <f t="shared" si="2"/>
        <v>4.5912951167728235E-2</v>
      </c>
    </row>
    <row r="19" spans="1:7">
      <c r="E19" t="s">
        <v>218</v>
      </c>
      <c r="F19">
        <f>Data!BI28+Data!DV28</f>
        <v>180</v>
      </c>
      <c r="G19" s="28">
        <f t="shared" si="2"/>
        <v>4.7770700636942678E-2</v>
      </c>
    </row>
    <row r="20" spans="1:7">
      <c r="A20" t="s">
        <v>26</v>
      </c>
      <c r="B20">
        <v>0</v>
      </c>
      <c r="C20" s="28">
        <f t="shared" ref="C20:C25" si="3">B20/$B$26</f>
        <v>0</v>
      </c>
      <c r="E20" t="s">
        <v>212</v>
      </c>
      <c r="F20">
        <f>Data!BI11+Data!DV11</f>
        <v>181</v>
      </c>
      <c r="G20" s="28">
        <f t="shared" si="2"/>
        <v>4.8036093418259027E-2</v>
      </c>
    </row>
    <row r="21" spans="1:7">
      <c r="A21" t="s">
        <v>224</v>
      </c>
      <c r="B21">
        <f>Data!BF15+Data!DS15</f>
        <v>1</v>
      </c>
      <c r="C21" s="28">
        <f t="shared" si="3"/>
        <v>8.3333333333333329E-2</v>
      </c>
      <c r="E21" t="s">
        <v>214</v>
      </c>
      <c r="F21">
        <f>Data!BI10+Data!DV10</f>
        <v>198</v>
      </c>
      <c r="G21" s="28">
        <f t="shared" si="2"/>
        <v>5.2547770700636945E-2</v>
      </c>
    </row>
    <row r="22" spans="1:7">
      <c r="A22" t="s">
        <v>228</v>
      </c>
      <c r="B22">
        <f>Data!BF20+Data!DS20</f>
        <v>1</v>
      </c>
      <c r="C22" s="28">
        <f t="shared" si="3"/>
        <v>8.3333333333333329E-2</v>
      </c>
      <c r="E22" t="s">
        <v>219</v>
      </c>
      <c r="F22">
        <f>Data!BI14+Data!DV14</f>
        <v>233</v>
      </c>
      <c r="G22" s="28">
        <f t="shared" si="2"/>
        <v>6.183651804670913E-2</v>
      </c>
    </row>
    <row r="23" spans="1:7">
      <c r="A23" t="s">
        <v>213</v>
      </c>
      <c r="B23">
        <f>Data!BF31+Data!DS31</f>
        <v>1</v>
      </c>
      <c r="C23" s="28">
        <f t="shared" si="3"/>
        <v>8.3333333333333329E-2</v>
      </c>
      <c r="E23" t="s">
        <v>234</v>
      </c>
      <c r="F23">
        <f>Data!BI23+Data!DV23</f>
        <v>248</v>
      </c>
      <c r="G23" s="28">
        <f t="shared" si="2"/>
        <v>6.5817409766454352E-2</v>
      </c>
    </row>
    <row r="24" spans="1:7">
      <c r="A24" t="s">
        <v>227</v>
      </c>
      <c r="B24">
        <f>Data!BF42+Data!DS42</f>
        <v>3</v>
      </c>
      <c r="C24" s="28">
        <f t="shared" si="3"/>
        <v>0.25</v>
      </c>
      <c r="E24" t="s">
        <v>215</v>
      </c>
      <c r="F24">
        <f>Data!BI9+Data!DV9</f>
        <v>331</v>
      </c>
      <c r="G24" s="28">
        <f t="shared" si="2"/>
        <v>8.7845010615711247E-2</v>
      </c>
    </row>
    <row r="25" spans="1:7">
      <c r="A25" t="s">
        <v>225</v>
      </c>
      <c r="B25">
        <f>Data!BF35+Data!DS35</f>
        <v>6</v>
      </c>
      <c r="C25" s="28">
        <f t="shared" si="3"/>
        <v>0.5</v>
      </c>
      <c r="E25" t="s">
        <v>217</v>
      </c>
      <c r="F25">
        <f>Data!BI18+Data!DV18</f>
        <v>797</v>
      </c>
      <c r="G25" s="28">
        <f t="shared" si="2"/>
        <v>0.21151804670912952</v>
      </c>
    </row>
    <row r="26" spans="1:7">
      <c r="A26" s="26" t="s">
        <v>210</v>
      </c>
      <c r="B26">
        <f>SUM(B20:B25)</f>
        <v>12</v>
      </c>
      <c r="C26" s="28">
        <f>SUM(C20:C25)</f>
        <v>1</v>
      </c>
      <c r="E26" s="26" t="s">
        <v>210</v>
      </c>
      <c r="F26">
        <f>SUM(F15:F25)</f>
        <v>3768</v>
      </c>
      <c r="G26" s="28">
        <f>SUM(G15:G25)</f>
        <v>1</v>
      </c>
    </row>
    <row r="27" spans="1:7">
      <c r="A27" s="402" t="s">
        <v>486</v>
      </c>
      <c r="B27" s="402"/>
      <c r="C27" s="402"/>
      <c r="E27" s="402" t="s">
        <v>489</v>
      </c>
      <c r="F27" s="402"/>
      <c r="G27" s="402"/>
    </row>
    <row r="28" spans="1:7">
      <c r="A28" t="s">
        <v>26</v>
      </c>
      <c r="B28">
        <v>4</v>
      </c>
      <c r="C28" s="28">
        <f t="shared" ref="C28:C38" si="4">B28/$B$39</f>
        <v>0.15384615384615385</v>
      </c>
      <c r="E28" t="s">
        <v>26</v>
      </c>
      <c r="F28">
        <v>953</v>
      </c>
      <c r="G28" s="28">
        <f t="shared" ref="G28:G38" si="5">F28/$F$39</f>
        <v>0.28618618618618619</v>
      </c>
    </row>
    <row r="29" spans="1:7">
      <c r="A29" t="s">
        <v>211</v>
      </c>
      <c r="B29">
        <f>Data!BG7+Data!DT7</f>
        <v>1</v>
      </c>
      <c r="C29" s="28">
        <f t="shared" si="4"/>
        <v>3.8461538461538464E-2</v>
      </c>
      <c r="E29" t="s">
        <v>220</v>
      </c>
      <c r="F29">
        <f>Data!BJ32+Data!DW32</f>
        <v>143</v>
      </c>
      <c r="G29" s="28">
        <f t="shared" si="5"/>
        <v>4.2942942942942944E-2</v>
      </c>
    </row>
    <row r="30" spans="1:7">
      <c r="A30" t="s">
        <v>214</v>
      </c>
      <c r="B30">
        <f>Data!BG10+Data!DT10</f>
        <v>1</v>
      </c>
      <c r="C30" s="28">
        <f t="shared" si="4"/>
        <v>3.8461538461538464E-2</v>
      </c>
      <c r="E30" t="s">
        <v>227</v>
      </c>
      <c r="F30">
        <f>Data!BJ42+Data!DW42</f>
        <v>146</v>
      </c>
      <c r="G30" s="28">
        <f t="shared" si="5"/>
        <v>4.3843843843843842E-2</v>
      </c>
    </row>
    <row r="31" spans="1:7">
      <c r="A31" t="s">
        <v>444</v>
      </c>
      <c r="B31">
        <f>Data!BG12+Data!DT12</f>
        <v>1</v>
      </c>
      <c r="C31" s="28">
        <f t="shared" si="4"/>
        <v>3.8461538461538464E-2</v>
      </c>
      <c r="E31" t="s">
        <v>219</v>
      </c>
      <c r="F31">
        <f>Data!BJ14+Data!DW14</f>
        <v>185</v>
      </c>
      <c r="G31" s="28">
        <f t="shared" si="5"/>
        <v>5.5555555555555552E-2</v>
      </c>
    </row>
    <row r="32" spans="1:7">
      <c r="A32" t="s">
        <v>224</v>
      </c>
      <c r="B32">
        <f>Data!BG15+Data!DT15</f>
        <v>1</v>
      </c>
      <c r="C32" s="28">
        <f t="shared" si="4"/>
        <v>3.8461538461538464E-2</v>
      </c>
      <c r="E32" t="s">
        <v>234</v>
      </c>
      <c r="F32">
        <f>Data!BJ23+Data!DW23</f>
        <v>188</v>
      </c>
      <c r="G32" s="28">
        <f t="shared" si="5"/>
        <v>5.6456456456456458E-2</v>
      </c>
    </row>
    <row r="33" spans="1:7">
      <c r="A33" t="s">
        <v>445</v>
      </c>
      <c r="B33">
        <f>Data!BG19+Data!DT19</f>
        <v>1</v>
      </c>
      <c r="C33" s="28">
        <f t="shared" si="4"/>
        <v>3.8461538461538464E-2</v>
      </c>
      <c r="E33" t="s">
        <v>237</v>
      </c>
      <c r="F33">
        <f>Data!BJ38+Data!DW38</f>
        <v>191</v>
      </c>
      <c r="G33" s="28">
        <f t="shared" si="5"/>
        <v>5.7357357357357357E-2</v>
      </c>
    </row>
    <row r="34" spans="1:7">
      <c r="A34" t="s">
        <v>226</v>
      </c>
      <c r="B34">
        <f>Data!BG40+Data!DT40</f>
        <v>2</v>
      </c>
      <c r="C34" s="28">
        <f t="shared" si="4"/>
        <v>7.6923076923076927E-2</v>
      </c>
      <c r="E34" t="s">
        <v>212</v>
      </c>
      <c r="F34">
        <f>Data!BJ11+Data!DW11</f>
        <v>222</v>
      </c>
      <c r="G34" s="28">
        <f t="shared" si="5"/>
        <v>6.6666666666666666E-2</v>
      </c>
    </row>
    <row r="35" spans="1:7">
      <c r="A35" t="s">
        <v>215</v>
      </c>
      <c r="B35">
        <f>Data!BG9+Data!DT9</f>
        <v>3</v>
      </c>
      <c r="C35" s="28">
        <f t="shared" si="4"/>
        <v>0.11538461538461539</v>
      </c>
      <c r="E35" t="s">
        <v>214</v>
      </c>
      <c r="F35">
        <f>Data!BJ10+Data!DW10</f>
        <v>271</v>
      </c>
      <c r="G35" s="28">
        <f t="shared" si="5"/>
        <v>8.1381381381381387E-2</v>
      </c>
    </row>
    <row r="36" spans="1:7">
      <c r="A36" t="s">
        <v>225</v>
      </c>
      <c r="B36">
        <f>Data!BG35+Data!DT35</f>
        <v>3</v>
      </c>
      <c r="C36" s="28">
        <f t="shared" si="4"/>
        <v>0.11538461538461539</v>
      </c>
      <c r="E36" t="s">
        <v>215</v>
      </c>
      <c r="F36">
        <f>Data!BJ9+Data!DW9</f>
        <v>276</v>
      </c>
      <c r="G36" s="28">
        <f t="shared" si="5"/>
        <v>8.2882882882882883E-2</v>
      </c>
    </row>
    <row r="37" spans="1:7">
      <c r="A37" t="s">
        <v>228</v>
      </c>
      <c r="B37">
        <f>Data!BG20+Data!DT20</f>
        <v>4</v>
      </c>
      <c r="C37" s="28">
        <f t="shared" si="4"/>
        <v>0.15384615384615385</v>
      </c>
      <c r="E37" t="s">
        <v>218</v>
      </c>
      <c r="F37">
        <f>Data!BJ28+Data!DW28</f>
        <v>334</v>
      </c>
      <c r="G37" s="28">
        <f t="shared" si="5"/>
        <v>0.10030030030030029</v>
      </c>
    </row>
    <row r="38" spans="1:7">
      <c r="A38" t="s">
        <v>227</v>
      </c>
      <c r="B38">
        <f>Data!BG42+Data!DT42</f>
        <v>5</v>
      </c>
      <c r="C38" s="28">
        <f t="shared" si="4"/>
        <v>0.19230769230769232</v>
      </c>
      <c r="E38" t="s">
        <v>217</v>
      </c>
      <c r="F38">
        <f>Data!BJ18+Data!DW18</f>
        <v>421</v>
      </c>
      <c r="G38" s="28">
        <f t="shared" si="5"/>
        <v>0.12642642642642643</v>
      </c>
    </row>
    <row r="39" spans="1:7">
      <c r="A39" s="26" t="s">
        <v>210</v>
      </c>
      <c r="B39">
        <f>SUM(B28:B38)</f>
        <v>26</v>
      </c>
      <c r="C39" s="28">
        <f>SUM(C28:C38)</f>
        <v>1</v>
      </c>
      <c r="E39" s="26" t="s">
        <v>210</v>
      </c>
      <c r="F39">
        <f>SUM(F28:F38)</f>
        <v>3330</v>
      </c>
      <c r="G39" s="28">
        <f>SUM(G28:G38)</f>
        <v>1</v>
      </c>
    </row>
  </sheetData>
  <sortState ref="E79:F88">
    <sortCondition ref="F2"/>
  </sortState>
  <mergeCells count="6">
    <mergeCell ref="A14:C14"/>
    <mergeCell ref="A27:C27"/>
    <mergeCell ref="E1:G1"/>
    <mergeCell ref="E14:G14"/>
    <mergeCell ref="E27:G27"/>
    <mergeCell ref="A1:C1"/>
  </mergeCells>
  <phoneticPr fontId="13" type="noConversion"/>
  <pageMargins left="0.75" right="0.75" top="1" bottom="1" header="0.5" footer="0.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">
    <tabColor theme="9" tint="0.39997558519241921"/>
  </sheetPr>
  <dimension ref="A1:BE55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62" customWidth="1"/>
    <col min="9" max="14" width="0.85546875" style="73" customWidth="1"/>
    <col min="15" max="15" width="3.28515625" style="73" customWidth="1"/>
    <col min="16" max="16" width="3.28515625" style="62" customWidth="1"/>
    <col min="17" max="17" width="9.42578125" style="62" customWidth="1"/>
    <col min="18" max="18" width="38.42578125" bestFit="1" customWidth="1"/>
    <col min="19" max="19" width="9" bestFit="1" customWidth="1"/>
    <col min="20" max="24" width="7" bestFit="1" customWidth="1"/>
    <col min="25" max="25" width="7.5703125" bestFit="1" customWidth="1"/>
    <col min="26" max="31" width="8" bestFit="1" customWidth="1"/>
    <col min="32" max="34" width="9" bestFit="1" customWidth="1"/>
    <col min="35" max="37" width="8" bestFit="1" customWidth="1"/>
    <col min="38" max="38" width="38.42578125" bestFit="1" customWidth="1"/>
  </cols>
  <sheetData>
    <row r="1" spans="1:57" ht="15">
      <c r="A1" s="66"/>
      <c r="B1" s="506" t="s">
        <v>402</v>
      </c>
      <c r="C1" s="506"/>
      <c r="D1" s="522"/>
      <c r="E1" s="507"/>
      <c r="F1" s="66"/>
      <c r="G1" s="66"/>
      <c r="H1" s="70"/>
      <c r="I1" s="70"/>
      <c r="J1" s="70"/>
      <c r="K1" s="70"/>
      <c r="L1" s="70"/>
      <c r="M1" s="70"/>
      <c r="N1" s="70"/>
      <c r="O1" s="70"/>
      <c r="P1" s="70"/>
      <c r="Q1" s="311"/>
      <c r="R1" s="447" t="s">
        <v>356</v>
      </c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  <c r="AM1" s="312"/>
      <c r="AN1" s="312"/>
      <c r="AO1" s="312"/>
      <c r="AP1" s="312"/>
      <c r="AQ1" s="312"/>
      <c r="AR1" s="312"/>
      <c r="AS1" s="312"/>
      <c r="AT1" s="312"/>
      <c r="AU1" s="312"/>
      <c r="AV1" s="312"/>
      <c r="AW1" s="312"/>
      <c r="AX1" s="312"/>
      <c r="AY1" s="312"/>
      <c r="AZ1" s="312"/>
      <c r="BA1" s="312"/>
      <c r="BB1" s="312"/>
      <c r="BC1" s="312"/>
      <c r="BD1" s="312"/>
      <c r="BE1" s="312"/>
    </row>
    <row r="2" spans="1:57" ht="12.6" customHeight="1">
      <c r="A2" s="66"/>
      <c r="B2" s="508" t="str">
        <f>"Mirtingumas nuo piktybinių navikų Lietuvoje  " &amp; GrafikaiSerg!A1 &amp; " metais. Moterys."</f>
        <v>Mirtingumas nuo piktybinių navikų Lietuvoje  2014 metais. Moterys.</v>
      </c>
      <c r="C2" s="508"/>
      <c r="D2" s="508"/>
      <c r="E2" s="510"/>
      <c r="F2" s="66"/>
      <c r="G2" s="66"/>
      <c r="H2" s="70"/>
      <c r="I2" s="70"/>
      <c r="J2" s="70"/>
      <c r="K2" s="70"/>
      <c r="L2" s="70"/>
      <c r="M2" s="70"/>
      <c r="N2" s="70"/>
      <c r="O2" s="70"/>
      <c r="P2" s="70"/>
      <c r="Q2" s="311"/>
      <c r="R2" s="447"/>
      <c r="S2" s="313" t="s">
        <v>354</v>
      </c>
      <c r="T2" s="448" t="s">
        <v>358</v>
      </c>
      <c r="U2" s="448"/>
      <c r="V2" s="448"/>
      <c r="W2" s="315">
        <f>GrafikaiSerg!A1</f>
        <v>2014</v>
      </c>
      <c r="X2" s="312" t="s">
        <v>357</v>
      </c>
      <c r="Y2" s="312" t="str">
        <f>CONCATENATE("pop",RIGHT(W2,2),"m")</f>
        <v>pop14m</v>
      </c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6" t="s">
        <v>356</v>
      </c>
      <c r="AM2" s="313" t="s">
        <v>354</v>
      </c>
      <c r="AN2" s="448" t="s">
        <v>358</v>
      </c>
      <c r="AO2" s="448"/>
      <c r="AP2" s="448"/>
      <c r="AQ2" s="315" t="e">
        <f>#REF!</f>
        <v>#REF!</v>
      </c>
      <c r="AR2" s="312" t="s">
        <v>357</v>
      </c>
      <c r="AS2" s="312" t="e">
        <f>CONCATENATE("pop",RIGHT(AQ2,2),"m")</f>
        <v>#REF!</v>
      </c>
      <c r="AT2" s="312"/>
      <c r="AU2" s="312"/>
      <c r="AV2" s="312"/>
      <c r="AW2" s="312"/>
      <c r="AX2" s="312"/>
      <c r="AY2" s="312"/>
      <c r="AZ2" s="312"/>
      <c r="BA2" s="312"/>
      <c r="BB2" s="312"/>
      <c r="BC2" s="312"/>
      <c r="BD2" s="312"/>
      <c r="BE2" s="312"/>
    </row>
    <row r="3" spans="1:57" ht="12.6" customHeight="1">
      <c r="A3" s="66"/>
      <c r="B3" s="68" t="s">
        <v>629</v>
      </c>
      <c r="C3" s="66"/>
      <c r="D3" s="66"/>
      <c r="E3" s="66"/>
      <c r="F3" s="67"/>
      <c r="G3" s="66"/>
      <c r="H3" s="70"/>
      <c r="I3" s="70"/>
      <c r="J3" s="70"/>
      <c r="K3" s="70"/>
      <c r="L3" s="70"/>
      <c r="M3" s="70"/>
      <c r="N3" s="70"/>
      <c r="O3" s="70"/>
      <c r="P3" s="70"/>
      <c r="Q3" s="317"/>
      <c r="R3" s="318" t="s">
        <v>408</v>
      </c>
      <c r="S3" s="319">
        <f>SUM(T3:AK3)</f>
        <v>100000</v>
      </c>
      <c r="T3" s="320">
        <v>8000</v>
      </c>
      <c r="U3" s="320">
        <v>7000</v>
      </c>
      <c r="V3" s="320">
        <v>7000</v>
      </c>
      <c r="W3" s="320">
        <v>7000</v>
      </c>
      <c r="X3" s="320">
        <v>7000</v>
      </c>
      <c r="Y3" s="320">
        <v>7000</v>
      </c>
      <c r="Z3" s="320">
        <v>7000</v>
      </c>
      <c r="AA3" s="320">
        <v>7000</v>
      </c>
      <c r="AB3" s="320">
        <v>7000</v>
      </c>
      <c r="AC3" s="320">
        <v>7000</v>
      </c>
      <c r="AD3" s="320">
        <v>7000</v>
      </c>
      <c r="AE3" s="320">
        <v>6000</v>
      </c>
      <c r="AF3" s="320">
        <v>5000</v>
      </c>
      <c r="AG3" s="320">
        <v>4000</v>
      </c>
      <c r="AH3" s="320">
        <v>3000</v>
      </c>
      <c r="AI3" s="320">
        <v>2000</v>
      </c>
      <c r="AJ3" s="320">
        <v>1000</v>
      </c>
      <c r="AK3" s="320">
        <v>1000</v>
      </c>
      <c r="AL3" s="318" t="str">
        <f>IF(AK3 = "easr", "Standartinė populiacija Europos", "Standartinė populiacija Pasaulio")</f>
        <v>Standartinė populiacija Pasaulio</v>
      </c>
      <c r="AM3" s="319">
        <f>SUM(AN3:BE3)</f>
        <v>100000</v>
      </c>
      <c r="AN3" s="312">
        <v>12000</v>
      </c>
      <c r="AO3" s="312">
        <v>10000</v>
      </c>
      <c r="AP3" s="312">
        <v>9000</v>
      </c>
      <c r="AQ3" s="312">
        <v>9000</v>
      </c>
      <c r="AR3" s="312">
        <v>8000</v>
      </c>
      <c r="AS3" s="312">
        <v>8000</v>
      </c>
      <c r="AT3" s="312">
        <v>6000</v>
      </c>
      <c r="AU3" s="312">
        <v>6000</v>
      </c>
      <c r="AV3" s="312">
        <v>6000</v>
      </c>
      <c r="AW3" s="312">
        <v>6000</v>
      </c>
      <c r="AX3" s="312">
        <v>5000</v>
      </c>
      <c r="AY3" s="312">
        <v>4000</v>
      </c>
      <c r="AZ3" s="312">
        <v>4000</v>
      </c>
      <c r="BA3" s="312">
        <v>3000</v>
      </c>
      <c r="BB3" s="312">
        <v>2000</v>
      </c>
      <c r="BC3" s="312">
        <v>1000</v>
      </c>
      <c r="BD3" s="312">
        <v>500</v>
      </c>
      <c r="BE3" s="312">
        <v>500</v>
      </c>
    </row>
    <row r="4" spans="1:57" ht="12.95" customHeight="1">
      <c r="A4" s="66"/>
      <c r="B4" s="425" t="s">
        <v>351</v>
      </c>
      <c r="C4" s="425" t="s">
        <v>244</v>
      </c>
      <c r="D4" s="455" t="s">
        <v>268</v>
      </c>
      <c r="E4" s="457" t="s">
        <v>355</v>
      </c>
      <c r="F4" s="430" t="s">
        <v>359</v>
      </c>
      <c r="G4" s="429"/>
      <c r="H4" s="70"/>
      <c r="I4" s="70"/>
      <c r="J4" s="70"/>
      <c r="K4" s="70"/>
      <c r="L4" s="70"/>
      <c r="M4" s="70"/>
      <c r="N4" s="70"/>
      <c r="O4" s="70"/>
      <c r="P4" s="70"/>
      <c r="Q4" s="321"/>
      <c r="R4" s="312" t="s">
        <v>450</v>
      </c>
      <c r="S4" s="319">
        <f>SUM(T4:AK4)</f>
        <v>1581241</v>
      </c>
      <c r="T4" s="322">
        <f>HLOOKUP($Y$2,Populiacija!$B$1:$BB$40,23,FALSE)</f>
        <v>73541</v>
      </c>
      <c r="U4" s="322">
        <f>HLOOKUP($Y$2,Populiacija!$B$1:$BB$40,24,FALSE)</f>
        <v>66902</v>
      </c>
      <c r="V4" s="322">
        <f>HLOOKUP($Y$2,Populiacija!$B$1:$BB$40,25,FALSE)</f>
        <v>68149</v>
      </c>
      <c r="W4" s="322">
        <f>HLOOKUP($Y$2,Populiacija!$B$1:$BB$40,26,FALSE)</f>
        <v>84512</v>
      </c>
      <c r="X4" s="322">
        <f>HLOOKUP($Y$2,Populiacija!$B$1:$BB$40,27,FALSE)</f>
        <v>101894</v>
      </c>
      <c r="Y4" s="322">
        <f>HLOOKUP($Y$2,Populiacija!$B$1:$BB$40,28,FALSE)</f>
        <v>94972</v>
      </c>
      <c r="Z4" s="322">
        <f>HLOOKUP($Y$2,Populiacija!$B$1:$BB$40,29,FALSE)</f>
        <v>87211</v>
      </c>
      <c r="AA4" s="322">
        <f>HLOOKUP($Y$2,Populiacija!$B$1:$BB$40,30,FALSE)</f>
        <v>92351</v>
      </c>
      <c r="AB4" s="322">
        <f>HLOOKUP($Y$2,Populiacija!$B$1:$BB$40,31,FALSE)</f>
        <v>105582</v>
      </c>
      <c r="AC4" s="322">
        <f>HLOOKUP($Y$2,Populiacija!$B$1:$BB$40,32,FALSE)</f>
        <v>110249</v>
      </c>
      <c r="AD4" s="322">
        <f>HLOOKUP($Y$2,Populiacija!$B$1:$BB$40,33,FALSE)</f>
        <v>123313</v>
      </c>
      <c r="AE4" s="322">
        <f>HLOOKUP($Y$2,Populiacija!$B$1:$BB$40,34,FALSE)</f>
        <v>112753</v>
      </c>
      <c r="AF4" s="322">
        <f>HLOOKUP($Y$2,Populiacija!$B$1:$BB$40,35,FALSE)</f>
        <v>98061</v>
      </c>
      <c r="AG4" s="322">
        <f>HLOOKUP($Y$2,Populiacija!$B$1:$BB$40,36,FALSE)</f>
        <v>85261</v>
      </c>
      <c r="AH4" s="322">
        <f>HLOOKUP($Y$2,Populiacija!$B$1:$BB$40,37,FALSE)</f>
        <v>87053</v>
      </c>
      <c r="AI4" s="322">
        <f>HLOOKUP($Y$2,Populiacija!$B$1:$BB$40,38,FALSE)</f>
        <v>81043</v>
      </c>
      <c r="AJ4" s="322">
        <f>HLOOKUP($Y$2,Populiacija!$B$1:$BB$40,39,FALSE)</f>
        <v>60746</v>
      </c>
      <c r="AK4" s="322">
        <f>HLOOKUP($Y$2,Populiacija!$B$1:$BB$40,40,FALSE)</f>
        <v>47648</v>
      </c>
      <c r="AL4" s="312" t="s">
        <v>450</v>
      </c>
      <c r="AM4" s="319">
        <f>SUM(AN4:BE4)</f>
        <v>1581241</v>
      </c>
      <c r="AN4" s="322">
        <f>HLOOKUP($Y$2,Populiacija!$B$1:$BB$40,23,FALSE)</f>
        <v>73541</v>
      </c>
      <c r="AO4" s="322">
        <f>HLOOKUP($Y$2,Populiacija!$B$1:$BB$40,24,FALSE)</f>
        <v>66902</v>
      </c>
      <c r="AP4" s="322">
        <f>HLOOKUP($Y$2,Populiacija!$B$1:$BB$40,25,FALSE)</f>
        <v>68149</v>
      </c>
      <c r="AQ4" s="322">
        <f>HLOOKUP($Y$2,Populiacija!$B$1:$BB$40,26,FALSE)</f>
        <v>84512</v>
      </c>
      <c r="AR4" s="322">
        <f>HLOOKUP($Y$2,Populiacija!$B$1:$BB$40,27,FALSE)</f>
        <v>101894</v>
      </c>
      <c r="AS4" s="322">
        <f>HLOOKUP($Y$2,Populiacija!$B$1:$BB$40,28,FALSE)</f>
        <v>94972</v>
      </c>
      <c r="AT4" s="322">
        <f>HLOOKUP($Y$2,Populiacija!$B$1:$BB$40,29,FALSE)</f>
        <v>87211</v>
      </c>
      <c r="AU4" s="322">
        <f>HLOOKUP($Y$2,Populiacija!$B$1:$BB$40,30,FALSE)</f>
        <v>92351</v>
      </c>
      <c r="AV4" s="322">
        <f>HLOOKUP($Y$2,Populiacija!$B$1:$BB$40,31,FALSE)</f>
        <v>105582</v>
      </c>
      <c r="AW4" s="322">
        <f>HLOOKUP($Y$2,Populiacija!$B$1:$BB$40,32,FALSE)</f>
        <v>110249</v>
      </c>
      <c r="AX4" s="322">
        <f>HLOOKUP($Y$2,Populiacija!$B$1:$BB$40,33,FALSE)</f>
        <v>123313</v>
      </c>
      <c r="AY4" s="322">
        <f>HLOOKUP($Y$2,Populiacija!$B$1:$BB$40,34,FALSE)</f>
        <v>112753</v>
      </c>
      <c r="AZ4" s="322">
        <f>HLOOKUP($Y$2,Populiacija!$B$1:$BB$40,35,FALSE)</f>
        <v>98061</v>
      </c>
      <c r="BA4" s="322">
        <f>HLOOKUP($Y$2,Populiacija!$B$1:$BB$40,36,FALSE)</f>
        <v>85261</v>
      </c>
      <c r="BB4" s="322">
        <f>HLOOKUP($Y$2,Populiacija!$B$1:$BB$40,37,FALSE)</f>
        <v>87053</v>
      </c>
      <c r="BC4" s="322">
        <f>HLOOKUP($Y$2,Populiacija!$B$1:$BB$40,38,FALSE)</f>
        <v>81043</v>
      </c>
      <c r="BD4" s="322">
        <f>HLOOKUP($Y$2,Populiacija!$B$1:$BB$40,39,FALSE)</f>
        <v>60746</v>
      </c>
      <c r="BE4" s="322">
        <f>HLOOKUP($Y$2,Populiacija!$B$1:$BB$40,40,FALSE)</f>
        <v>47648</v>
      </c>
    </row>
    <row r="5" spans="1:57" ht="12.95" customHeight="1" thickBot="1">
      <c r="A5" s="66"/>
      <c r="B5" s="426"/>
      <c r="C5" s="426"/>
      <c r="D5" s="456"/>
      <c r="E5" s="458"/>
      <c r="F5" s="140" t="s">
        <v>427</v>
      </c>
      <c r="G5" s="140" t="s">
        <v>428</v>
      </c>
      <c r="H5" s="72"/>
      <c r="I5" s="72"/>
      <c r="J5" s="72"/>
      <c r="K5" s="72"/>
      <c r="L5" s="72"/>
      <c r="M5" s="72"/>
      <c r="N5" s="72"/>
      <c r="O5" s="72"/>
      <c r="P5" s="71"/>
      <c r="Q5" s="323"/>
      <c r="R5" s="312" t="s">
        <v>352</v>
      </c>
      <c r="S5" s="313"/>
      <c r="T5" s="324" t="s">
        <v>13</v>
      </c>
      <c r="U5" s="325" t="s">
        <v>11</v>
      </c>
      <c r="V5" s="325" t="s">
        <v>12</v>
      </c>
      <c r="W5" s="324" t="s">
        <v>14</v>
      </c>
      <c r="X5" s="324" t="s">
        <v>15</v>
      </c>
      <c r="Y5" s="324" t="s">
        <v>16</v>
      </c>
      <c r="Z5" s="324" t="s">
        <v>158</v>
      </c>
      <c r="AA5" s="324" t="s">
        <v>17</v>
      </c>
      <c r="AB5" s="324" t="s">
        <v>18</v>
      </c>
      <c r="AC5" s="324" t="s">
        <v>19</v>
      </c>
      <c r="AD5" s="324" t="s">
        <v>20</v>
      </c>
      <c r="AE5" s="324" t="s">
        <v>21</v>
      </c>
      <c r="AF5" s="324" t="s">
        <v>159</v>
      </c>
      <c r="AG5" s="324" t="s">
        <v>160</v>
      </c>
      <c r="AH5" s="324" t="s">
        <v>161</v>
      </c>
      <c r="AI5" s="324" t="s">
        <v>162</v>
      </c>
      <c r="AJ5" s="324" t="s">
        <v>22</v>
      </c>
      <c r="AK5" s="324" t="s">
        <v>23</v>
      </c>
      <c r="AL5" s="312" t="s">
        <v>352</v>
      </c>
      <c r="AM5" s="313"/>
      <c r="AN5" s="324" t="s">
        <v>13</v>
      </c>
      <c r="AO5" s="325" t="s">
        <v>11</v>
      </c>
      <c r="AP5" s="325" t="s">
        <v>12</v>
      </c>
      <c r="AQ5" s="324" t="s">
        <v>14</v>
      </c>
      <c r="AR5" s="324" t="s">
        <v>15</v>
      </c>
      <c r="AS5" s="324" t="s">
        <v>16</v>
      </c>
      <c r="AT5" s="324" t="s">
        <v>158</v>
      </c>
      <c r="AU5" s="324" t="s">
        <v>17</v>
      </c>
      <c r="AV5" s="324" t="s">
        <v>18</v>
      </c>
      <c r="AW5" s="324" t="s">
        <v>19</v>
      </c>
      <c r="AX5" s="324" t="s">
        <v>20</v>
      </c>
      <c r="AY5" s="324" t="s">
        <v>21</v>
      </c>
      <c r="AZ5" s="324" t="s">
        <v>159</v>
      </c>
      <c r="BA5" s="324" t="s">
        <v>160</v>
      </c>
      <c r="BB5" s="324" t="s">
        <v>161</v>
      </c>
      <c r="BC5" s="324" t="s">
        <v>162</v>
      </c>
      <c r="BD5" s="324" t="s">
        <v>22</v>
      </c>
      <c r="BE5" s="324" t="s">
        <v>23</v>
      </c>
    </row>
    <row r="6" spans="1:57" ht="12" customHeight="1" thickTop="1">
      <c r="A6" s="66"/>
      <c r="B6" s="125" t="str">
        <f>UPPER(LEFT(TRIM(Data!B5),1)) &amp; MID(TRIM(Data!B5),2,50)</f>
        <v>Piktybiniai navikai</v>
      </c>
      <c r="C6" s="125" t="str">
        <f>UPPER(LEFT(TRIM(Data!C5),1)) &amp; MID(TRIM(Data!C5),2,50)</f>
        <v>C00-C96</v>
      </c>
      <c r="D6" s="138">
        <f>Data!BR5</f>
        <v>3499</v>
      </c>
      <c r="E6" s="139">
        <f t="shared" ref="E6:E7" si="0">D6/$S$4*100000</f>
        <v>221.28189188112376</v>
      </c>
      <c r="F6" s="129">
        <f t="shared" ref="F6:F7" si="1">S6/$S$3</f>
        <v>124.48305029666625</v>
      </c>
      <c r="G6" s="129">
        <f t="shared" ref="G6:G7" si="2">AM6/$AM$3</f>
        <v>84.990872526323884</v>
      </c>
      <c r="H6" s="72"/>
      <c r="I6" s="72"/>
      <c r="J6" s="72"/>
      <c r="K6" s="72"/>
      <c r="L6" s="72"/>
      <c r="M6" s="72"/>
      <c r="N6" s="72"/>
      <c r="O6" s="72"/>
      <c r="P6" s="71"/>
      <c r="Q6" s="326"/>
      <c r="R6" s="327" t="s">
        <v>353</v>
      </c>
      <c r="S6" s="319">
        <f t="shared" ref="S6:S51" si="3">SUM(T6:AK6)</f>
        <v>12448305.029666625</v>
      </c>
      <c r="T6" s="319">
        <f>Data!DA5/T$4*100000*T$3</f>
        <v>21756.571164384492</v>
      </c>
      <c r="U6" s="319">
        <f>Data!DB5/U$4*100000*U$3</f>
        <v>20926.130758422769</v>
      </c>
      <c r="V6" s="319">
        <f>Data!DC5/V$4*100000*V$3</f>
        <v>10271.610735300592</v>
      </c>
      <c r="W6" s="319">
        <f>Data!DD5/W$4*100000*W$3</f>
        <v>8282.8474062854984</v>
      </c>
      <c r="X6" s="319">
        <f>Data!DE5/X$4*100000*X$3</f>
        <v>27479.537558639371</v>
      </c>
      <c r="Y6" s="319">
        <f>Data!DF5/Y$4*100000*Y$3</f>
        <v>51594.154066461699</v>
      </c>
      <c r="Z6" s="319">
        <f>Data!DG5/Z$4*100000*Z$3</f>
        <v>120397.65625895816</v>
      </c>
      <c r="AA6" s="319">
        <f>Data!DH5/AA$4*100000*AA$3</f>
        <v>166755.09740013644</v>
      </c>
      <c r="AB6" s="319">
        <f>Data!DI5/AB$4*100000*AB$3</f>
        <v>404424.996685041</v>
      </c>
      <c r="AC6" s="319">
        <f>Data!DJ5/AC$4*100000*AC$3</f>
        <v>755562.40872933087</v>
      </c>
      <c r="AD6" s="319">
        <f>Data!DK5/AD$4*100000*AD$3</f>
        <v>1050173.1366522589</v>
      </c>
      <c r="AE6" s="319">
        <f>Data!DL5/AE$4*100000*AE$3</f>
        <v>1420804.7679440903</v>
      </c>
      <c r="AF6" s="319">
        <f>Data!DM5/AF$4*100000*AF$3</f>
        <v>1646934.0512538112</v>
      </c>
      <c r="AG6" s="319">
        <f>Data!DN5/AG$4*100000*AG$3</f>
        <v>1679548.6799357266</v>
      </c>
      <c r="AH6" s="319">
        <f>Data!DO5/AH$4*100000*AH$3</f>
        <v>1654164.7042606228</v>
      </c>
      <c r="AI6" s="319">
        <f>Data!DP5/AI$4*100000*AI$3</f>
        <v>1377046.7529583061</v>
      </c>
      <c r="AJ6" s="319">
        <f>Data!DQ5/AJ$4*100000*AJ$3</f>
        <v>959733.97425344889</v>
      </c>
      <c r="AK6" s="319">
        <f>Data!DR5/AK$4*100000*AK$3</f>
        <v>1072447.9516453997</v>
      </c>
      <c r="AL6" s="327" t="s">
        <v>353</v>
      </c>
      <c r="AM6" s="319">
        <f t="shared" ref="AM6:AM51" si="4">SUM(AN6:BE6)</f>
        <v>8499087.2526323888</v>
      </c>
      <c r="AN6" s="319">
        <f>Data!DA5/AN$4*100000*AN$3</f>
        <v>32634.856746576741</v>
      </c>
      <c r="AO6" s="319">
        <f>Data!DB5/AO$4*100000*AO$3</f>
        <v>29894.472512032527</v>
      </c>
      <c r="AP6" s="319">
        <f>Data!DC5/AP$4*100000*AP$3</f>
        <v>13206.356659672188</v>
      </c>
      <c r="AQ6" s="319">
        <f>Data!DD5/AQ$4*100000*AQ$3</f>
        <v>10649.375236652784</v>
      </c>
      <c r="AR6" s="319">
        <f>Data!DE5/AR$4*100000*AR$3</f>
        <v>31405.185781302138</v>
      </c>
      <c r="AS6" s="319">
        <f>Data!DF5/AS$4*100000*AS$3</f>
        <v>58964.747504527659</v>
      </c>
      <c r="AT6" s="319">
        <f>Data!DG5/AT$4*100000*AT$3</f>
        <v>103197.991079107</v>
      </c>
      <c r="AU6" s="319">
        <f>Data!DH5/AU$4*100000*AU$3</f>
        <v>142932.94062868837</v>
      </c>
      <c r="AV6" s="319">
        <f>Data!DI5/AV$4*100000*AV$3</f>
        <v>346649.99715860659</v>
      </c>
      <c r="AW6" s="319">
        <f>Data!DJ5/AW$4*100000*AW$3</f>
        <v>647624.9217679979</v>
      </c>
      <c r="AX6" s="319">
        <f>Data!DK5/AX$4*100000*AX$3</f>
        <v>750123.66903732787</v>
      </c>
      <c r="AY6" s="319">
        <f>Data!DL5/AY$4*100000*AY$3</f>
        <v>947203.17862939346</v>
      </c>
      <c r="AZ6" s="319">
        <f>Data!DM5/AZ$4*100000*AZ$3</f>
        <v>1317547.2410030491</v>
      </c>
      <c r="BA6" s="319">
        <f>Data!DN5/BA$4*100000*BA$3</f>
        <v>1259661.509951795</v>
      </c>
      <c r="BB6" s="319">
        <f>Data!DO5/BB$4*100000*BB$3</f>
        <v>1102776.4695070819</v>
      </c>
      <c r="BC6" s="319">
        <f>Data!DP5/BC$4*100000*BC$3</f>
        <v>688523.37647915306</v>
      </c>
      <c r="BD6" s="319">
        <f>Data!DQ5/BD$4*100000*BD$3</f>
        <v>479866.98712672445</v>
      </c>
      <c r="BE6" s="319">
        <f>Data!DR5/BE$4*100000*BE$3</f>
        <v>536223.97582269984</v>
      </c>
    </row>
    <row r="7" spans="1:57" ht="12" customHeight="1">
      <c r="A7" s="66"/>
      <c r="B7" s="147" t="str">
        <f>UPPER(LEFT(TRIM(Data!B6),1)) &amp; MID(TRIM(Data!B6),2,50)</f>
        <v>Lūpos</v>
      </c>
      <c r="C7" s="141" t="str">
        <f>UPPER(LEFT(TRIM(Data!C6),1)) &amp; MID(TRIM(Data!C6),2,50)</f>
        <v>C00</v>
      </c>
      <c r="D7" s="148">
        <f>Data!BR6</f>
        <v>0</v>
      </c>
      <c r="E7" s="149">
        <f t="shared" si="0"/>
        <v>0</v>
      </c>
      <c r="F7" s="150">
        <f t="shared" si="1"/>
        <v>0</v>
      </c>
      <c r="G7" s="150">
        <f t="shared" si="2"/>
        <v>0</v>
      </c>
      <c r="H7" s="72"/>
      <c r="I7" s="72"/>
      <c r="J7" s="72"/>
      <c r="K7" s="72"/>
      <c r="L7" s="72"/>
      <c r="M7" s="72"/>
      <c r="N7" s="72"/>
      <c r="O7" s="72"/>
      <c r="P7" s="71"/>
      <c r="Q7" s="326"/>
      <c r="R7" s="327" t="s">
        <v>353</v>
      </c>
      <c r="S7" s="319">
        <f t="shared" si="3"/>
        <v>0</v>
      </c>
      <c r="T7" s="319">
        <f>Data!DA6/T$4*100000*T$3</f>
        <v>0</v>
      </c>
      <c r="U7" s="319">
        <f>Data!DB6/U$4*100000*U$3</f>
        <v>0</v>
      </c>
      <c r="V7" s="319">
        <f>Data!DC6/V$4*100000*V$3</f>
        <v>0</v>
      </c>
      <c r="W7" s="319">
        <f>Data!DD6/W$4*100000*W$3</f>
        <v>0</v>
      </c>
      <c r="X7" s="319">
        <f>Data!DE6/X$4*100000*X$3</f>
        <v>0</v>
      </c>
      <c r="Y7" s="319">
        <f>Data!DF6/Y$4*100000*Y$3</f>
        <v>0</v>
      </c>
      <c r="Z7" s="319">
        <f>Data!DG6/Z$4*100000*Z$3</f>
        <v>0</v>
      </c>
      <c r="AA7" s="319">
        <f>Data!DH6/AA$4*100000*AA$3</f>
        <v>0</v>
      </c>
      <c r="AB7" s="319">
        <f>Data!DI6/AB$4*100000*AB$3</f>
        <v>0</v>
      </c>
      <c r="AC7" s="319">
        <f>Data!DJ6/AC$4*100000*AC$3</f>
        <v>0</v>
      </c>
      <c r="AD7" s="319">
        <f>Data!DK6/AD$4*100000*AD$3</f>
        <v>0</v>
      </c>
      <c r="AE7" s="319">
        <f>Data!DL6/AE$4*100000*AE$3</f>
        <v>0</v>
      </c>
      <c r="AF7" s="319">
        <f>Data!DM6/AF$4*100000*AF$3</f>
        <v>0</v>
      </c>
      <c r="AG7" s="319">
        <f>Data!DN6/AG$4*100000*AG$3</f>
        <v>0</v>
      </c>
      <c r="AH7" s="319">
        <f>Data!DO6/AH$4*100000*AH$3</f>
        <v>0</v>
      </c>
      <c r="AI7" s="319">
        <f>Data!DP6/AI$4*100000*AI$3</f>
        <v>0</v>
      </c>
      <c r="AJ7" s="319">
        <f>Data!DQ6/AJ$4*100000*AJ$3</f>
        <v>0</v>
      </c>
      <c r="AK7" s="319">
        <f>Data!DR6/AK$4*100000*AK$3</f>
        <v>0</v>
      </c>
      <c r="AL7" s="327" t="s">
        <v>353</v>
      </c>
      <c r="AM7" s="319">
        <f t="shared" si="4"/>
        <v>0</v>
      </c>
      <c r="AN7" s="319">
        <f>Data!DA6/AN$4*100000*AN$3</f>
        <v>0</v>
      </c>
      <c r="AO7" s="319">
        <f>Data!DB6/AO$4*100000*AO$3</f>
        <v>0</v>
      </c>
      <c r="AP7" s="319">
        <f>Data!DC6/AP$4*100000*AP$3</f>
        <v>0</v>
      </c>
      <c r="AQ7" s="319">
        <f>Data!DD6/AQ$4*100000*AQ$3</f>
        <v>0</v>
      </c>
      <c r="AR7" s="319">
        <f>Data!DE6/AR$4*100000*AR$3</f>
        <v>0</v>
      </c>
      <c r="AS7" s="319">
        <f>Data!DF6/AS$4*100000*AS$3</f>
        <v>0</v>
      </c>
      <c r="AT7" s="319">
        <f>Data!DG6/AT$4*100000*AT$3</f>
        <v>0</v>
      </c>
      <c r="AU7" s="319">
        <f>Data!DH6/AU$4*100000*AU$3</f>
        <v>0</v>
      </c>
      <c r="AV7" s="319">
        <f>Data!DI6/AV$4*100000*AV$3</f>
        <v>0</v>
      </c>
      <c r="AW7" s="319">
        <f>Data!DJ6/AW$4*100000*AW$3</f>
        <v>0</v>
      </c>
      <c r="AX7" s="319">
        <f>Data!DK6/AX$4*100000*AX$3</f>
        <v>0</v>
      </c>
      <c r="AY7" s="319">
        <f>Data!DL6/AY$4*100000*AY$3</f>
        <v>0</v>
      </c>
      <c r="AZ7" s="319">
        <f>Data!DM6/AZ$4*100000*AZ$3</f>
        <v>0</v>
      </c>
      <c r="BA7" s="319">
        <f>Data!DN6/BA$4*100000*BA$3</f>
        <v>0</v>
      </c>
      <c r="BB7" s="319">
        <f>Data!DO6/BB$4*100000*BB$3</f>
        <v>0</v>
      </c>
      <c r="BC7" s="319">
        <f>Data!DP6/BC$4*100000*BC$3</f>
        <v>0</v>
      </c>
      <c r="BD7" s="319">
        <f>Data!DQ6/BD$4*100000*BD$3</f>
        <v>0</v>
      </c>
      <c r="BE7" s="319">
        <f>Data!DR6/BE$4*100000*BE$3</f>
        <v>0</v>
      </c>
    </row>
    <row r="8" spans="1:57" ht="12" customHeight="1">
      <c r="A8" s="66"/>
      <c r="B8" s="125" t="str">
        <f>UPPER(LEFT(TRIM(Data!B7),1)) &amp; MID(TRIM(Data!B7),2,50)</f>
        <v>Burnos ertmės ir ryklės</v>
      </c>
      <c r="C8" s="125" t="str">
        <f>UPPER(LEFT(TRIM(Data!C7),1)) &amp; MID(TRIM(Data!C7),2,50)</f>
        <v>C01-C14</v>
      </c>
      <c r="D8" s="138">
        <f>Data!BR7</f>
        <v>30</v>
      </c>
      <c r="E8" s="139">
        <f t="shared" ref="E8:E51" si="5">D8/$S$4*100000</f>
        <v>1.8972440001239532</v>
      </c>
      <c r="F8" s="129">
        <f t="shared" ref="F8:F51" si="6">S8/$S$3</f>
        <v>1.2763780948748071</v>
      </c>
      <c r="G8" s="129">
        <f t="shared" ref="G8:G51" si="7">AM8/$AM$3</f>
        <v>0.92707833564758013</v>
      </c>
      <c r="H8" s="72"/>
      <c r="I8" s="72"/>
      <c r="J8" s="72"/>
      <c r="K8" s="72"/>
      <c r="L8" s="72"/>
      <c r="M8" s="72"/>
      <c r="N8" s="72"/>
      <c r="O8" s="72"/>
      <c r="P8" s="71"/>
      <c r="Q8" s="311"/>
      <c r="R8" s="327" t="s">
        <v>353</v>
      </c>
      <c r="S8" s="319">
        <f t="shared" si="3"/>
        <v>127637.80948748071</v>
      </c>
      <c r="T8" s="319">
        <f>Data!DA7/T$4*100000*T$3</f>
        <v>0</v>
      </c>
      <c r="U8" s="319">
        <f>Data!DB7/U$4*100000*U$3</f>
        <v>0</v>
      </c>
      <c r="V8" s="319">
        <f>Data!DC7/V$4*100000*V$3</f>
        <v>0</v>
      </c>
      <c r="W8" s="319">
        <f>Data!DD7/W$4*100000*W$3</f>
        <v>0</v>
      </c>
      <c r="X8" s="319">
        <f>Data!DE7/X$4*100000*X$3</f>
        <v>0</v>
      </c>
      <c r="Y8" s="319">
        <f>Data!DF7/Y$4*100000*Y$3</f>
        <v>0</v>
      </c>
      <c r="Z8" s="319">
        <f>Data!DG7/Z$4*100000*Z$3</f>
        <v>0</v>
      </c>
      <c r="AA8" s="319">
        <f>Data!DH7/AA$4*100000*AA$3</f>
        <v>0</v>
      </c>
      <c r="AB8" s="319">
        <f>Data!DI7/AB$4*100000*AB$3</f>
        <v>0</v>
      </c>
      <c r="AC8" s="319">
        <f>Data!DJ7/AC$4*100000*AC$3</f>
        <v>25397.055755607762</v>
      </c>
      <c r="AD8" s="319">
        <f>Data!DK7/AD$4*100000*AD$3</f>
        <v>17029.83464841501</v>
      </c>
      <c r="AE8" s="319">
        <f>Data!DL7/AE$4*100000*AE$3</f>
        <v>10642.732344150489</v>
      </c>
      <c r="AF8" s="319">
        <f>Data!DM7/AF$4*100000*AF$3</f>
        <v>30593.202190473279</v>
      </c>
      <c r="AG8" s="319">
        <f>Data!DN7/AG$4*100000*AG$3</f>
        <v>9382.9535191940031</v>
      </c>
      <c r="AH8" s="319">
        <f>Data!DO7/AH$4*100000*AH$3</f>
        <v>17230.882336048155</v>
      </c>
      <c r="AI8" s="319">
        <f>Data!DP7/AI$4*100000*AI$3</f>
        <v>9871.3028885900076</v>
      </c>
      <c r="AJ8" s="319">
        <f>Data!DQ7/AJ$4*100000*AJ$3</f>
        <v>3292.3978533565996</v>
      </c>
      <c r="AK8" s="319">
        <f>Data!DR7/AK$4*100000*AK$3</f>
        <v>4197.4479516454003</v>
      </c>
      <c r="AL8" s="327" t="s">
        <v>353</v>
      </c>
      <c r="AM8" s="319">
        <f t="shared" si="4"/>
        <v>92707.83356475801</v>
      </c>
      <c r="AN8" s="319">
        <f>Data!DA7/AN$4*100000*AN$3</f>
        <v>0</v>
      </c>
      <c r="AO8" s="319">
        <f>Data!DB7/AO$4*100000*AO$3</f>
        <v>0</v>
      </c>
      <c r="AP8" s="319">
        <f>Data!DC7/AP$4*100000*AP$3</f>
        <v>0</v>
      </c>
      <c r="AQ8" s="319">
        <f>Data!DD7/AQ$4*100000*AQ$3</f>
        <v>0</v>
      </c>
      <c r="AR8" s="319">
        <f>Data!DE7/AR$4*100000*AR$3</f>
        <v>0</v>
      </c>
      <c r="AS8" s="319">
        <f>Data!DF7/AS$4*100000*AS$3</f>
        <v>0</v>
      </c>
      <c r="AT8" s="319">
        <f>Data!DG7/AT$4*100000*AT$3</f>
        <v>0</v>
      </c>
      <c r="AU8" s="319">
        <f>Data!DH7/AU$4*100000*AU$3</f>
        <v>0</v>
      </c>
      <c r="AV8" s="319">
        <f>Data!DI7/AV$4*100000*AV$3</f>
        <v>0</v>
      </c>
      <c r="AW8" s="319">
        <f>Data!DJ7/AW$4*100000*AW$3</f>
        <v>21768.904933378082</v>
      </c>
      <c r="AX8" s="319">
        <f>Data!DK7/AX$4*100000*AX$3</f>
        <v>12164.16760601072</v>
      </c>
      <c r="AY8" s="319">
        <f>Data!DL7/AY$4*100000*AY$3</f>
        <v>7095.1548961003264</v>
      </c>
      <c r="AZ8" s="319">
        <f>Data!DM7/AZ$4*100000*AZ$3</f>
        <v>24474.561752378624</v>
      </c>
      <c r="BA8" s="319">
        <f>Data!DN7/BA$4*100000*BA$3</f>
        <v>7037.2151393955028</v>
      </c>
      <c r="BB8" s="319">
        <f>Data!DO7/BB$4*100000*BB$3</f>
        <v>11487.25489069877</v>
      </c>
      <c r="BC8" s="319">
        <f>Data!DP7/BC$4*100000*BC$3</f>
        <v>4935.6514442950038</v>
      </c>
      <c r="BD8" s="319">
        <f>Data!DQ7/BD$4*100000*BD$3</f>
        <v>1646.1989266782998</v>
      </c>
      <c r="BE8" s="319">
        <f>Data!DR7/BE$4*100000*BE$3</f>
        <v>2098.7239758227001</v>
      </c>
    </row>
    <row r="9" spans="1:57" ht="12" customHeight="1">
      <c r="A9" s="66"/>
      <c r="B9" s="147" t="str">
        <f>UPPER(LEFT(TRIM(Data!B8),1)) &amp; MID(TRIM(Data!B8),2,50)</f>
        <v>Stemplės</v>
      </c>
      <c r="C9" s="141" t="str">
        <f>UPPER(LEFT(TRIM(Data!C8),1)) &amp; MID(TRIM(Data!C8),2,50)</f>
        <v>C15</v>
      </c>
      <c r="D9" s="148">
        <f>Data!BR8</f>
        <v>29</v>
      </c>
      <c r="E9" s="149">
        <f t="shared" si="5"/>
        <v>1.8340025334531549</v>
      </c>
      <c r="F9" s="150">
        <f t="shared" si="6"/>
        <v>1.1505984907202165</v>
      </c>
      <c r="G9" s="150">
        <f t="shared" si="7"/>
        <v>0.79431671822750494</v>
      </c>
      <c r="H9" s="72"/>
      <c r="I9" s="72"/>
      <c r="J9" s="72"/>
      <c r="K9" s="72"/>
      <c r="L9" s="72"/>
      <c r="M9" s="72"/>
      <c r="N9" s="72"/>
      <c r="O9" s="72"/>
      <c r="P9" s="71"/>
      <c r="Q9" s="311"/>
      <c r="R9" s="327" t="s">
        <v>353</v>
      </c>
      <c r="S9" s="319">
        <f t="shared" si="3"/>
        <v>115059.84907202165</v>
      </c>
      <c r="T9" s="319">
        <f>Data!DA8/T$4*100000*T$3</f>
        <v>0</v>
      </c>
      <c r="U9" s="319">
        <f>Data!DB8/U$4*100000*U$3</f>
        <v>0</v>
      </c>
      <c r="V9" s="319">
        <f>Data!DC8/V$4*100000*V$3</f>
        <v>0</v>
      </c>
      <c r="W9" s="319">
        <f>Data!DD8/W$4*100000*W$3</f>
        <v>0</v>
      </c>
      <c r="X9" s="319">
        <f>Data!DE8/X$4*100000*X$3</f>
        <v>0</v>
      </c>
      <c r="Y9" s="319">
        <f>Data!DF8/Y$4*100000*Y$3</f>
        <v>0</v>
      </c>
      <c r="Z9" s="319">
        <f>Data!DG8/Z$4*100000*Z$3</f>
        <v>0</v>
      </c>
      <c r="AA9" s="319">
        <f>Data!DH8/AA$4*100000*AA$3</f>
        <v>0</v>
      </c>
      <c r="AB9" s="319">
        <f>Data!DI8/AB$4*100000*AB$3</f>
        <v>0</v>
      </c>
      <c r="AC9" s="319">
        <f>Data!DJ8/AC$4*100000*AC$3</f>
        <v>0</v>
      </c>
      <c r="AD9" s="319">
        <f>Data!DK8/AD$4*100000*AD$3</f>
        <v>22706.446197886678</v>
      </c>
      <c r="AE9" s="319">
        <f>Data!DL8/AE$4*100000*AE$3</f>
        <v>21285.464688300977</v>
      </c>
      <c r="AF9" s="319">
        <f>Data!DM8/AF$4*100000*AF$3</f>
        <v>25494.335158727728</v>
      </c>
      <c r="AG9" s="319">
        <f>Data!DN8/AG$4*100000*AG$3</f>
        <v>18765.907038388006</v>
      </c>
      <c r="AH9" s="319">
        <f>Data!DO8/AH$4*100000*AH$3</f>
        <v>6892.3529344192621</v>
      </c>
      <c r="AI9" s="319">
        <f>Data!DP8/AI$4*100000*AI$3</f>
        <v>4935.6514442950038</v>
      </c>
      <c r="AJ9" s="319">
        <f>Data!DQ8/AJ$4*100000*AJ$3</f>
        <v>6584.7957067131993</v>
      </c>
      <c r="AK9" s="319">
        <f>Data!DR8/AK$4*100000*AK$3</f>
        <v>8394.8959032908006</v>
      </c>
      <c r="AL9" s="327" t="s">
        <v>353</v>
      </c>
      <c r="AM9" s="319">
        <f t="shared" si="4"/>
        <v>79431.67182275049</v>
      </c>
      <c r="AN9" s="319">
        <f>Data!DA8/AN$4*100000*AN$3</f>
        <v>0</v>
      </c>
      <c r="AO9" s="319">
        <f>Data!DB8/AO$4*100000*AO$3</f>
        <v>0</v>
      </c>
      <c r="AP9" s="319">
        <f>Data!DC8/AP$4*100000*AP$3</f>
        <v>0</v>
      </c>
      <c r="AQ9" s="319">
        <f>Data!DD8/AQ$4*100000*AQ$3</f>
        <v>0</v>
      </c>
      <c r="AR9" s="319">
        <f>Data!DE8/AR$4*100000*AR$3</f>
        <v>0</v>
      </c>
      <c r="AS9" s="319">
        <f>Data!DF8/AS$4*100000*AS$3</f>
        <v>0</v>
      </c>
      <c r="AT9" s="319">
        <f>Data!DG8/AT$4*100000*AT$3</f>
        <v>0</v>
      </c>
      <c r="AU9" s="319">
        <f>Data!DH8/AU$4*100000*AU$3</f>
        <v>0</v>
      </c>
      <c r="AV9" s="319">
        <f>Data!DI8/AV$4*100000*AV$3</f>
        <v>0</v>
      </c>
      <c r="AW9" s="319">
        <f>Data!DJ8/AW$4*100000*AW$3</f>
        <v>0</v>
      </c>
      <c r="AX9" s="319">
        <f>Data!DK8/AX$4*100000*AX$3</f>
        <v>16218.890141347629</v>
      </c>
      <c r="AY9" s="319">
        <f>Data!DL8/AY$4*100000*AY$3</f>
        <v>14190.309792200653</v>
      </c>
      <c r="AZ9" s="319">
        <f>Data!DM8/AZ$4*100000*AZ$3</f>
        <v>20395.468126982185</v>
      </c>
      <c r="BA9" s="319">
        <f>Data!DN8/BA$4*100000*BA$3</f>
        <v>14074.430278791006</v>
      </c>
      <c r="BB9" s="319">
        <f>Data!DO8/BB$4*100000*BB$3</f>
        <v>4594.9019562795083</v>
      </c>
      <c r="BC9" s="319">
        <f>Data!DP8/BC$4*100000*BC$3</f>
        <v>2467.8257221475019</v>
      </c>
      <c r="BD9" s="319">
        <f>Data!DQ8/BD$4*100000*BD$3</f>
        <v>3292.3978533565996</v>
      </c>
      <c r="BE9" s="319">
        <f>Data!DR8/BE$4*100000*BE$3</f>
        <v>4197.4479516454003</v>
      </c>
    </row>
    <row r="10" spans="1:57" ht="12" customHeight="1">
      <c r="A10" s="66"/>
      <c r="B10" s="125" t="str">
        <f>UPPER(LEFT(TRIM(Data!B9),1)) &amp; MID(TRIM(Data!B9),2,50)</f>
        <v>Skrandžio</v>
      </c>
      <c r="C10" s="125" t="str">
        <f>UPPER(LEFT(TRIM(Data!C9),1)) &amp; MID(TRIM(Data!C9),2,50)</f>
        <v>C16</v>
      </c>
      <c r="D10" s="138">
        <f>Data!BR9</f>
        <v>285</v>
      </c>
      <c r="E10" s="139">
        <f t="shared" si="5"/>
        <v>18.023818001177556</v>
      </c>
      <c r="F10" s="129">
        <f t="shared" si="6"/>
        <v>10.361061075049683</v>
      </c>
      <c r="G10" s="129">
        <f t="shared" si="7"/>
        <v>7.1026298053036561</v>
      </c>
      <c r="H10" s="72"/>
      <c r="I10" s="72"/>
      <c r="J10" s="72"/>
      <c r="K10" s="72"/>
      <c r="L10" s="72"/>
      <c r="M10" s="72"/>
      <c r="N10" s="72"/>
      <c r="O10" s="72"/>
      <c r="P10" s="71"/>
      <c r="Q10" s="311"/>
      <c r="R10" s="327" t="s">
        <v>353</v>
      </c>
      <c r="S10" s="319">
        <f t="shared" si="3"/>
        <v>1036106.1075049683</v>
      </c>
      <c r="T10" s="319">
        <f>Data!DA9/T$4*100000*T$3</f>
        <v>0</v>
      </c>
      <c r="U10" s="319">
        <f>Data!DB9/U$4*100000*U$3</f>
        <v>0</v>
      </c>
      <c r="V10" s="319">
        <f>Data!DC9/V$4*100000*V$3</f>
        <v>0</v>
      </c>
      <c r="W10" s="319">
        <f>Data!DD9/W$4*100000*W$3</f>
        <v>0</v>
      </c>
      <c r="X10" s="319">
        <f>Data!DE9/X$4*100000*X$3</f>
        <v>13739.768779319686</v>
      </c>
      <c r="Y10" s="319">
        <f>Data!DF9/Y$4*100000*Y$3</f>
        <v>0</v>
      </c>
      <c r="Z10" s="319">
        <f>Data!DG9/Z$4*100000*Z$3</f>
        <v>40132.552086319381</v>
      </c>
      <c r="AA10" s="319">
        <f>Data!DH9/AA$4*100000*AA$3</f>
        <v>30319.108618206621</v>
      </c>
      <c r="AB10" s="319">
        <f>Data!DI9/AB$4*100000*AB$3</f>
        <v>13259.835956886589</v>
      </c>
      <c r="AC10" s="319">
        <f>Data!DJ9/AC$4*100000*AC$3</f>
        <v>44444.847572313578</v>
      </c>
      <c r="AD10" s="319">
        <f>Data!DK9/AD$4*100000*AD$3</f>
        <v>90825.784791546714</v>
      </c>
      <c r="AE10" s="319">
        <f>Data!DL9/AE$4*100000*AE$3</f>
        <v>117070.05578565536</v>
      </c>
      <c r="AF10" s="319">
        <f>Data!DM9/AF$4*100000*AF$3</f>
        <v>117273.94173014756</v>
      </c>
      <c r="AG10" s="319">
        <f>Data!DN9/AG$4*100000*AG$3</f>
        <v>164201.68658589508</v>
      </c>
      <c r="AH10" s="319">
        <f>Data!DO9/AH$4*100000*AH$3</f>
        <v>134400.88222117562</v>
      </c>
      <c r="AI10" s="319">
        <f>Data!DP9/AI$4*100000*AI$3</f>
        <v>111052.15749663759</v>
      </c>
      <c r="AJ10" s="319">
        <f>Data!DQ9/AJ$4*100000*AJ$3</f>
        <v>69140.354920488593</v>
      </c>
      <c r="AK10" s="319">
        <f>Data!DR9/AK$4*100000*AK$3</f>
        <v>90245.130960376089</v>
      </c>
      <c r="AL10" s="327" t="s">
        <v>353</v>
      </c>
      <c r="AM10" s="319">
        <f t="shared" si="4"/>
        <v>710262.9805303656</v>
      </c>
      <c r="AN10" s="319">
        <f>Data!DA9/AN$4*100000*AN$3</f>
        <v>0</v>
      </c>
      <c r="AO10" s="319">
        <f>Data!DB9/AO$4*100000*AO$3</f>
        <v>0</v>
      </c>
      <c r="AP10" s="319">
        <f>Data!DC9/AP$4*100000*AP$3</f>
        <v>0</v>
      </c>
      <c r="AQ10" s="319">
        <f>Data!DD9/AQ$4*100000*AQ$3</f>
        <v>0</v>
      </c>
      <c r="AR10" s="319">
        <f>Data!DE9/AR$4*100000*AR$3</f>
        <v>15702.592890651069</v>
      </c>
      <c r="AS10" s="319">
        <f>Data!DF9/AS$4*100000*AS$3</f>
        <v>0</v>
      </c>
      <c r="AT10" s="319">
        <f>Data!DG9/AT$4*100000*AT$3</f>
        <v>34399.330359702326</v>
      </c>
      <c r="AU10" s="319">
        <f>Data!DH9/AU$4*100000*AU$3</f>
        <v>25987.807387034245</v>
      </c>
      <c r="AV10" s="319">
        <f>Data!DI9/AV$4*100000*AV$3</f>
        <v>11365.573677331362</v>
      </c>
      <c r="AW10" s="319">
        <f>Data!DJ9/AW$4*100000*AW$3</f>
        <v>38095.583633411639</v>
      </c>
      <c r="AX10" s="319">
        <f>Data!DK9/AX$4*100000*AX$3</f>
        <v>64875.560565390515</v>
      </c>
      <c r="AY10" s="319">
        <f>Data!DL9/AY$4*100000*AY$3</f>
        <v>78046.703857103581</v>
      </c>
      <c r="AZ10" s="319">
        <f>Data!DM9/AZ$4*100000*AZ$3</f>
        <v>93819.15338411805</v>
      </c>
      <c r="BA10" s="319">
        <f>Data!DN9/BA$4*100000*BA$3</f>
        <v>123151.26493942132</v>
      </c>
      <c r="BB10" s="319">
        <f>Data!DO9/BB$4*100000*BB$3</f>
        <v>89600.588147450413</v>
      </c>
      <c r="BC10" s="319">
        <f>Data!DP9/BC$4*100000*BC$3</f>
        <v>55526.078748318796</v>
      </c>
      <c r="BD10" s="319">
        <f>Data!DQ9/BD$4*100000*BD$3</f>
        <v>34570.177460244297</v>
      </c>
      <c r="BE10" s="319">
        <f>Data!DR9/BE$4*100000*BE$3</f>
        <v>45122.565480188045</v>
      </c>
    </row>
    <row r="11" spans="1:57" ht="12" customHeight="1">
      <c r="A11" s="66"/>
      <c r="B11" s="147" t="str">
        <f>UPPER(LEFT(TRIM(Data!B10),1)) &amp; MID(TRIM(Data!B10),2,50)</f>
        <v>Gaubtinės žarnos</v>
      </c>
      <c r="C11" s="141" t="str">
        <f>UPPER(LEFT(TRIM(Data!C10),1)) &amp; MID(TRIM(Data!C10),2,50)</f>
        <v>C18</v>
      </c>
      <c r="D11" s="148">
        <f>Data!BR10</f>
        <v>252</v>
      </c>
      <c r="E11" s="149">
        <f t="shared" si="5"/>
        <v>15.936849601041208</v>
      </c>
      <c r="F11" s="150">
        <f t="shared" si="6"/>
        <v>7.7055608355827889</v>
      </c>
      <c r="G11" s="150">
        <f t="shared" si="7"/>
        <v>4.9500629863537258</v>
      </c>
      <c r="H11" s="72"/>
      <c r="I11" s="72"/>
      <c r="J11" s="72"/>
      <c r="K11" s="72"/>
      <c r="L11" s="72"/>
      <c r="M11" s="72"/>
      <c r="N11" s="72"/>
      <c r="O11" s="72"/>
      <c r="P11" s="71"/>
      <c r="Q11" s="311"/>
      <c r="R11" s="327" t="s">
        <v>353</v>
      </c>
      <c r="S11" s="319">
        <f t="shared" si="3"/>
        <v>770556.08355827886</v>
      </c>
      <c r="T11" s="319">
        <f>Data!DA10/T$4*100000*T$3</f>
        <v>0</v>
      </c>
      <c r="U11" s="319">
        <f>Data!DB10/U$4*100000*U$3</f>
        <v>0</v>
      </c>
      <c r="V11" s="319">
        <f>Data!DC10/V$4*100000*V$3</f>
        <v>0</v>
      </c>
      <c r="W11" s="319">
        <f>Data!DD10/W$4*100000*W$3</f>
        <v>0</v>
      </c>
      <c r="X11" s="319">
        <f>Data!DE10/X$4*100000*X$3</f>
        <v>6869.8843896598428</v>
      </c>
      <c r="Y11" s="319">
        <f>Data!DF10/Y$4*100000*Y$3</f>
        <v>0</v>
      </c>
      <c r="Z11" s="319">
        <f>Data!DG10/Z$4*100000*Z$3</f>
        <v>8026.5104172638767</v>
      </c>
      <c r="AA11" s="319">
        <f>Data!DH10/AA$4*100000*AA$3</f>
        <v>0</v>
      </c>
      <c r="AB11" s="319">
        <f>Data!DI10/AB$4*100000*AB$3</f>
        <v>13259.835956886589</v>
      </c>
      <c r="AC11" s="319">
        <f>Data!DJ10/AC$4*100000*AC$3</f>
        <v>31746.319694509701</v>
      </c>
      <c r="AD11" s="319">
        <f>Data!DK10/AD$4*100000*AD$3</f>
        <v>56766.115494716687</v>
      </c>
      <c r="AE11" s="319">
        <f>Data!DL10/AE$4*100000*AE$3</f>
        <v>69177.760236978167</v>
      </c>
      <c r="AF11" s="319">
        <f>Data!DM10/AF$4*100000*AF$3</f>
        <v>71384.138444437645</v>
      </c>
      <c r="AG11" s="319">
        <f>Data!DN10/AG$4*100000*AG$3</f>
        <v>93829.535191940042</v>
      </c>
      <c r="AH11" s="319">
        <f>Data!DO10/AH$4*100000*AH$3</f>
        <v>106831.47048349855</v>
      </c>
      <c r="AI11" s="319">
        <f>Data!DP10/AI$4*100000*AI$3</f>
        <v>106116.50605234259</v>
      </c>
      <c r="AJ11" s="319">
        <f>Data!DQ10/AJ$4*100000*AJ$3</f>
        <v>103710.53238073288</v>
      </c>
      <c r="AK11" s="319">
        <f>Data!DR10/AK$4*100000*AK$3</f>
        <v>102837.47481531229</v>
      </c>
      <c r="AL11" s="327" t="s">
        <v>353</v>
      </c>
      <c r="AM11" s="319">
        <f t="shared" si="4"/>
        <v>495006.29863537254</v>
      </c>
      <c r="AN11" s="319">
        <f>Data!DA10/AN$4*100000*AN$3</f>
        <v>0</v>
      </c>
      <c r="AO11" s="319">
        <f>Data!DB10/AO$4*100000*AO$3</f>
        <v>0</v>
      </c>
      <c r="AP11" s="319">
        <f>Data!DC10/AP$4*100000*AP$3</f>
        <v>0</v>
      </c>
      <c r="AQ11" s="319">
        <f>Data!DD10/AQ$4*100000*AQ$3</f>
        <v>0</v>
      </c>
      <c r="AR11" s="319">
        <f>Data!DE10/AR$4*100000*AR$3</f>
        <v>7851.2964453255345</v>
      </c>
      <c r="AS11" s="319">
        <f>Data!DF10/AS$4*100000*AS$3</f>
        <v>0</v>
      </c>
      <c r="AT11" s="319">
        <f>Data!DG10/AT$4*100000*AT$3</f>
        <v>6879.8660719404661</v>
      </c>
      <c r="AU11" s="319">
        <f>Data!DH10/AU$4*100000*AU$3</f>
        <v>0</v>
      </c>
      <c r="AV11" s="319">
        <f>Data!DI10/AV$4*100000*AV$3</f>
        <v>11365.573677331362</v>
      </c>
      <c r="AW11" s="319">
        <f>Data!DJ10/AW$4*100000*AW$3</f>
        <v>27211.1311667226</v>
      </c>
      <c r="AX11" s="319">
        <f>Data!DK10/AX$4*100000*AX$3</f>
        <v>40547.22535336906</v>
      </c>
      <c r="AY11" s="319">
        <f>Data!DL10/AY$4*100000*AY$3</f>
        <v>46118.506824652119</v>
      </c>
      <c r="AZ11" s="319">
        <f>Data!DM10/AZ$4*100000*AZ$3</f>
        <v>57107.310755550119</v>
      </c>
      <c r="BA11" s="319">
        <f>Data!DN10/BA$4*100000*BA$3</f>
        <v>70372.151393955035</v>
      </c>
      <c r="BB11" s="319">
        <f>Data!DO10/BB$4*100000*BB$3</f>
        <v>71220.980322332369</v>
      </c>
      <c r="BC11" s="319">
        <f>Data!DP10/BC$4*100000*BC$3</f>
        <v>53058.253026171296</v>
      </c>
      <c r="BD11" s="319">
        <f>Data!DQ10/BD$4*100000*BD$3</f>
        <v>51855.266190366441</v>
      </c>
      <c r="BE11" s="319">
        <f>Data!DR10/BE$4*100000*BE$3</f>
        <v>51418.737407656146</v>
      </c>
    </row>
    <row r="12" spans="1:57" ht="12" customHeight="1">
      <c r="A12" s="66"/>
      <c r="B12" s="125" t="str">
        <f>UPPER(LEFT(TRIM(Data!B11),1)) &amp; MID(TRIM(Data!B11),2,50)</f>
        <v>Tiesiosios žarnos, išangės</v>
      </c>
      <c r="C12" s="125" t="str">
        <f>UPPER(LEFT(TRIM(Data!C11),1)) &amp; MID(TRIM(Data!C11),2,50)</f>
        <v>C19-C21</v>
      </c>
      <c r="D12" s="138">
        <f>Data!BR11</f>
        <v>184</v>
      </c>
      <c r="E12" s="139">
        <f t="shared" si="5"/>
        <v>11.636429867426914</v>
      </c>
      <c r="F12" s="129">
        <f t="shared" si="6"/>
        <v>5.812273821922739</v>
      </c>
      <c r="G12" s="129">
        <f t="shared" si="7"/>
        <v>3.7692788041097973</v>
      </c>
      <c r="H12" s="72"/>
      <c r="I12" s="72"/>
      <c r="J12" s="72"/>
      <c r="K12" s="72"/>
      <c r="L12" s="72"/>
      <c r="M12" s="72"/>
      <c r="N12" s="72"/>
      <c r="O12" s="72"/>
      <c r="P12" s="71"/>
      <c r="Q12" s="311"/>
      <c r="R12" s="327" t="s">
        <v>353</v>
      </c>
      <c r="S12" s="319">
        <f t="shared" si="3"/>
        <v>581227.38219227386</v>
      </c>
      <c r="T12" s="319">
        <f>Data!DA11/T$4*100000*T$3</f>
        <v>0</v>
      </c>
      <c r="U12" s="319">
        <f>Data!DB11/U$4*100000*U$3</f>
        <v>0</v>
      </c>
      <c r="V12" s="319">
        <f>Data!DC11/V$4*100000*V$3</f>
        <v>0</v>
      </c>
      <c r="W12" s="319">
        <f>Data!DD11/W$4*100000*W$3</f>
        <v>0</v>
      </c>
      <c r="X12" s="319">
        <f>Data!DE11/X$4*100000*X$3</f>
        <v>0</v>
      </c>
      <c r="Y12" s="319">
        <f>Data!DF11/Y$4*100000*Y$3</f>
        <v>0</v>
      </c>
      <c r="Z12" s="319">
        <f>Data!DG11/Z$4*100000*Z$3</f>
        <v>0</v>
      </c>
      <c r="AA12" s="319">
        <f>Data!DH11/AA$4*100000*AA$3</f>
        <v>7579.7771545516553</v>
      </c>
      <c r="AB12" s="319">
        <f>Data!DI11/AB$4*100000*AB$3</f>
        <v>0</v>
      </c>
      <c r="AC12" s="319">
        <f>Data!DJ11/AC$4*100000*AC$3</f>
        <v>38095.583633411639</v>
      </c>
      <c r="AD12" s="319">
        <f>Data!DK11/AD$4*100000*AD$3</f>
        <v>17029.83464841501</v>
      </c>
      <c r="AE12" s="319">
        <f>Data!DL11/AE$4*100000*AE$3</f>
        <v>74499.126409053424</v>
      </c>
      <c r="AF12" s="319">
        <f>Data!DM11/AF$4*100000*AF$3</f>
        <v>86680.73953967428</v>
      </c>
      <c r="AG12" s="319">
        <f>Data!DN11/AG$4*100000*AG$3</f>
        <v>70372.151393955035</v>
      </c>
      <c r="AH12" s="319">
        <f>Data!DO11/AH$4*100000*AH$3</f>
        <v>62031.176409773361</v>
      </c>
      <c r="AI12" s="319">
        <f>Data!DP11/AI$4*100000*AI$3</f>
        <v>81438.248830867567</v>
      </c>
      <c r="AJ12" s="319">
        <f>Data!DQ11/AJ$4*100000*AJ$3</f>
        <v>65847.957067131982</v>
      </c>
      <c r="AK12" s="319">
        <f>Data!DR11/AK$4*100000*AK$3</f>
        <v>77652.787105439886</v>
      </c>
      <c r="AL12" s="327" t="s">
        <v>353</v>
      </c>
      <c r="AM12" s="319">
        <f t="shared" si="4"/>
        <v>376927.88041097973</v>
      </c>
      <c r="AN12" s="319">
        <f>Data!DA11/AN$4*100000*AN$3</f>
        <v>0</v>
      </c>
      <c r="AO12" s="319">
        <f>Data!DB11/AO$4*100000*AO$3</f>
        <v>0</v>
      </c>
      <c r="AP12" s="319">
        <f>Data!DC11/AP$4*100000*AP$3</f>
        <v>0</v>
      </c>
      <c r="AQ12" s="319">
        <f>Data!DD11/AQ$4*100000*AQ$3</f>
        <v>0</v>
      </c>
      <c r="AR12" s="319">
        <f>Data!DE11/AR$4*100000*AR$3</f>
        <v>0</v>
      </c>
      <c r="AS12" s="319">
        <f>Data!DF11/AS$4*100000*AS$3</f>
        <v>0</v>
      </c>
      <c r="AT12" s="319">
        <f>Data!DG11/AT$4*100000*AT$3</f>
        <v>0</v>
      </c>
      <c r="AU12" s="319">
        <f>Data!DH11/AU$4*100000*AU$3</f>
        <v>6496.9518467585613</v>
      </c>
      <c r="AV12" s="319">
        <f>Data!DI11/AV$4*100000*AV$3</f>
        <v>0</v>
      </c>
      <c r="AW12" s="319">
        <f>Data!DJ11/AW$4*100000*AW$3</f>
        <v>32653.357400067121</v>
      </c>
      <c r="AX12" s="319">
        <f>Data!DK11/AX$4*100000*AX$3</f>
        <v>12164.16760601072</v>
      </c>
      <c r="AY12" s="319">
        <f>Data!DL11/AY$4*100000*AY$3</f>
        <v>49666.084272702283</v>
      </c>
      <c r="AZ12" s="319">
        <f>Data!DM11/AZ$4*100000*AZ$3</f>
        <v>69344.591631739415</v>
      </c>
      <c r="BA12" s="319">
        <f>Data!DN11/BA$4*100000*BA$3</f>
        <v>52779.11354546628</v>
      </c>
      <c r="BB12" s="319">
        <f>Data!DO11/BB$4*100000*BB$3</f>
        <v>41354.117606515574</v>
      </c>
      <c r="BC12" s="319">
        <f>Data!DP11/BC$4*100000*BC$3</f>
        <v>40719.124415433784</v>
      </c>
      <c r="BD12" s="319">
        <f>Data!DQ11/BD$4*100000*BD$3</f>
        <v>32923.978533565991</v>
      </c>
      <c r="BE12" s="319">
        <f>Data!DR11/BE$4*100000*BE$3</f>
        <v>38826.393552719943</v>
      </c>
    </row>
    <row r="13" spans="1:57" ht="12" customHeight="1">
      <c r="A13" s="66"/>
      <c r="B13" s="147" t="str">
        <f>UPPER(LEFT(TRIM(Data!B12),1)) &amp; MID(TRIM(Data!B12),2,50)</f>
        <v>Kepenų</v>
      </c>
      <c r="C13" s="141" t="str">
        <f>UPPER(LEFT(TRIM(Data!C12),1)) &amp; MID(TRIM(Data!C12),2,50)</f>
        <v>C22</v>
      </c>
      <c r="D13" s="148">
        <f>Data!BR12</f>
        <v>79</v>
      </c>
      <c r="E13" s="149">
        <f t="shared" si="5"/>
        <v>4.9960758669930767</v>
      </c>
      <c r="F13" s="150">
        <f t="shared" si="6"/>
        <v>2.722738992099734</v>
      </c>
      <c r="G13" s="150">
        <f t="shared" si="7"/>
        <v>1.8316631044305214</v>
      </c>
      <c r="H13" s="72"/>
      <c r="I13" s="72"/>
      <c r="J13" s="72"/>
      <c r="K13" s="72"/>
      <c r="L13" s="72"/>
      <c r="M13" s="72"/>
      <c r="N13" s="72"/>
      <c r="O13" s="72"/>
      <c r="P13" s="71"/>
      <c r="Q13" s="311"/>
      <c r="R13" s="327" t="s">
        <v>353</v>
      </c>
      <c r="S13" s="319">
        <f t="shared" si="3"/>
        <v>272273.8992099734</v>
      </c>
      <c r="T13" s="319">
        <f>Data!DA12/T$4*100000*T$3</f>
        <v>0</v>
      </c>
      <c r="U13" s="319">
        <f>Data!DB12/U$4*100000*U$3</f>
        <v>0</v>
      </c>
      <c r="V13" s="319">
        <f>Data!DC12/V$4*100000*V$3</f>
        <v>0</v>
      </c>
      <c r="W13" s="319">
        <f>Data!DD12/W$4*100000*W$3</f>
        <v>0</v>
      </c>
      <c r="X13" s="319">
        <f>Data!DE12/X$4*100000*X$3</f>
        <v>6869.8843896598428</v>
      </c>
      <c r="Y13" s="319">
        <f>Data!DF12/Y$4*100000*Y$3</f>
        <v>0</v>
      </c>
      <c r="Z13" s="319">
        <f>Data!DG12/Z$4*100000*Z$3</f>
        <v>0</v>
      </c>
      <c r="AA13" s="319">
        <f>Data!DH12/AA$4*100000*AA$3</f>
        <v>7579.7771545516553</v>
      </c>
      <c r="AB13" s="319">
        <f>Data!DI12/AB$4*100000*AB$3</f>
        <v>6629.9179784432945</v>
      </c>
      <c r="AC13" s="319">
        <f>Data!DJ12/AC$4*100000*AC$3</f>
        <v>6349.2639389019405</v>
      </c>
      <c r="AD13" s="319">
        <f>Data!DK12/AD$4*100000*AD$3</f>
        <v>34059.669296830019</v>
      </c>
      <c r="AE13" s="319">
        <f>Data!DL12/AE$4*100000*AE$3</f>
        <v>42570.929376601955</v>
      </c>
      <c r="AF13" s="319">
        <f>Data!DM12/AF$4*100000*AF$3</f>
        <v>40790.93625396437</v>
      </c>
      <c r="AG13" s="319">
        <f>Data!DN12/AG$4*100000*AG$3</f>
        <v>4691.4767595970015</v>
      </c>
      <c r="AH13" s="319">
        <f>Data!DO12/AH$4*100000*AH$3</f>
        <v>44800.294073725199</v>
      </c>
      <c r="AI13" s="319">
        <f>Data!DP12/AI$4*100000*AI$3</f>
        <v>22210.431499327518</v>
      </c>
      <c r="AJ13" s="319">
        <f>Data!DQ12/AJ$4*100000*AJ$3</f>
        <v>26339.182826852797</v>
      </c>
      <c r="AK13" s="319">
        <f>Data!DR12/AK$4*100000*AK$3</f>
        <v>29382.135661517797</v>
      </c>
      <c r="AL13" s="327" t="s">
        <v>353</v>
      </c>
      <c r="AM13" s="319">
        <f t="shared" si="4"/>
        <v>183166.31044305215</v>
      </c>
      <c r="AN13" s="319">
        <f>Data!DA12/AN$4*100000*AN$3</f>
        <v>0</v>
      </c>
      <c r="AO13" s="319">
        <f>Data!DB12/AO$4*100000*AO$3</f>
        <v>0</v>
      </c>
      <c r="AP13" s="319">
        <f>Data!DC12/AP$4*100000*AP$3</f>
        <v>0</v>
      </c>
      <c r="AQ13" s="319">
        <f>Data!DD12/AQ$4*100000*AQ$3</f>
        <v>0</v>
      </c>
      <c r="AR13" s="319">
        <f>Data!DE12/AR$4*100000*AR$3</f>
        <v>7851.2964453255345</v>
      </c>
      <c r="AS13" s="319">
        <f>Data!DF12/AS$4*100000*AS$3</f>
        <v>0</v>
      </c>
      <c r="AT13" s="319">
        <f>Data!DG12/AT$4*100000*AT$3</f>
        <v>0</v>
      </c>
      <c r="AU13" s="319">
        <f>Data!DH12/AU$4*100000*AU$3</f>
        <v>6496.9518467585613</v>
      </c>
      <c r="AV13" s="319">
        <f>Data!DI12/AV$4*100000*AV$3</f>
        <v>5682.786838665681</v>
      </c>
      <c r="AW13" s="319">
        <f>Data!DJ12/AW$4*100000*AW$3</f>
        <v>5442.2262333445206</v>
      </c>
      <c r="AX13" s="319">
        <f>Data!DK12/AX$4*100000*AX$3</f>
        <v>24328.33521202144</v>
      </c>
      <c r="AY13" s="319">
        <f>Data!DL12/AY$4*100000*AY$3</f>
        <v>28380.619584401305</v>
      </c>
      <c r="AZ13" s="319">
        <f>Data!DM12/AZ$4*100000*AZ$3</f>
        <v>32632.749003171499</v>
      </c>
      <c r="BA13" s="319">
        <f>Data!DN12/BA$4*100000*BA$3</f>
        <v>3518.6075696977514</v>
      </c>
      <c r="BB13" s="319">
        <f>Data!DO12/BB$4*100000*BB$3</f>
        <v>29866.862715816798</v>
      </c>
      <c r="BC13" s="319">
        <f>Data!DP12/BC$4*100000*BC$3</f>
        <v>11105.215749663759</v>
      </c>
      <c r="BD13" s="319">
        <f>Data!DQ12/BD$4*100000*BD$3</f>
        <v>13169.591413426399</v>
      </c>
      <c r="BE13" s="319">
        <f>Data!DR12/BE$4*100000*BE$3</f>
        <v>14691.067830758899</v>
      </c>
    </row>
    <row r="14" spans="1:57" ht="12" customHeight="1">
      <c r="A14" s="66"/>
      <c r="B14" s="125" t="str">
        <f>UPPER(LEFT(TRIM(Data!B13),1)) &amp; MID(TRIM(Data!B13),2,50)</f>
        <v>Tulžies pūslės, ekstrahepatinių takų</v>
      </c>
      <c r="C14" s="125" t="str">
        <f>UPPER(LEFT(TRIM(Data!C13),1)) &amp; MID(TRIM(Data!C13),2,50)</f>
        <v>C23, C24</v>
      </c>
      <c r="D14" s="138">
        <f>Data!BR13</f>
        <v>57</v>
      </c>
      <c r="E14" s="139">
        <f t="shared" si="5"/>
        <v>3.6047636002355112</v>
      </c>
      <c r="F14" s="129">
        <f t="shared" si="6"/>
        <v>1.9550560990355066</v>
      </c>
      <c r="G14" s="129">
        <f t="shared" si="7"/>
        <v>1.3029489896223279</v>
      </c>
      <c r="H14" s="72"/>
      <c r="I14" s="72"/>
      <c r="J14" s="72"/>
      <c r="K14" s="72"/>
      <c r="L14" s="72"/>
      <c r="M14" s="72"/>
      <c r="N14" s="72"/>
      <c r="O14" s="72"/>
      <c r="P14" s="71"/>
      <c r="Q14" s="311"/>
      <c r="R14" s="327" t="s">
        <v>353</v>
      </c>
      <c r="S14" s="319">
        <f t="shared" si="3"/>
        <v>195505.60990355065</v>
      </c>
      <c r="T14" s="319">
        <f>Data!DA13/T$4*100000*T$3</f>
        <v>0</v>
      </c>
      <c r="U14" s="319">
        <f>Data!DB13/U$4*100000*U$3</f>
        <v>0</v>
      </c>
      <c r="V14" s="319">
        <f>Data!DC13/V$4*100000*V$3</f>
        <v>0</v>
      </c>
      <c r="W14" s="319">
        <f>Data!DD13/W$4*100000*W$3</f>
        <v>0</v>
      </c>
      <c r="X14" s="319">
        <f>Data!DE13/X$4*100000*X$3</f>
        <v>0</v>
      </c>
      <c r="Y14" s="319">
        <f>Data!DF13/Y$4*100000*Y$3</f>
        <v>0</v>
      </c>
      <c r="Z14" s="319">
        <f>Data!DG13/Z$4*100000*Z$3</f>
        <v>0</v>
      </c>
      <c r="AA14" s="319">
        <f>Data!DH13/AA$4*100000*AA$3</f>
        <v>0</v>
      </c>
      <c r="AB14" s="319">
        <f>Data!DI13/AB$4*100000*AB$3</f>
        <v>0</v>
      </c>
      <c r="AC14" s="319">
        <f>Data!DJ13/AC$4*100000*AC$3</f>
        <v>12698.527877803881</v>
      </c>
      <c r="AD14" s="319">
        <f>Data!DK13/AD$4*100000*AD$3</f>
        <v>17029.83464841501</v>
      </c>
      <c r="AE14" s="319">
        <f>Data!DL13/AE$4*100000*AE$3</f>
        <v>21285.464688300977</v>
      </c>
      <c r="AF14" s="319">
        <f>Data!DM13/AF$4*100000*AF$3</f>
        <v>30593.202190473279</v>
      </c>
      <c r="AG14" s="319">
        <f>Data!DN13/AG$4*100000*AG$3</f>
        <v>28148.860557582011</v>
      </c>
      <c r="AH14" s="319">
        <f>Data!DO13/AH$4*100000*AH$3</f>
        <v>27569.411737677048</v>
      </c>
      <c r="AI14" s="319">
        <f>Data!DP13/AI$4*100000*AI$3</f>
        <v>17274.780055032516</v>
      </c>
      <c r="AJ14" s="319">
        <f>Data!DQ13/AJ$4*100000*AJ$3</f>
        <v>11523.392486748096</v>
      </c>
      <c r="AK14" s="319">
        <f>Data!DR13/AK$4*100000*AK$3</f>
        <v>29382.135661517797</v>
      </c>
      <c r="AL14" s="327" t="s">
        <v>353</v>
      </c>
      <c r="AM14" s="319">
        <f t="shared" si="4"/>
        <v>130294.89896223278</v>
      </c>
      <c r="AN14" s="319">
        <f>Data!DA13/AN$4*100000*AN$3</f>
        <v>0</v>
      </c>
      <c r="AO14" s="319">
        <f>Data!DB13/AO$4*100000*AO$3</f>
        <v>0</v>
      </c>
      <c r="AP14" s="319">
        <f>Data!DC13/AP$4*100000*AP$3</f>
        <v>0</v>
      </c>
      <c r="AQ14" s="319">
        <f>Data!DD13/AQ$4*100000*AQ$3</f>
        <v>0</v>
      </c>
      <c r="AR14" s="319">
        <f>Data!DE13/AR$4*100000*AR$3</f>
        <v>0</v>
      </c>
      <c r="AS14" s="319">
        <f>Data!DF13/AS$4*100000*AS$3</f>
        <v>0</v>
      </c>
      <c r="AT14" s="319">
        <f>Data!DG13/AT$4*100000*AT$3</f>
        <v>0</v>
      </c>
      <c r="AU14" s="319">
        <f>Data!DH13/AU$4*100000*AU$3</f>
        <v>0</v>
      </c>
      <c r="AV14" s="319">
        <f>Data!DI13/AV$4*100000*AV$3</f>
        <v>0</v>
      </c>
      <c r="AW14" s="319">
        <f>Data!DJ13/AW$4*100000*AW$3</f>
        <v>10884.452466689041</v>
      </c>
      <c r="AX14" s="319">
        <f>Data!DK13/AX$4*100000*AX$3</f>
        <v>12164.16760601072</v>
      </c>
      <c r="AY14" s="319">
        <f>Data!DL13/AY$4*100000*AY$3</f>
        <v>14190.309792200653</v>
      </c>
      <c r="AZ14" s="319">
        <f>Data!DM13/AZ$4*100000*AZ$3</f>
        <v>24474.561752378624</v>
      </c>
      <c r="BA14" s="319">
        <f>Data!DN13/BA$4*100000*BA$3</f>
        <v>21111.645418186508</v>
      </c>
      <c r="BB14" s="319">
        <f>Data!DO13/BB$4*100000*BB$3</f>
        <v>18379.607825118033</v>
      </c>
      <c r="BC14" s="319">
        <f>Data!DP13/BC$4*100000*BC$3</f>
        <v>8637.3900275162578</v>
      </c>
      <c r="BD14" s="319">
        <f>Data!DQ13/BD$4*100000*BD$3</f>
        <v>5761.6962433740482</v>
      </c>
      <c r="BE14" s="319">
        <f>Data!DR13/BE$4*100000*BE$3</f>
        <v>14691.067830758899</v>
      </c>
    </row>
    <row r="15" spans="1:57" ht="12" customHeight="1">
      <c r="A15" s="66"/>
      <c r="B15" s="147" t="str">
        <f>UPPER(LEFT(TRIM(Data!B14),1)) &amp; MID(TRIM(Data!B14),2,50)</f>
        <v>Kasos</v>
      </c>
      <c r="C15" s="141" t="str">
        <f>UPPER(LEFT(TRIM(Data!C14),1)) &amp; MID(TRIM(Data!C14),2,50)</f>
        <v>C25</v>
      </c>
      <c r="D15" s="148">
        <f>Data!BR14</f>
        <v>239</v>
      </c>
      <c r="E15" s="149">
        <f t="shared" si="5"/>
        <v>15.114710534320826</v>
      </c>
      <c r="F15" s="150">
        <f t="shared" si="6"/>
        <v>8.0716926417064592</v>
      </c>
      <c r="G15" s="150">
        <f t="shared" si="7"/>
        <v>5.3311701799150022</v>
      </c>
      <c r="H15" s="72"/>
      <c r="I15" s="72"/>
      <c r="J15" s="72"/>
      <c r="K15" s="72"/>
      <c r="L15" s="72"/>
      <c r="M15" s="72"/>
      <c r="N15" s="72"/>
      <c r="O15" s="72"/>
      <c r="P15" s="71"/>
      <c r="Q15" s="311"/>
      <c r="R15" s="327" t="s">
        <v>353</v>
      </c>
      <c r="S15" s="319">
        <f t="shared" si="3"/>
        <v>807169.26417064585</v>
      </c>
      <c r="T15" s="319">
        <f>Data!DA14/T$4*100000*T$3</f>
        <v>0</v>
      </c>
      <c r="U15" s="319">
        <f>Data!DB14/U$4*100000*U$3</f>
        <v>0</v>
      </c>
      <c r="V15" s="319">
        <f>Data!DC14/V$4*100000*V$3</f>
        <v>0</v>
      </c>
      <c r="W15" s="319">
        <f>Data!DD14/W$4*100000*W$3</f>
        <v>0</v>
      </c>
      <c r="X15" s="319">
        <f>Data!DE14/X$4*100000*X$3</f>
        <v>0</v>
      </c>
      <c r="Y15" s="319">
        <f>Data!DF14/Y$4*100000*Y$3</f>
        <v>0</v>
      </c>
      <c r="Z15" s="319">
        <f>Data!DG14/Z$4*100000*Z$3</f>
        <v>0</v>
      </c>
      <c r="AA15" s="319">
        <f>Data!DH14/AA$4*100000*AA$3</f>
        <v>0</v>
      </c>
      <c r="AB15" s="319">
        <f>Data!DI14/AB$4*100000*AB$3</f>
        <v>6629.9179784432945</v>
      </c>
      <c r="AC15" s="319">
        <f>Data!DJ14/AC$4*100000*AC$3</f>
        <v>31746.319694509701</v>
      </c>
      <c r="AD15" s="319">
        <f>Data!DK14/AD$4*100000*AD$3</f>
        <v>51089.503945245029</v>
      </c>
      <c r="AE15" s="319">
        <f>Data!DL14/AE$4*100000*AE$3</f>
        <v>85141.858753203909</v>
      </c>
      <c r="AF15" s="319">
        <f>Data!DM14/AF$4*100000*AF$3</f>
        <v>112175.07469840202</v>
      </c>
      <c r="AG15" s="319">
        <f>Data!DN14/AG$4*100000*AG$3</f>
        <v>145435.77954750706</v>
      </c>
      <c r="AH15" s="319">
        <f>Data!DO14/AH$4*100000*AH$3</f>
        <v>124062.35281954672</v>
      </c>
      <c r="AI15" s="319">
        <f>Data!DP14/AI$4*100000*AI$3</f>
        <v>113519.98321878508</v>
      </c>
      <c r="AJ15" s="319">
        <f>Data!DQ14/AJ$4*100000*AJ$3</f>
        <v>57616.962433740497</v>
      </c>
      <c r="AK15" s="319">
        <f>Data!DR14/AK$4*100000*AK$3</f>
        <v>79751.511081262594</v>
      </c>
      <c r="AL15" s="327" t="s">
        <v>353</v>
      </c>
      <c r="AM15" s="319">
        <f t="shared" si="4"/>
        <v>533117.01799150021</v>
      </c>
      <c r="AN15" s="319">
        <f>Data!DA14/AN$4*100000*AN$3</f>
        <v>0</v>
      </c>
      <c r="AO15" s="319">
        <f>Data!DB14/AO$4*100000*AO$3</f>
        <v>0</v>
      </c>
      <c r="AP15" s="319">
        <f>Data!DC14/AP$4*100000*AP$3</f>
        <v>0</v>
      </c>
      <c r="AQ15" s="319">
        <f>Data!DD14/AQ$4*100000*AQ$3</f>
        <v>0</v>
      </c>
      <c r="AR15" s="319">
        <f>Data!DE14/AR$4*100000*AR$3</f>
        <v>0</v>
      </c>
      <c r="AS15" s="319">
        <f>Data!DF14/AS$4*100000*AS$3</f>
        <v>0</v>
      </c>
      <c r="AT15" s="319">
        <f>Data!DG14/AT$4*100000*AT$3</f>
        <v>0</v>
      </c>
      <c r="AU15" s="319">
        <f>Data!DH14/AU$4*100000*AU$3</f>
        <v>0</v>
      </c>
      <c r="AV15" s="319">
        <f>Data!DI14/AV$4*100000*AV$3</f>
        <v>5682.786838665681</v>
      </c>
      <c r="AW15" s="319">
        <f>Data!DJ14/AW$4*100000*AW$3</f>
        <v>27211.1311667226</v>
      </c>
      <c r="AX15" s="319">
        <f>Data!DK14/AX$4*100000*AX$3</f>
        <v>36492.502818032161</v>
      </c>
      <c r="AY15" s="319">
        <f>Data!DL14/AY$4*100000*AY$3</f>
        <v>56761.239168802611</v>
      </c>
      <c r="AZ15" s="319">
        <f>Data!DM14/AZ$4*100000*AZ$3</f>
        <v>89740.059758721618</v>
      </c>
      <c r="BA15" s="319">
        <f>Data!DN14/BA$4*100000*BA$3</f>
        <v>109076.83466063029</v>
      </c>
      <c r="BB15" s="319">
        <f>Data!DO14/BB$4*100000*BB$3</f>
        <v>82708.235213031148</v>
      </c>
      <c r="BC15" s="319">
        <f>Data!DP14/BC$4*100000*BC$3</f>
        <v>56759.991609392542</v>
      </c>
      <c r="BD15" s="319">
        <f>Data!DQ14/BD$4*100000*BD$3</f>
        <v>28808.481216870248</v>
      </c>
      <c r="BE15" s="319">
        <f>Data!DR14/BE$4*100000*BE$3</f>
        <v>39875.755540631297</v>
      </c>
    </row>
    <row r="16" spans="1:57" ht="12" customHeight="1">
      <c r="A16" s="66"/>
      <c r="B16" s="125" t="str">
        <f>UPPER(LEFT(TRIM(Data!B15),1)) &amp; MID(TRIM(Data!B15),2,50)</f>
        <v>Kitų virškinimo sistemos organų</v>
      </c>
      <c r="C16" s="125" t="str">
        <f>UPPER(LEFT(TRIM(Data!C15),1)) &amp; MID(TRIM(Data!C15),2,50)</f>
        <v>C17, C26, C48</v>
      </c>
      <c r="D16" s="138">
        <f>Data!BR15</f>
        <v>39</v>
      </c>
      <c r="E16" s="139">
        <f t="shared" si="5"/>
        <v>2.4664172001611391</v>
      </c>
      <c r="F16" s="129">
        <f t="shared" si="6"/>
        <v>1.2559574750327411</v>
      </c>
      <c r="G16" s="129">
        <f t="shared" si="7"/>
        <v>0.89871222282443952</v>
      </c>
      <c r="H16" s="72"/>
      <c r="I16" s="72"/>
      <c r="J16" s="72"/>
      <c r="K16" s="72"/>
      <c r="L16" s="72"/>
      <c r="M16" s="72"/>
      <c r="N16" s="72"/>
      <c r="O16" s="72"/>
      <c r="P16" s="71"/>
      <c r="Q16" s="311"/>
      <c r="R16" s="327" t="s">
        <v>353</v>
      </c>
      <c r="S16" s="319">
        <f t="shared" si="3"/>
        <v>125595.74750327412</v>
      </c>
      <c r="T16" s="319">
        <f>Data!DA15/T$4*100000*T$3</f>
        <v>10878.285582192246</v>
      </c>
      <c r="U16" s="319">
        <f>Data!DB15/U$4*100000*U$3</f>
        <v>0</v>
      </c>
      <c r="V16" s="319">
        <f>Data!DC15/V$4*100000*V$3</f>
        <v>0</v>
      </c>
      <c r="W16" s="319">
        <f>Data!DD15/W$4*100000*W$3</f>
        <v>0</v>
      </c>
      <c r="X16" s="319">
        <f>Data!DE15/X$4*100000*X$3</f>
        <v>0</v>
      </c>
      <c r="Y16" s="319">
        <f>Data!DF15/Y$4*100000*Y$3</f>
        <v>0</v>
      </c>
      <c r="Z16" s="319">
        <f>Data!DG15/Z$4*100000*Z$3</f>
        <v>0</v>
      </c>
      <c r="AA16" s="319">
        <f>Data!DH15/AA$4*100000*AA$3</f>
        <v>7579.7771545516553</v>
      </c>
      <c r="AB16" s="319">
        <f>Data!DI15/AB$4*100000*AB$3</f>
        <v>0</v>
      </c>
      <c r="AC16" s="319">
        <f>Data!DJ15/AC$4*100000*AC$3</f>
        <v>6349.2639389019405</v>
      </c>
      <c r="AD16" s="319">
        <f>Data!DK15/AD$4*100000*AD$3</f>
        <v>5676.6115494716696</v>
      </c>
      <c r="AE16" s="319">
        <f>Data!DL15/AE$4*100000*AE$3</f>
        <v>5321.3661720752443</v>
      </c>
      <c r="AF16" s="319">
        <f>Data!DM15/AF$4*100000*AF$3</f>
        <v>5098.8670317455462</v>
      </c>
      <c r="AG16" s="319">
        <f>Data!DN15/AG$4*100000*AG$3</f>
        <v>23457.38379798501</v>
      </c>
      <c r="AH16" s="319">
        <f>Data!DO15/AH$4*100000*AH$3</f>
        <v>10338.529401628894</v>
      </c>
      <c r="AI16" s="319">
        <f>Data!DP15/AI$4*100000*AI$3</f>
        <v>19742.605777180015</v>
      </c>
      <c r="AJ16" s="319">
        <f>Data!DQ15/AJ$4*100000*AJ$3</f>
        <v>16461.989266782995</v>
      </c>
      <c r="AK16" s="319">
        <f>Data!DR15/AK$4*100000*AK$3</f>
        <v>14691.067830758899</v>
      </c>
      <c r="AL16" s="327" t="s">
        <v>353</v>
      </c>
      <c r="AM16" s="319">
        <f t="shared" si="4"/>
        <v>89871.222282443952</v>
      </c>
      <c r="AN16" s="319">
        <f>Data!DA15/AN$4*100000*AN$3</f>
        <v>16317.42837328837</v>
      </c>
      <c r="AO16" s="319">
        <f>Data!DB15/AO$4*100000*AO$3</f>
        <v>0</v>
      </c>
      <c r="AP16" s="319">
        <f>Data!DC15/AP$4*100000*AP$3</f>
        <v>0</v>
      </c>
      <c r="AQ16" s="319">
        <f>Data!DD15/AQ$4*100000*AQ$3</f>
        <v>0</v>
      </c>
      <c r="AR16" s="319">
        <f>Data!DE15/AR$4*100000*AR$3</f>
        <v>0</v>
      </c>
      <c r="AS16" s="319">
        <f>Data!DF15/AS$4*100000*AS$3</f>
        <v>0</v>
      </c>
      <c r="AT16" s="319">
        <f>Data!DG15/AT$4*100000*AT$3</f>
        <v>0</v>
      </c>
      <c r="AU16" s="319">
        <f>Data!DH15/AU$4*100000*AU$3</f>
        <v>6496.9518467585613</v>
      </c>
      <c r="AV16" s="319">
        <f>Data!DI15/AV$4*100000*AV$3</f>
        <v>0</v>
      </c>
      <c r="AW16" s="319">
        <f>Data!DJ15/AW$4*100000*AW$3</f>
        <v>5442.2262333445206</v>
      </c>
      <c r="AX16" s="319">
        <f>Data!DK15/AX$4*100000*AX$3</f>
        <v>4054.7225353369072</v>
      </c>
      <c r="AY16" s="319">
        <f>Data!DL15/AY$4*100000*AY$3</f>
        <v>3547.5774480501632</v>
      </c>
      <c r="AZ16" s="319">
        <f>Data!DM15/AZ$4*100000*AZ$3</f>
        <v>4079.0936253964373</v>
      </c>
      <c r="BA16" s="319">
        <f>Data!DN15/BA$4*100000*BA$3</f>
        <v>17593.037848488759</v>
      </c>
      <c r="BB16" s="319">
        <f>Data!DO15/BB$4*100000*BB$3</f>
        <v>6892.3529344192621</v>
      </c>
      <c r="BC16" s="319">
        <f>Data!DP15/BC$4*100000*BC$3</f>
        <v>9871.3028885900076</v>
      </c>
      <c r="BD16" s="319">
        <f>Data!DQ15/BD$4*100000*BD$3</f>
        <v>8230.9946333914977</v>
      </c>
      <c r="BE16" s="319">
        <f>Data!DR15/BE$4*100000*BE$3</f>
        <v>7345.5339153794494</v>
      </c>
    </row>
    <row r="17" spans="1:57" ht="12" customHeight="1">
      <c r="A17" s="66"/>
      <c r="B17" s="147" t="str">
        <f>UPPER(LEFT(TRIM(Data!B16),1)) &amp; MID(TRIM(Data!B16),2,50)</f>
        <v>Nosies ertmės, vid.ausies ir ančių</v>
      </c>
      <c r="C17" s="141" t="str">
        <f>UPPER(LEFT(TRIM(Data!C16),1)) &amp; MID(TRIM(Data!C16),2,50)</f>
        <v>C30, C31</v>
      </c>
      <c r="D17" s="148">
        <f>Data!BR16</f>
        <v>11</v>
      </c>
      <c r="E17" s="149">
        <f t="shared" si="5"/>
        <v>0.69565613337878285</v>
      </c>
      <c r="F17" s="150">
        <f t="shared" si="6"/>
        <v>0.39691642766330143</v>
      </c>
      <c r="G17" s="150">
        <f t="shared" si="7"/>
        <v>0.27643290752717731</v>
      </c>
      <c r="H17" s="72"/>
      <c r="I17" s="72"/>
      <c r="J17" s="72"/>
      <c r="K17" s="72"/>
      <c r="L17" s="72"/>
      <c r="M17" s="72"/>
      <c r="N17" s="72"/>
      <c r="O17" s="72"/>
      <c r="P17" s="71"/>
      <c r="Q17" s="311"/>
      <c r="R17" s="327" t="s">
        <v>353</v>
      </c>
      <c r="S17" s="319">
        <f t="shared" si="3"/>
        <v>39691.642766330144</v>
      </c>
      <c r="T17" s="319">
        <f>Data!DA16/T$4*100000*T$3</f>
        <v>0</v>
      </c>
      <c r="U17" s="319">
        <f>Data!DB16/U$4*100000*U$3</f>
        <v>0</v>
      </c>
      <c r="V17" s="319">
        <f>Data!DC16/V$4*100000*V$3</f>
        <v>0</v>
      </c>
      <c r="W17" s="319">
        <f>Data!DD16/W$4*100000*W$3</f>
        <v>0</v>
      </c>
      <c r="X17" s="319">
        <f>Data!DE16/X$4*100000*X$3</f>
        <v>0</v>
      </c>
      <c r="Y17" s="319">
        <f>Data!DF16/Y$4*100000*Y$3</f>
        <v>0</v>
      </c>
      <c r="Z17" s="319">
        <f>Data!DG16/Z$4*100000*Z$3</f>
        <v>0</v>
      </c>
      <c r="AA17" s="319">
        <f>Data!DH16/AA$4*100000*AA$3</f>
        <v>0</v>
      </c>
      <c r="AB17" s="319">
        <f>Data!DI16/AB$4*100000*AB$3</f>
        <v>0</v>
      </c>
      <c r="AC17" s="319">
        <f>Data!DJ16/AC$4*100000*AC$3</f>
        <v>0</v>
      </c>
      <c r="AD17" s="319">
        <f>Data!DK16/AD$4*100000*AD$3</f>
        <v>0</v>
      </c>
      <c r="AE17" s="319">
        <f>Data!DL16/AE$4*100000*AE$3</f>
        <v>5321.3661720752443</v>
      </c>
      <c r="AF17" s="319">
        <f>Data!DM16/AF$4*100000*AF$3</f>
        <v>15296.60109523664</v>
      </c>
      <c r="AG17" s="319">
        <f>Data!DN16/AG$4*100000*AG$3</f>
        <v>4691.4767595970015</v>
      </c>
      <c r="AH17" s="319">
        <f>Data!DO16/AH$4*100000*AH$3</f>
        <v>6892.3529344192621</v>
      </c>
      <c r="AI17" s="319">
        <f>Data!DP16/AI$4*100000*AI$3</f>
        <v>0</v>
      </c>
      <c r="AJ17" s="319">
        <f>Data!DQ16/AJ$4*100000*AJ$3</f>
        <v>3292.3978533565996</v>
      </c>
      <c r="AK17" s="319">
        <f>Data!DR16/AK$4*100000*AK$3</f>
        <v>4197.4479516454003</v>
      </c>
      <c r="AL17" s="327" t="s">
        <v>353</v>
      </c>
      <c r="AM17" s="319">
        <f t="shared" si="4"/>
        <v>27643.29075271773</v>
      </c>
      <c r="AN17" s="319">
        <f>Data!DA16/AN$4*100000*AN$3</f>
        <v>0</v>
      </c>
      <c r="AO17" s="319">
        <f>Data!DB16/AO$4*100000*AO$3</f>
        <v>0</v>
      </c>
      <c r="AP17" s="319">
        <f>Data!DC16/AP$4*100000*AP$3</f>
        <v>0</v>
      </c>
      <c r="AQ17" s="319">
        <f>Data!DD16/AQ$4*100000*AQ$3</f>
        <v>0</v>
      </c>
      <c r="AR17" s="319">
        <f>Data!DE16/AR$4*100000*AR$3</f>
        <v>0</v>
      </c>
      <c r="AS17" s="319">
        <f>Data!DF16/AS$4*100000*AS$3</f>
        <v>0</v>
      </c>
      <c r="AT17" s="319">
        <f>Data!DG16/AT$4*100000*AT$3</f>
        <v>0</v>
      </c>
      <c r="AU17" s="319">
        <f>Data!DH16/AU$4*100000*AU$3</f>
        <v>0</v>
      </c>
      <c r="AV17" s="319">
        <f>Data!DI16/AV$4*100000*AV$3</f>
        <v>0</v>
      </c>
      <c r="AW17" s="319">
        <f>Data!DJ16/AW$4*100000*AW$3</f>
        <v>0</v>
      </c>
      <c r="AX17" s="319">
        <f>Data!DK16/AX$4*100000*AX$3</f>
        <v>0</v>
      </c>
      <c r="AY17" s="319">
        <f>Data!DL16/AY$4*100000*AY$3</f>
        <v>3547.5774480501632</v>
      </c>
      <c r="AZ17" s="319">
        <f>Data!DM16/AZ$4*100000*AZ$3</f>
        <v>12237.280876189312</v>
      </c>
      <c r="BA17" s="319">
        <f>Data!DN16/BA$4*100000*BA$3</f>
        <v>3518.6075696977514</v>
      </c>
      <c r="BB17" s="319">
        <f>Data!DO16/BB$4*100000*BB$3</f>
        <v>4594.9019562795083</v>
      </c>
      <c r="BC17" s="319">
        <f>Data!DP16/BC$4*100000*BC$3</f>
        <v>0</v>
      </c>
      <c r="BD17" s="319">
        <f>Data!DQ16/BD$4*100000*BD$3</f>
        <v>1646.1989266782998</v>
      </c>
      <c r="BE17" s="319">
        <f>Data!DR16/BE$4*100000*BE$3</f>
        <v>2098.7239758227001</v>
      </c>
    </row>
    <row r="18" spans="1:57" ht="12" customHeight="1">
      <c r="A18" s="66"/>
      <c r="B18" s="125" t="str">
        <f>UPPER(LEFT(TRIM(Data!B17),1)) &amp; MID(TRIM(Data!B17),2,50)</f>
        <v>Gerklų</v>
      </c>
      <c r="C18" s="125" t="str">
        <f>UPPER(LEFT(TRIM(Data!C17),1)) &amp; MID(TRIM(Data!C17),2,50)</f>
        <v>C32</v>
      </c>
      <c r="D18" s="138">
        <f>Data!BR17</f>
        <v>6</v>
      </c>
      <c r="E18" s="139">
        <f t="shared" si="5"/>
        <v>0.37944880002479064</v>
      </c>
      <c r="F18" s="129">
        <f t="shared" si="6"/>
        <v>0.24782223307902568</v>
      </c>
      <c r="G18" s="129">
        <f t="shared" si="7"/>
        <v>0.17649623133915976</v>
      </c>
      <c r="H18" s="72"/>
      <c r="I18" s="72"/>
      <c r="J18" s="72"/>
      <c r="K18" s="72"/>
      <c r="L18" s="72"/>
      <c r="M18" s="72"/>
      <c r="N18" s="72"/>
      <c r="O18" s="72"/>
      <c r="P18" s="71"/>
      <c r="Q18" s="311"/>
      <c r="R18" s="327" t="s">
        <v>353</v>
      </c>
      <c r="S18" s="319">
        <f t="shared" si="3"/>
        <v>24782.223307902568</v>
      </c>
      <c r="T18" s="319">
        <f>Data!DA17/T$4*100000*T$3</f>
        <v>0</v>
      </c>
      <c r="U18" s="319">
        <f>Data!DB17/U$4*100000*U$3</f>
        <v>0</v>
      </c>
      <c r="V18" s="319">
        <f>Data!DC17/V$4*100000*V$3</f>
        <v>0</v>
      </c>
      <c r="W18" s="319">
        <f>Data!DD17/W$4*100000*W$3</f>
        <v>0</v>
      </c>
      <c r="X18" s="319">
        <f>Data!DE17/X$4*100000*X$3</f>
        <v>0</v>
      </c>
      <c r="Y18" s="319">
        <f>Data!DF17/Y$4*100000*Y$3</f>
        <v>0</v>
      </c>
      <c r="Z18" s="319">
        <f>Data!DG17/Z$4*100000*Z$3</f>
        <v>0</v>
      </c>
      <c r="AA18" s="319">
        <f>Data!DH17/AA$4*100000*AA$3</f>
        <v>0</v>
      </c>
      <c r="AB18" s="319">
        <f>Data!DI17/AB$4*100000*AB$3</f>
        <v>0</v>
      </c>
      <c r="AC18" s="319">
        <f>Data!DJ17/AC$4*100000*AC$3</f>
        <v>6349.2639389019405</v>
      </c>
      <c r="AD18" s="319">
        <f>Data!DK17/AD$4*100000*AD$3</f>
        <v>0</v>
      </c>
      <c r="AE18" s="319">
        <f>Data!DL17/AE$4*100000*AE$3</f>
        <v>5321.3661720752443</v>
      </c>
      <c r="AF18" s="319">
        <f>Data!DM17/AF$4*100000*AF$3</f>
        <v>5098.8670317455462</v>
      </c>
      <c r="AG18" s="319">
        <f>Data!DN17/AG$4*100000*AG$3</f>
        <v>0</v>
      </c>
      <c r="AH18" s="319">
        <f>Data!DO17/AH$4*100000*AH$3</f>
        <v>3446.176467209631</v>
      </c>
      <c r="AI18" s="319">
        <f>Data!DP17/AI$4*100000*AI$3</f>
        <v>2467.8257221475019</v>
      </c>
      <c r="AJ18" s="319">
        <f>Data!DQ17/AJ$4*100000*AJ$3</f>
        <v>0</v>
      </c>
      <c r="AK18" s="319">
        <f>Data!DR17/AK$4*100000*AK$3</f>
        <v>2098.7239758227001</v>
      </c>
      <c r="AL18" s="327" t="s">
        <v>353</v>
      </c>
      <c r="AM18" s="319">
        <f t="shared" si="4"/>
        <v>17649.623133915975</v>
      </c>
      <c r="AN18" s="319">
        <f>Data!DA17/AN$4*100000*AN$3</f>
        <v>0</v>
      </c>
      <c r="AO18" s="319">
        <f>Data!DB17/AO$4*100000*AO$3</f>
        <v>0</v>
      </c>
      <c r="AP18" s="319">
        <f>Data!DC17/AP$4*100000*AP$3</f>
        <v>0</v>
      </c>
      <c r="AQ18" s="319">
        <f>Data!DD17/AQ$4*100000*AQ$3</f>
        <v>0</v>
      </c>
      <c r="AR18" s="319">
        <f>Data!DE17/AR$4*100000*AR$3</f>
        <v>0</v>
      </c>
      <c r="AS18" s="319">
        <f>Data!DF17/AS$4*100000*AS$3</f>
        <v>0</v>
      </c>
      <c r="AT18" s="319">
        <f>Data!DG17/AT$4*100000*AT$3</f>
        <v>0</v>
      </c>
      <c r="AU18" s="319">
        <f>Data!DH17/AU$4*100000*AU$3</f>
        <v>0</v>
      </c>
      <c r="AV18" s="319">
        <f>Data!DI17/AV$4*100000*AV$3</f>
        <v>0</v>
      </c>
      <c r="AW18" s="319">
        <f>Data!DJ17/AW$4*100000*AW$3</f>
        <v>5442.2262333445206</v>
      </c>
      <c r="AX18" s="319">
        <f>Data!DK17/AX$4*100000*AX$3</f>
        <v>0</v>
      </c>
      <c r="AY18" s="319">
        <f>Data!DL17/AY$4*100000*AY$3</f>
        <v>3547.5774480501632</v>
      </c>
      <c r="AZ18" s="319">
        <f>Data!DM17/AZ$4*100000*AZ$3</f>
        <v>4079.0936253964373</v>
      </c>
      <c r="BA18" s="319">
        <f>Data!DN17/BA$4*100000*BA$3</f>
        <v>0</v>
      </c>
      <c r="BB18" s="319">
        <f>Data!DO17/BB$4*100000*BB$3</f>
        <v>2297.4509781397542</v>
      </c>
      <c r="BC18" s="319">
        <f>Data!DP17/BC$4*100000*BC$3</f>
        <v>1233.9128610737509</v>
      </c>
      <c r="BD18" s="319">
        <f>Data!DQ17/BD$4*100000*BD$3</f>
        <v>0</v>
      </c>
      <c r="BE18" s="319">
        <f>Data!DR17/BE$4*100000*BE$3</f>
        <v>1049.3619879113501</v>
      </c>
    </row>
    <row r="19" spans="1:57" ht="12" customHeight="1">
      <c r="A19" s="66"/>
      <c r="B19" s="147" t="str">
        <f>UPPER(LEFT(TRIM(Data!B18),1)) &amp; MID(TRIM(Data!B18),2,50)</f>
        <v>Plaučių, trachėjos, bronchų</v>
      </c>
      <c r="C19" s="141" t="str">
        <f>UPPER(LEFT(TRIM(Data!C18),1)) &amp; MID(TRIM(Data!C18),2,50)</f>
        <v>C33, C34</v>
      </c>
      <c r="D19" s="148">
        <f>Data!BR18</f>
        <v>261</v>
      </c>
      <c r="E19" s="149">
        <f t="shared" si="5"/>
        <v>16.506022801078394</v>
      </c>
      <c r="F19" s="150">
        <f t="shared" si="6"/>
        <v>9.3414101225252875</v>
      </c>
      <c r="G19" s="150">
        <f t="shared" si="7"/>
        <v>6.2918290694675028</v>
      </c>
      <c r="H19" s="72"/>
      <c r="I19" s="72"/>
      <c r="J19" s="72"/>
      <c r="K19" s="72"/>
      <c r="L19" s="72"/>
      <c r="M19" s="72"/>
      <c r="N19" s="72"/>
      <c r="O19" s="72"/>
      <c r="P19" s="71"/>
      <c r="Q19" s="311"/>
      <c r="R19" s="327" t="s">
        <v>353</v>
      </c>
      <c r="S19" s="319">
        <f t="shared" si="3"/>
        <v>934141.0122525288</v>
      </c>
      <c r="T19" s="319">
        <f>Data!DA18/T$4*100000*T$3</f>
        <v>0</v>
      </c>
      <c r="U19" s="319">
        <f>Data!DB18/U$4*100000*U$3</f>
        <v>0</v>
      </c>
      <c r="V19" s="319">
        <f>Data!DC18/V$4*100000*V$3</f>
        <v>0</v>
      </c>
      <c r="W19" s="319">
        <f>Data!DD18/W$4*100000*W$3</f>
        <v>0</v>
      </c>
      <c r="X19" s="319">
        <f>Data!DE18/X$4*100000*X$3</f>
        <v>0</v>
      </c>
      <c r="Y19" s="319">
        <f>Data!DF18/Y$4*100000*Y$3</f>
        <v>0</v>
      </c>
      <c r="Z19" s="319">
        <f>Data!DG18/Z$4*100000*Z$3</f>
        <v>0</v>
      </c>
      <c r="AA19" s="319">
        <f>Data!DH18/AA$4*100000*AA$3</f>
        <v>0</v>
      </c>
      <c r="AB19" s="319">
        <f>Data!DI18/AB$4*100000*AB$3</f>
        <v>6629.9179784432945</v>
      </c>
      <c r="AC19" s="319">
        <f>Data!DJ18/AC$4*100000*AC$3</f>
        <v>50794.111511215524</v>
      </c>
      <c r="AD19" s="319">
        <f>Data!DK18/AD$4*100000*AD$3</f>
        <v>79472.561692603369</v>
      </c>
      <c r="AE19" s="319">
        <f>Data!DL18/AE$4*100000*AE$3</f>
        <v>127712.78812980586</v>
      </c>
      <c r="AF19" s="319">
        <f>Data!DM18/AF$4*100000*AF$3</f>
        <v>142768.27688887529</v>
      </c>
      <c r="AG19" s="319">
        <f>Data!DN18/AG$4*100000*AG$3</f>
        <v>140744.30278791007</v>
      </c>
      <c r="AH19" s="319">
        <f>Data!DO18/AH$4*100000*AH$3</f>
        <v>151631.76455722377</v>
      </c>
      <c r="AI19" s="319">
        <f>Data!DP18/AI$4*100000*AI$3</f>
        <v>113519.98321878508</v>
      </c>
      <c r="AJ19" s="319">
        <f>Data!DQ18/AJ$4*100000*AJ$3</f>
        <v>64201.75814045369</v>
      </c>
      <c r="AK19" s="319">
        <f>Data!DR18/AK$4*100000*AK$3</f>
        <v>56665.547347212894</v>
      </c>
      <c r="AL19" s="327" t="s">
        <v>353</v>
      </c>
      <c r="AM19" s="319">
        <f t="shared" si="4"/>
        <v>629182.90694675024</v>
      </c>
      <c r="AN19" s="319">
        <f>Data!DA18/AN$4*100000*AN$3</f>
        <v>0</v>
      </c>
      <c r="AO19" s="319">
        <f>Data!DB18/AO$4*100000*AO$3</f>
        <v>0</v>
      </c>
      <c r="AP19" s="319">
        <f>Data!DC18/AP$4*100000*AP$3</f>
        <v>0</v>
      </c>
      <c r="AQ19" s="319">
        <f>Data!DD18/AQ$4*100000*AQ$3</f>
        <v>0</v>
      </c>
      <c r="AR19" s="319">
        <f>Data!DE18/AR$4*100000*AR$3</f>
        <v>0</v>
      </c>
      <c r="AS19" s="319">
        <f>Data!DF18/AS$4*100000*AS$3</f>
        <v>0</v>
      </c>
      <c r="AT19" s="319">
        <f>Data!DG18/AT$4*100000*AT$3</f>
        <v>0</v>
      </c>
      <c r="AU19" s="319">
        <f>Data!DH18/AU$4*100000*AU$3</f>
        <v>0</v>
      </c>
      <c r="AV19" s="319">
        <f>Data!DI18/AV$4*100000*AV$3</f>
        <v>5682.786838665681</v>
      </c>
      <c r="AW19" s="319">
        <f>Data!DJ18/AW$4*100000*AW$3</f>
        <v>43537.809866756164</v>
      </c>
      <c r="AX19" s="319">
        <f>Data!DK18/AX$4*100000*AX$3</f>
        <v>56766.115494716694</v>
      </c>
      <c r="AY19" s="319">
        <f>Data!DL18/AY$4*100000*AY$3</f>
        <v>85141.858753203909</v>
      </c>
      <c r="AZ19" s="319">
        <f>Data!DM18/AZ$4*100000*AZ$3</f>
        <v>114214.62151110024</v>
      </c>
      <c r="BA19" s="319">
        <f>Data!DN18/BA$4*100000*BA$3</f>
        <v>105558.22709093256</v>
      </c>
      <c r="BB19" s="319">
        <f>Data!DO18/BB$4*100000*BB$3</f>
        <v>101087.84303814918</v>
      </c>
      <c r="BC19" s="319">
        <f>Data!DP18/BC$4*100000*BC$3</f>
        <v>56759.991609392542</v>
      </c>
      <c r="BD19" s="319">
        <f>Data!DQ18/BD$4*100000*BD$3</f>
        <v>32100.879070226845</v>
      </c>
      <c r="BE19" s="319">
        <f>Data!DR18/BE$4*100000*BE$3</f>
        <v>28332.773673606447</v>
      </c>
    </row>
    <row r="20" spans="1:57" ht="12" customHeight="1">
      <c r="A20" s="66"/>
      <c r="B20" s="125" t="str">
        <f>UPPER(LEFT(TRIM(Data!B19),1)) &amp; MID(TRIM(Data!B19),2,50)</f>
        <v>Kitų kvėpavimo sistemos organų</v>
      </c>
      <c r="C20" s="125" t="str">
        <f>UPPER(LEFT(TRIM(Data!C19),1)) &amp; MID(TRIM(Data!C19),2,50)</f>
        <v>C37-C39</v>
      </c>
      <c r="D20" s="138">
        <f>Data!BR19</f>
        <v>9</v>
      </c>
      <c r="E20" s="139">
        <f t="shared" si="5"/>
        <v>0.56917320003718597</v>
      </c>
      <c r="F20" s="129">
        <f t="shared" si="6"/>
        <v>0.37794506242922993</v>
      </c>
      <c r="G20" s="129">
        <f t="shared" si="7"/>
        <v>0.31548197408187245</v>
      </c>
      <c r="H20" s="70"/>
      <c r="I20" s="70"/>
      <c r="J20" s="70"/>
      <c r="K20" s="70"/>
      <c r="L20" s="70"/>
      <c r="M20" s="70"/>
      <c r="N20" s="70"/>
      <c r="O20" s="70"/>
      <c r="P20" s="71"/>
      <c r="Q20" s="311"/>
      <c r="R20" s="327" t="s">
        <v>353</v>
      </c>
      <c r="S20" s="319">
        <f t="shared" si="3"/>
        <v>37794.506242922995</v>
      </c>
      <c r="T20" s="319">
        <f>Data!DA19/T$4*100000*T$3</f>
        <v>0</v>
      </c>
      <c r="U20" s="319">
        <f>Data!DB19/U$4*100000*U$3</f>
        <v>0</v>
      </c>
      <c r="V20" s="319">
        <f>Data!DC19/V$4*100000*V$3</f>
        <v>0</v>
      </c>
      <c r="W20" s="319">
        <f>Data!DD19/W$4*100000*W$3</f>
        <v>8282.8474062854984</v>
      </c>
      <c r="X20" s="319">
        <f>Data!DE19/X$4*100000*X$3</f>
        <v>0</v>
      </c>
      <c r="Y20" s="319">
        <f>Data!DF19/Y$4*100000*Y$3</f>
        <v>0</v>
      </c>
      <c r="Z20" s="319">
        <f>Data!DG19/Z$4*100000*Z$3</f>
        <v>0</v>
      </c>
      <c r="AA20" s="319">
        <f>Data!DH19/AA$4*100000*AA$3</f>
        <v>0</v>
      </c>
      <c r="AB20" s="319">
        <f>Data!DI19/AB$4*100000*AB$3</f>
        <v>0</v>
      </c>
      <c r="AC20" s="319">
        <f>Data!DJ19/AC$4*100000*AC$3</f>
        <v>6349.2639389019405</v>
      </c>
      <c r="AD20" s="319">
        <f>Data!DK19/AD$4*100000*AD$3</f>
        <v>0</v>
      </c>
      <c r="AE20" s="319">
        <f>Data!DL19/AE$4*100000*AE$3</f>
        <v>0</v>
      </c>
      <c r="AF20" s="319">
        <f>Data!DM19/AF$4*100000*AF$3</f>
        <v>5098.8670317455462</v>
      </c>
      <c r="AG20" s="319">
        <f>Data!DN19/AG$4*100000*AG$3</f>
        <v>9382.9535191940031</v>
      </c>
      <c r="AH20" s="319">
        <f>Data!DO19/AH$4*100000*AH$3</f>
        <v>0</v>
      </c>
      <c r="AI20" s="319">
        <f>Data!DP19/AI$4*100000*AI$3</f>
        <v>4935.6514442950038</v>
      </c>
      <c r="AJ20" s="319">
        <f>Data!DQ19/AJ$4*100000*AJ$3</f>
        <v>1646.1989266782998</v>
      </c>
      <c r="AK20" s="319">
        <f>Data!DR19/AK$4*100000*AK$3</f>
        <v>2098.7239758227001</v>
      </c>
      <c r="AL20" s="327" t="s">
        <v>353</v>
      </c>
      <c r="AM20" s="319">
        <f t="shared" si="4"/>
        <v>31548.197408187247</v>
      </c>
      <c r="AN20" s="319">
        <f>Data!DA19/AN$4*100000*AN$3</f>
        <v>0</v>
      </c>
      <c r="AO20" s="319">
        <f>Data!DB19/AO$4*100000*AO$3</f>
        <v>0</v>
      </c>
      <c r="AP20" s="319">
        <f>Data!DC19/AP$4*100000*AP$3</f>
        <v>0</v>
      </c>
      <c r="AQ20" s="319">
        <f>Data!DD19/AQ$4*100000*AQ$3</f>
        <v>10649.375236652784</v>
      </c>
      <c r="AR20" s="319">
        <f>Data!DE19/AR$4*100000*AR$3</f>
        <v>0</v>
      </c>
      <c r="AS20" s="319">
        <f>Data!DF19/AS$4*100000*AS$3</f>
        <v>0</v>
      </c>
      <c r="AT20" s="319">
        <f>Data!DG19/AT$4*100000*AT$3</f>
        <v>0</v>
      </c>
      <c r="AU20" s="319">
        <f>Data!DH19/AU$4*100000*AU$3</f>
        <v>0</v>
      </c>
      <c r="AV20" s="319">
        <f>Data!DI19/AV$4*100000*AV$3</f>
        <v>0</v>
      </c>
      <c r="AW20" s="319">
        <f>Data!DJ19/AW$4*100000*AW$3</f>
        <v>5442.2262333445206</v>
      </c>
      <c r="AX20" s="319">
        <f>Data!DK19/AX$4*100000*AX$3</f>
        <v>0</v>
      </c>
      <c r="AY20" s="319">
        <f>Data!DL19/AY$4*100000*AY$3</f>
        <v>0</v>
      </c>
      <c r="AZ20" s="319">
        <f>Data!DM19/AZ$4*100000*AZ$3</f>
        <v>4079.0936253964373</v>
      </c>
      <c r="BA20" s="319">
        <f>Data!DN19/BA$4*100000*BA$3</f>
        <v>7037.2151393955028</v>
      </c>
      <c r="BB20" s="319">
        <f>Data!DO19/BB$4*100000*BB$3</f>
        <v>0</v>
      </c>
      <c r="BC20" s="319">
        <f>Data!DP19/BC$4*100000*BC$3</f>
        <v>2467.8257221475019</v>
      </c>
      <c r="BD20" s="319">
        <f>Data!DQ19/BD$4*100000*BD$3</f>
        <v>823.09946333914991</v>
      </c>
      <c r="BE20" s="319">
        <f>Data!DR19/BE$4*100000*BE$3</f>
        <v>1049.3619879113501</v>
      </c>
    </row>
    <row r="21" spans="1:57" ht="12" customHeight="1">
      <c r="A21" s="66"/>
      <c r="B21" s="147" t="str">
        <f>UPPER(LEFT(TRIM(Data!B20),1)) &amp; MID(TRIM(Data!B20),2,50)</f>
        <v>Kaulų ir jungiamojo audinio</v>
      </c>
      <c r="C21" s="141" t="str">
        <f>UPPER(LEFT(TRIM(Data!C20),1)) &amp; MID(TRIM(Data!C20),2,50)</f>
        <v>C40-C41, C45-C47, C49</v>
      </c>
      <c r="D21" s="148">
        <f>Data!BR20</f>
        <v>39</v>
      </c>
      <c r="E21" s="149">
        <f t="shared" si="5"/>
        <v>2.4664172001611391</v>
      </c>
      <c r="F21" s="150">
        <f t="shared" si="6"/>
        <v>1.525836327118999</v>
      </c>
      <c r="G21" s="150">
        <f t="shared" si="7"/>
        <v>1.1315895370709825</v>
      </c>
      <c r="H21" s="70"/>
      <c r="I21" s="70"/>
      <c r="J21" s="70"/>
      <c r="K21" s="70"/>
      <c r="L21" s="70"/>
      <c r="M21" s="70"/>
      <c r="N21" s="70"/>
      <c r="O21" s="70"/>
      <c r="P21" s="71"/>
      <c r="Q21" s="311"/>
      <c r="R21" s="327" t="s">
        <v>353</v>
      </c>
      <c r="S21" s="319">
        <f t="shared" si="3"/>
        <v>152583.6327118999</v>
      </c>
      <c r="T21" s="319">
        <f>Data!DA20/T$4*100000*T$3</f>
        <v>0</v>
      </c>
      <c r="U21" s="319">
        <f>Data!DB20/U$4*100000*U$3</f>
        <v>0</v>
      </c>
      <c r="V21" s="319">
        <f>Data!DC20/V$4*100000*V$3</f>
        <v>0</v>
      </c>
      <c r="W21" s="319">
        <f>Data!DD20/W$4*100000*W$3</f>
        <v>0</v>
      </c>
      <c r="X21" s="319">
        <f>Data!DE20/X$4*100000*X$3</f>
        <v>0</v>
      </c>
      <c r="Y21" s="319">
        <f>Data!DF20/Y$4*100000*Y$3</f>
        <v>14741.186876131911</v>
      </c>
      <c r="Z21" s="319">
        <f>Data!DG20/Z$4*100000*Z$3</f>
        <v>0</v>
      </c>
      <c r="AA21" s="319">
        <f>Data!DH20/AA$4*100000*AA$3</f>
        <v>0</v>
      </c>
      <c r="AB21" s="319">
        <f>Data!DI20/AB$4*100000*AB$3</f>
        <v>13259.835956886589</v>
      </c>
      <c r="AC21" s="319">
        <f>Data!DJ20/AC$4*100000*AC$3</f>
        <v>19047.79181670582</v>
      </c>
      <c r="AD21" s="319">
        <f>Data!DK20/AD$4*100000*AD$3</f>
        <v>17029.83464841501</v>
      </c>
      <c r="AE21" s="319">
        <f>Data!DL20/AE$4*100000*AE$3</f>
        <v>10642.732344150489</v>
      </c>
      <c r="AF21" s="319">
        <f>Data!DM20/AF$4*100000*AF$3</f>
        <v>15296.60109523664</v>
      </c>
      <c r="AG21" s="319">
        <f>Data!DN20/AG$4*100000*AG$3</f>
        <v>18765.907038388006</v>
      </c>
      <c r="AH21" s="319">
        <f>Data!DO20/AH$4*100000*AH$3</f>
        <v>6892.3529344192621</v>
      </c>
      <c r="AI21" s="319">
        <f>Data!DP20/AI$4*100000*AI$3</f>
        <v>12339.128610737511</v>
      </c>
      <c r="AJ21" s="319">
        <f>Data!DQ20/AJ$4*100000*AJ$3</f>
        <v>9877.193560069798</v>
      </c>
      <c r="AK21" s="319">
        <f>Data!DR20/AK$4*100000*AK$3</f>
        <v>14691.067830758899</v>
      </c>
      <c r="AL21" s="327" t="s">
        <v>353</v>
      </c>
      <c r="AM21" s="319">
        <f t="shared" si="4"/>
        <v>113158.95370709825</v>
      </c>
      <c r="AN21" s="319">
        <f>Data!DA20/AN$4*100000*AN$3</f>
        <v>0</v>
      </c>
      <c r="AO21" s="319">
        <f>Data!DB20/AO$4*100000*AO$3</f>
        <v>0</v>
      </c>
      <c r="AP21" s="319">
        <f>Data!DC20/AP$4*100000*AP$3</f>
        <v>0</v>
      </c>
      <c r="AQ21" s="319">
        <f>Data!DD20/AQ$4*100000*AQ$3</f>
        <v>0</v>
      </c>
      <c r="AR21" s="319">
        <f>Data!DE20/AR$4*100000*AR$3</f>
        <v>0</v>
      </c>
      <c r="AS21" s="319">
        <f>Data!DF20/AS$4*100000*AS$3</f>
        <v>16847.070715579328</v>
      </c>
      <c r="AT21" s="319">
        <f>Data!DG20/AT$4*100000*AT$3</f>
        <v>0</v>
      </c>
      <c r="AU21" s="319">
        <f>Data!DH20/AU$4*100000*AU$3</f>
        <v>0</v>
      </c>
      <c r="AV21" s="319">
        <f>Data!DI20/AV$4*100000*AV$3</f>
        <v>11365.573677331362</v>
      </c>
      <c r="AW21" s="319">
        <f>Data!DJ20/AW$4*100000*AW$3</f>
        <v>16326.678700033561</v>
      </c>
      <c r="AX21" s="319">
        <f>Data!DK20/AX$4*100000*AX$3</f>
        <v>12164.16760601072</v>
      </c>
      <c r="AY21" s="319">
        <f>Data!DL20/AY$4*100000*AY$3</f>
        <v>7095.1548961003264</v>
      </c>
      <c r="AZ21" s="319">
        <f>Data!DM20/AZ$4*100000*AZ$3</f>
        <v>12237.280876189312</v>
      </c>
      <c r="BA21" s="319">
        <f>Data!DN20/BA$4*100000*BA$3</f>
        <v>14074.430278791006</v>
      </c>
      <c r="BB21" s="319">
        <f>Data!DO20/BB$4*100000*BB$3</f>
        <v>4594.9019562795083</v>
      </c>
      <c r="BC21" s="319">
        <f>Data!DP20/BC$4*100000*BC$3</f>
        <v>6169.5643053687554</v>
      </c>
      <c r="BD21" s="319">
        <f>Data!DQ20/BD$4*100000*BD$3</f>
        <v>4938.596780034899</v>
      </c>
      <c r="BE21" s="319">
        <f>Data!DR20/BE$4*100000*BE$3</f>
        <v>7345.5339153794494</v>
      </c>
    </row>
    <row r="22" spans="1:57" ht="12" customHeight="1">
      <c r="A22" s="66"/>
      <c r="B22" s="125" t="str">
        <f>UPPER(LEFT(TRIM(Data!B21),1)) &amp; MID(TRIM(Data!B21),2,50)</f>
        <v>Odos melanoma</v>
      </c>
      <c r="C22" s="125" t="str">
        <f>UPPER(LEFT(TRIM(Data!C21),1)) &amp; MID(TRIM(Data!C21),2,50)</f>
        <v>C43</v>
      </c>
      <c r="D22" s="138">
        <f>Data!BR21</f>
        <v>43</v>
      </c>
      <c r="E22" s="139">
        <f t="shared" si="5"/>
        <v>2.7193830668443328</v>
      </c>
      <c r="F22" s="129">
        <f t="shared" si="6"/>
        <v>1.5864671891381528</v>
      </c>
      <c r="G22" s="129">
        <f t="shared" si="7"/>
        <v>1.0883275393462857</v>
      </c>
      <c r="H22" s="70"/>
      <c r="I22" s="70"/>
      <c r="J22" s="70"/>
      <c r="K22" s="70"/>
      <c r="L22" s="70"/>
      <c r="M22" s="70"/>
      <c r="N22" s="70"/>
      <c r="O22" s="70"/>
      <c r="P22" s="71"/>
      <c r="Q22" s="311"/>
      <c r="R22" s="327" t="s">
        <v>353</v>
      </c>
      <c r="S22" s="319">
        <f t="shared" si="3"/>
        <v>158646.71891381528</v>
      </c>
      <c r="T22" s="319">
        <f>Data!DA21/T$4*100000*T$3</f>
        <v>0</v>
      </c>
      <c r="U22" s="319">
        <f>Data!DB21/U$4*100000*U$3</f>
        <v>0</v>
      </c>
      <c r="V22" s="319">
        <f>Data!DC21/V$4*100000*V$3</f>
        <v>0</v>
      </c>
      <c r="W22" s="319">
        <f>Data!DD21/W$4*100000*W$3</f>
        <v>0</v>
      </c>
      <c r="X22" s="319">
        <f>Data!DE21/X$4*100000*X$3</f>
        <v>0</v>
      </c>
      <c r="Y22" s="319">
        <f>Data!DF21/Y$4*100000*Y$3</f>
        <v>0</v>
      </c>
      <c r="Z22" s="319">
        <f>Data!DG21/Z$4*100000*Z$3</f>
        <v>0</v>
      </c>
      <c r="AA22" s="319">
        <f>Data!DH21/AA$4*100000*AA$3</f>
        <v>0</v>
      </c>
      <c r="AB22" s="319">
        <f>Data!DI21/AB$4*100000*AB$3</f>
        <v>6629.9179784432945</v>
      </c>
      <c r="AC22" s="319">
        <f>Data!DJ21/AC$4*100000*AC$3</f>
        <v>6349.2639389019405</v>
      </c>
      <c r="AD22" s="319">
        <f>Data!DK21/AD$4*100000*AD$3</f>
        <v>11353.223098943339</v>
      </c>
      <c r="AE22" s="319">
        <f>Data!DL21/AE$4*100000*AE$3</f>
        <v>21285.464688300977</v>
      </c>
      <c r="AF22" s="319">
        <f>Data!DM21/AF$4*100000*AF$3</f>
        <v>35692.069222218823</v>
      </c>
      <c r="AG22" s="319">
        <f>Data!DN21/AG$4*100000*AG$3</f>
        <v>28148.860557582011</v>
      </c>
      <c r="AH22" s="319">
        <f>Data!DO21/AH$4*100000*AH$3</f>
        <v>6892.3529344192621</v>
      </c>
      <c r="AI22" s="319">
        <f>Data!DP21/AI$4*100000*AI$3</f>
        <v>17274.780055032516</v>
      </c>
      <c r="AJ22" s="319">
        <f>Data!DQ21/AJ$4*100000*AJ$3</f>
        <v>8230.9946333914977</v>
      </c>
      <c r="AK22" s="319">
        <f>Data!DR21/AK$4*100000*AK$3</f>
        <v>16789.791806581601</v>
      </c>
      <c r="AL22" s="327" t="s">
        <v>353</v>
      </c>
      <c r="AM22" s="319">
        <f t="shared" si="4"/>
        <v>108832.75393462856</v>
      </c>
      <c r="AN22" s="319">
        <f>Data!DA21/AN$4*100000*AN$3</f>
        <v>0</v>
      </c>
      <c r="AO22" s="319">
        <f>Data!DB21/AO$4*100000*AO$3</f>
        <v>0</v>
      </c>
      <c r="AP22" s="319">
        <f>Data!DC21/AP$4*100000*AP$3</f>
        <v>0</v>
      </c>
      <c r="AQ22" s="319">
        <f>Data!DD21/AQ$4*100000*AQ$3</f>
        <v>0</v>
      </c>
      <c r="AR22" s="319">
        <f>Data!DE21/AR$4*100000*AR$3</f>
        <v>0</v>
      </c>
      <c r="AS22" s="319">
        <f>Data!DF21/AS$4*100000*AS$3</f>
        <v>0</v>
      </c>
      <c r="AT22" s="319">
        <f>Data!DG21/AT$4*100000*AT$3</f>
        <v>0</v>
      </c>
      <c r="AU22" s="319">
        <f>Data!DH21/AU$4*100000*AU$3</f>
        <v>0</v>
      </c>
      <c r="AV22" s="319">
        <f>Data!DI21/AV$4*100000*AV$3</f>
        <v>5682.786838665681</v>
      </c>
      <c r="AW22" s="319">
        <f>Data!DJ21/AW$4*100000*AW$3</f>
        <v>5442.2262333445206</v>
      </c>
      <c r="AX22" s="319">
        <f>Data!DK21/AX$4*100000*AX$3</f>
        <v>8109.4450706738144</v>
      </c>
      <c r="AY22" s="319">
        <f>Data!DL21/AY$4*100000*AY$3</f>
        <v>14190.309792200653</v>
      </c>
      <c r="AZ22" s="319">
        <f>Data!DM21/AZ$4*100000*AZ$3</f>
        <v>28553.65537777506</v>
      </c>
      <c r="BA22" s="319">
        <f>Data!DN21/BA$4*100000*BA$3</f>
        <v>21111.645418186508</v>
      </c>
      <c r="BB22" s="319">
        <f>Data!DO21/BB$4*100000*BB$3</f>
        <v>4594.9019562795083</v>
      </c>
      <c r="BC22" s="319">
        <f>Data!DP21/BC$4*100000*BC$3</f>
        <v>8637.3900275162578</v>
      </c>
      <c r="BD22" s="319">
        <f>Data!DQ21/BD$4*100000*BD$3</f>
        <v>4115.4973166957489</v>
      </c>
      <c r="BE22" s="319">
        <f>Data!DR21/BE$4*100000*BE$3</f>
        <v>8394.8959032908006</v>
      </c>
    </row>
    <row r="23" spans="1:57" ht="12" customHeight="1">
      <c r="A23" s="66"/>
      <c r="B23" s="147" t="str">
        <f>UPPER(LEFT(TRIM(Data!B22),1)) &amp; MID(TRIM(Data!B22),2,50)</f>
        <v>Kiti odos piktybiniai navikai</v>
      </c>
      <c r="C23" s="141" t="str">
        <f>UPPER(LEFT(TRIM(Data!C22),1)) &amp; MID(TRIM(Data!C22),2,50)</f>
        <v>C44</v>
      </c>
      <c r="D23" s="148">
        <f>Data!BR22</f>
        <v>26</v>
      </c>
      <c r="E23" s="149">
        <f t="shared" si="5"/>
        <v>1.6442781334407595</v>
      </c>
      <c r="F23" s="150">
        <f t="shared" si="6"/>
        <v>0.6851177880838254</v>
      </c>
      <c r="G23" s="150">
        <f t="shared" si="7"/>
        <v>0.40717126788301422</v>
      </c>
      <c r="H23" s="70"/>
      <c r="I23" s="70"/>
      <c r="J23" s="70"/>
      <c r="K23" s="70"/>
      <c r="L23" s="70"/>
      <c r="M23" s="70"/>
      <c r="N23" s="70"/>
      <c r="O23" s="70"/>
      <c r="P23" s="71"/>
      <c r="Q23" s="311"/>
      <c r="R23" s="327" t="s">
        <v>353</v>
      </c>
      <c r="S23" s="319">
        <f t="shared" si="3"/>
        <v>68511.778808382544</v>
      </c>
      <c r="T23" s="319">
        <f>Data!DA22/T$4*100000*T$3</f>
        <v>0</v>
      </c>
      <c r="U23" s="319">
        <f>Data!DB22/U$4*100000*U$3</f>
        <v>0</v>
      </c>
      <c r="V23" s="319">
        <f>Data!DC22/V$4*100000*V$3</f>
        <v>0</v>
      </c>
      <c r="W23" s="319">
        <f>Data!DD22/W$4*100000*W$3</f>
        <v>0</v>
      </c>
      <c r="X23" s="319">
        <f>Data!DE22/X$4*100000*X$3</f>
        <v>0</v>
      </c>
      <c r="Y23" s="319">
        <f>Data!DF22/Y$4*100000*Y$3</f>
        <v>0</v>
      </c>
      <c r="Z23" s="319">
        <f>Data!DG22/Z$4*100000*Z$3</f>
        <v>0</v>
      </c>
      <c r="AA23" s="319">
        <f>Data!DH22/AA$4*100000*AA$3</f>
        <v>0</v>
      </c>
      <c r="AB23" s="319">
        <f>Data!DI22/AB$4*100000*AB$3</f>
        <v>0</v>
      </c>
      <c r="AC23" s="319">
        <f>Data!DJ22/AC$4*100000*AC$3</f>
        <v>0</v>
      </c>
      <c r="AD23" s="319">
        <f>Data!DK22/AD$4*100000*AD$3</f>
        <v>0</v>
      </c>
      <c r="AE23" s="319">
        <f>Data!DL22/AE$4*100000*AE$3</f>
        <v>5321.3661720752443</v>
      </c>
      <c r="AF23" s="319">
        <f>Data!DM22/AF$4*100000*AF$3</f>
        <v>5098.8670317455462</v>
      </c>
      <c r="AG23" s="319">
        <f>Data!DN22/AG$4*100000*AG$3</f>
        <v>4691.4767595970015</v>
      </c>
      <c r="AH23" s="319">
        <f>Data!DO22/AH$4*100000*AH$3</f>
        <v>17230.882336048155</v>
      </c>
      <c r="AI23" s="319">
        <f>Data!DP22/AI$4*100000*AI$3</f>
        <v>7403.4771664425052</v>
      </c>
      <c r="AJ23" s="319">
        <f>Data!DQ22/AJ$4*100000*AJ$3</f>
        <v>9877.193560069798</v>
      </c>
      <c r="AK23" s="319">
        <f>Data!DR22/AK$4*100000*AK$3</f>
        <v>18888.515782404298</v>
      </c>
      <c r="AL23" s="327" t="s">
        <v>353</v>
      </c>
      <c r="AM23" s="319">
        <f t="shared" si="4"/>
        <v>40717.126788301422</v>
      </c>
      <c r="AN23" s="319">
        <f>Data!DA22/AN$4*100000*AN$3</f>
        <v>0</v>
      </c>
      <c r="AO23" s="319">
        <f>Data!DB22/AO$4*100000*AO$3</f>
        <v>0</v>
      </c>
      <c r="AP23" s="319">
        <f>Data!DC22/AP$4*100000*AP$3</f>
        <v>0</v>
      </c>
      <c r="AQ23" s="319">
        <f>Data!DD22/AQ$4*100000*AQ$3</f>
        <v>0</v>
      </c>
      <c r="AR23" s="319">
        <f>Data!DE22/AR$4*100000*AR$3</f>
        <v>0</v>
      </c>
      <c r="AS23" s="319">
        <f>Data!DF22/AS$4*100000*AS$3</f>
        <v>0</v>
      </c>
      <c r="AT23" s="319">
        <f>Data!DG22/AT$4*100000*AT$3</f>
        <v>0</v>
      </c>
      <c r="AU23" s="319">
        <f>Data!DH22/AU$4*100000*AU$3</f>
        <v>0</v>
      </c>
      <c r="AV23" s="319">
        <f>Data!DI22/AV$4*100000*AV$3</f>
        <v>0</v>
      </c>
      <c r="AW23" s="319">
        <f>Data!DJ22/AW$4*100000*AW$3</f>
        <v>0</v>
      </c>
      <c r="AX23" s="319">
        <f>Data!DK22/AX$4*100000*AX$3</f>
        <v>0</v>
      </c>
      <c r="AY23" s="319">
        <f>Data!DL22/AY$4*100000*AY$3</f>
        <v>3547.5774480501632</v>
      </c>
      <c r="AZ23" s="319">
        <f>Data!DM22/AZ$4*100000*AZ$3</f>
        <v>4079.0936253964373</v>
      </c>
      <c r="BA23" s="319">
        <f>Data!DN22/BA$4*100000*BA$3</f>
        <v>3518.6075696977514</v>
      </c>
      <c r="BB23" s="319">
        <f>Data!DO22/BB$4*100000*BB$3</f>
        <v>11487.25489069877</v>
      </c>
      <c r="BC23" s="319">
        <f>Data!DP22/BC$4*100000*BC$3</f>
        <v>3701.7385832212526</v>
      </c>
      <c r="BD23" s="319">
        <f>Data!DQ22/BD$4*100000*BD$3</f>
        <v>4938.596780034899</v>
      </c>
      <c r="BE23" s="319">
        <f>Data!DR22/BE$4*100000*BE$3</f>
        <v>9444.257891202149</v>
      </c>
    </row>
    <row r="24" spans="1:57" ht="12" customHeight="1">
      <c r="A24" s="66"/>
      <c r="B24" s="125" t="str">
        <f>UPPER(LEFT(TRIM(Data!B23),1)) &amp; MID(TRIM(Data!B23),2,50)</f>
        <v>Krūties</v>
      </c>
      <c r="C24" s="125" t="str">
        <f>UPPER(LEFT(TRIM(Data!C23),1)) &amp; MID(TRIM(Data!C23),2,50)</f>
        <v>C50</v>
      </c>
      <c r="D24" s="138">
        <f>Data!BR23</f>
        <v>512</v>
      </c>
      <c r="E24" s="139">
        <f t="shared" si="5"/>
        <v>32.379630935448802</v>
      </c>
      <c r="F24" s="129">
        <f t="shared" si="6"/>
        <v>20.175001937443287</v>
      </c>
      <c r="G24" s="129">
        <f t="shared" si="7"/>
        <v>14.120734786399451</v>
      </c>
      <c r="H24" s="70"/>
      <c r="I24" s="70"/>
      <c r="J24" s="70"/>
      <c r="K24" s="70"/>
      <c r="L24" s="70"/>
      <c r="M24" s="70"/>
      <c r="N24" s="70"/>
      <c r="O24" s="70"/>
      <c r="P24" s="71"/>
      <c r="Q24" s="311"/>
      <c r="R24" s="327" t="s">
        <v>353</v>
      </c>
      <c r="S24" s="319">
        <f t="shared" si="3"/>
        <v>2017500.1937443286</v>
      </c>
      <c r="T24" s="319">
        <f>Data!DA23/T$4*100000*T$3</f>
        <v>0</v>
      </c>
      <c r="U24" s="319">
        <f>Data!DB23/U$4*100000*U$3</f>
        <v>0</v>
      </c>
      <c r="V24" s="319">
        <f>Data!DC23/V$4*100000*V$3</f>
        <v>0</v>
      </c>
      <c r="W24" s="319">
        <f>Data!DD23/W$4*100000*W$3</f>
        <v>0</v>
      </c>
      <c r="X24" s="319">
        <f>Data!DE23/X$4*100000*X$3</f>
        <v>0</v>
      </c>
      <c r="Y24" s="319">
        <f>Data!DF23/Y$4*100000*Y$3</f>
        <v>7370.5934380659555</v>
      </c>
      <c r="Z24" s="319">
        <f>Data!DG23/Z$4*100000*Z$3</f>
        <v>16053.020834527753</v>
      </c>
      <c r="AA24" s="319">
        <f>Data!DH23/AA$4*100000*AA$3</f>
        <v>37898.88577275828</v>
      </c>
      <c r="AB24" s="319">
        <f>Data!DI23/AB$4*100000*AB$3</f>
        <v>112708.60563353603</v>
      </c>
      <c r="AC24" s="319">
        <f>Data!DJ23/AC$4*100000*AC$3</f>
        <v>139683.80665584269</v>
      </c>
      <c r="AD24" s="319">
        <f>Data!DK23/AD$4*100000*AD$3</f>
        <v>204358.01578098012</v>
      </c>
      <c r="AE24" s="319">
        <f>Data!DL23/AE$4*100000*AE$3</f>
        <v>297996.5056362137</v>
      </c>
      <c r="AF24" s="319">
        <f>Data!DM23/AF$4*100000*AF$3</f>
        <v>321228.6229999694</v>
      </c>
      <c r="AG24" s="319">
        <f>Data!DN23/AG$4*100000*AG$3</f>
        <v>220499.4077010591</v>
      </c>
      <c r="AH24" s="319">
        <f>Data!DO23/AH$4*100000*AH$3</f>
        <v>265355.58797514159</v>
      </c>
      <c r="AI24" s="319">
        <f>Data!DP23/AI$4*100000*AI$3</f>
        <v>190022.58060535765</v>
      </c>
      <c r="AJ24" s="319">
        <f>Data!DQ23/AJ$4*100000*AJ$3</f>
        <v>88894.742040628189</v>
      </c>
      <c r="AK24" s="319">
        <f>Data!DR23/AK$4*100000*AK$3</f>
        <v>115429.81867024848</v>
      </c>
      <c r="AL24" s="327" t="s">
        <v>353</v>
      </c>
      <c r="AM24" s="319">
        <f t="shared" si="4"/>
        <v>1412073.4786399452</v>
      </c>
      <c r="AN24" s="319">
        <f>Data!DA23/AN$4*100000*AN$3</f>
        <v>0</v>
      </c>
      <c r="AO24" s="319">
        <f>Data!DB23/AO$4*100000*AO$3</f>
        <v>0</v>
      </c>
      <c r="AP24" s="319">
        <f>Data!DC23/AP$4*100000*AP$3</f>
        <v>0</v>
      </c>
      <c r="AQ24" s="319">
        <f>Data!DD23/AQ$4*100000*AQ$3</f>
        <v>0</v>
      </c>
      <c r="AR24" s="319">
        <f>Data!DE23/AR$4*100000*AR$3</f>
        <v>0</v>
      </c>
      <c r="AS24" s="319">
        <f>Data!DF23/AS$4*100000*AS$3</f>
        <v>8423.535357789664</v>
      </c>
      <c r="AT24" s="319">
        <f>Data!DG23/AT$4*100000*AT$3</f>
        <v>13759.732143880932</v>
      </c>
      <c r="AU24" s="319">
        <f>Data!DH23/AU$4*100000*AU$3</f>
        <v>32484.759233792811</v>
      </c>
      <c r="AV24" s="319">
        <f>Data!DI23/AV$4*100000*AV$3</f>
        <v>96607.376257316602</v>
      </c>
      <c r="AW24" s="319">
        <f>Data!DJ23/AW$4*100000*AW$3</f>
        <v>119728.97713357945</v>
      </c>
      <c r="AX24" s="319">
        <f>Data!DK23/AX$4*100000*AX$3</f>
        <v>145970.01127212864</v>
      </c>
      <c r="AY24" s="319">
        <f>Data!DL23/AY$4*100000*AY$3</f>
        <v>198664.33709080913</v>
      </c>
      <c r="AZ24" s="319">
        <f>Data!DM23/AZ$4*100000*AZ$3</f>
        <v>256982.8983999755</v>
      </c>
      <c r="BA24" s="319">
        <f>Data!DN23/BA$4*100000*BA$3</f>
        <v>165374.55577579435</v>
      </c>
      <c r="BB24" s="319">
        <f>Data!DO23/BB$4*100000*BB$3</f>
        <v>176903.72531676106</v>
      </c>
      <c r="BC24" s="319">
        <f>Data!DP23/BC$4*100000*BC$3</f>
        <v>95011.290302678826</v>
      </c>
      <c r="BD24" s="319">
        <f>Data!DQ23/BD$4*100000*BD$3</f>
        <v>44447.371020314094</v>
      </c>
      <c r="BE24" s="319">
        <f>Data!DR23/BE$4*100000*BE$3</f>
        <v>57714.909335124241</v>
      </c>
    </row>
    <row r="25" spans="1:57" ht="12" customHeight="1">
      <c r="A25" s="66"/>
      <c r="B25" s="147" t="str">
        <f>UPPER(LEFT(TRIM(Data!B24),1)) &amp; MID(TRIM(Data!B24),2,50)</f>
        <v>Vulvos</v>
      </c>
      <c r="C25" s="141" t="str">
        <f>UPPER(LEFT(TRIM(Data!C24),1)) &amp; MID(TRIM(Data!C24),2,50)</f>
        <v>C51</v>
      </c>
      <c r="D25" s="148">
        <f>Data!BR24</f>
        <v>30</v>
      </c>
      <c r="E25" s="149">
        <f t="shared" si="5"/>
        <v>1.8972440001239532</v>
      </c>
      <c r="F25" s="150">
        <f t="shared" si="6"/>
        <v>0.94024617525268217</v>
      </c>
      <c r="G25" s="150">
        <f t="shared" si="7"/>
        <v>0.60793021714182371</v>
      </c>
      <c r="H25" s="70"/>
      <c r="I25" s="70"/>
      <c r="J25" s="70"/>
      <c r="K25" s="70"/>
      <c r="L25" s="70"/>
      <c r="M25" s="70"/>
      <c r="N25" s="70"/>
      <c r="O25" s="70"/>
      <c r="P25" s="71"/>
      <c r="Q25" s="311"/>
      <c r="R25" s="327" t="s">
        <v>353</v>
      </c>
      <c r="S25" s="319">
        <f t="shared" si="3"/>
        <v>94024.617525268215</v>
      </c>
      <c r="T25" s="319">
        <f>Data!DA24/T$4*100000*T$3</f>
        <v>0</v>
      </c>
      <c r="U25" s="319">
        <f>Data!DB24/U$4*100000*U$3</f>
        <v>0</v>
      </c>
      <c r="V25" s="319">
        <f>Data!DC24/V$4*100000*V$3</f>
        <v>0</v>
      </c>
      <c r="W25" s="319">
        <f>Data!DD24/W$4*100000*W$3</f>
        <v>0</v>
      </c>
      <c r="X25" s="319">
        <f>Data!DE24/X$4*100000*X$3</f>
        <v>0</v>
      </c>
      <c r="Y25" s="319">
        <f>Data!DF24/Y$4*100000*Y$3</f>
        <v>0</v>
      </c>
      <c r="Z25" s="319">
        <f>Data!DG24/Z$4*100000*Z$3</f>
        <v>0</v>
      </c>
      <c r="AA25" s="319">
        <f>Data!DH24/AA$4*100000*AA$3</f>
        <v>7579.7771545516553</v>
      </c>
      <c r="AB25" s="319">
        <f>Data!DI24/AB$4*100000*AB$3</f>
        <v>0</v>
      </c>
      <c r="AC25" s="319">
        <f>Data!DJ24/AC$4*100000*AC$3</f>
        <v>0</v>
      </c>
      <c r="AD25" s="319">
        <f>Data!DK24/AD$4*100000*AD$3</f>
        <v>5676.6115494716696</v>
      </c>
      <c r="AE25" s="319">
        <f>Data!DL24/AE$4*100000*AE$3</f>
        <v>10642.732344150489</v>
      </c>
      <c r="AF25" s="319">
        <f>Data!DM24/AF$4*100000*AF$3</f>
        <v>15296.60109523664</v>
      </c>
      <c r="AG25" s="319">
        <f>Data!DN24/AG$4*100000*AG$3</f>
        <v>9382.9535191940031</v>
      </c>
      <c r="AH25" s="319">
        <f>Data!DO24/AH$4*100000*AH$3</f>
        <v>6892.3529344192621</v>
      </c>
      <c r="AI25" s="319">
        <f>Data!DP24/AI$4*100000*AI$3</f>
        <v>12339.128610737511</v>
      </c>
      <c r="AJ25" s="319">
        <f>Data!DQ24/AJ$4*100000*AJ$3</f>
        <v>11523.392486748096</v>
      </c>
      <c r="AK25" s="319">
        <f>Data!DR24/AK$4*100000*AK$3</f>
        <v>14691.067830758899</v>
      </c>
      <c r="AL25" s="327" t="s">
        <v>353</v>
      </c>
      <c r="AM25" s="319">
        <f t="shared" si="4"/>
        <v>60793.021714182367</v>
      </c>
      <c r="AN25" s="319">
        <f>Data!DA24/AN$4*100000*AN$3</f>
        <v>0</v>
      </c>
      <c r="AO25" s="319">
        <f>Data!DB24/AO$4*100000*AO$3</f>
        <v>0</v>
      </c>
      <c r="AP25" s="319">
        <f>Data!DC24/AP$4*100000*AP$3</f>
        <v>0</v>
      </c>
      <c r="AQ25" s="319">
        <f>Data!DD24/AQ$4*100000*AQ$3</f>
        <v>0</v>
      </c>
      <c r="AR25" s="319">
        <f>Data!DE24/AR$4*100000*AR$3</f>
        <v>0</v>
      </c>
      <c r="AS25" s="319">
        <f>Data!DF24/AS$4*100000*AS$3</f>
        <v>0</v>
      </c>
      <c r="AT25" s="319">
        <f>Data!DG24/AT$4*100000*AT$3</f>
        <v>0</v>
      </c>
      <c r="AU25" s="319">
        <f>Data!DH24/AU$4*100000*AU$3</f>
        <v>6496.9518467585613</v>
      </c>
      <c r="AV25" s="319">
        <f>Data!DI24/AV$4*100000*AV$3</f>
        <v>0</v>
      </c>
      <c r="AW25" s="319">
        <f>Data!DJ24/AW$4*100000*AW$3</f>
        <v>0</v>
      </c>
      <c r="AX25" s="319">
        <f>Data!DK24/AX$4*100000*AX$3</f>
        <v>4054.7225353369072</v>
      </c>
      <c r="AY25" s="319">
        <f>Data!DL24/AY$4*100000*AY$3</f>
        <v>7095.1548961003264</v>
      </c>
      <c r="AZ25" s="319">
        <f>Data!DM24/AZ$4*100000*AZ$3</f>
        <v>12237.280876189312</v>
      </c>
      <c r="BA25" s="319">
        <f>Data!DN24/BA$4*100000*BA$3</f>
        <v>7037.2151393955028</v>
      </c>
      <c r="BB25" s="319">
        <f>Data!DO24/BB$4*100000*BB$3</f>
        <v>4594.9019562795083</v>
      </c>
      <c r="BC25" s="319">
        <f>Data!DP24/BC$4*100000*BC$3</f>
        <v>6169.5643053687554</v>
      </c>
      <c r="BD25" s="319">
        <f>Data!DQ24/BD$4*100000*BD$3</f>
        <v>5761.6962433740482</v>
      </c>
      <c r="BE25" s="319">
        <f>Data!DR24/BE$4*100000*BE$3</f>
        <v>7345.5339153794494</v>
      </c>
    </row>
    <row r="26" spans="1:57" ht="12" customHeight="1">
      <c r="A26" s="66"/>
      <c r="B26" s="125" t="str">
        <f>UPPER(LEFT(TRIM(Data!B25),1)) &amp; MID(TRIM(Data!B25),2,50)</f>
        <v>Gimdos kaklelio</v>
      </c>
      <c r="C26" s="125" t="str">
        <f>UPPER(LEFT(TRIM(Data!C25),1)) &amp; MID(TRIM(Data!C25),2,50)</f>
        <v>C53</v>
      </c>
      <c r="D26" s="138">
        <f>Data!BR25</f>
        <v>180</v>
      </c>
      <c r="E26" s="139">
        <f t="shared" si="5"/>
        <v>11.38346400074372</v>
      </c>
      <c r="F26" s="129">
        <f t="shared" si="6"/>
        <v>8.2262244128690956</v>
      </c>
      <c r="G26" s="129">
        <f t="shared" si="7"/>
        <v>6.1201355603259895</v>
      </c>
      <c r="H26" s="70"/>
      <c r="I26" s="70"/>
      <c r="J26" s="70"/>
      <c r="K26" s="70"/>
      <c r="L26" s="70"/>
      <c r="M26" s="70"/>
      <c r="N26" s="70"/>
      <c r="O26" s="70"/>
      <c r="P26" s="70"/>
      <c r="Q26" s="311"/>
      <c r="R26" s="327" t="s">
        <v>353</v>
      </c>
      <c r="S26" s="319">
        <f t="shared" si="3"/>
        <v>822622.44128690951</v>
      </c>
      <c r="T26" s="319">
        <f>Data!DA25/T$4*100000*T$3</f>
        <v>0</v>
      </c>
      <c r="U26" s="319">
        <f>Data!DB25/U$4*100000*U$3</f>
        <v>0</v>
      </c>
      <c r="V26" s="319">
        <f>Data!DC25/V$4*100000*V$3</f>
        <v>0</v>
      </c>
      <c r="W26" s="319">
        <f>Data!DD25/W$4*100000*W$3</f>
        <v>0</v>
      </c>
      <c r="X26" s="319">
        <f>Data!DE25/X$4*100000*X$3</f>
        <v>0</v>
      </c>
      <c r="Y26" s="319">
        <f>Data!DF25/Y$4*100000*Y$3</f>
        <v>7370.5934380659555</v>
      </c>
      <c r="Z26" s="319">
        <f>Data!DG25/Z$4*100000*Z$3</f>
        <v>32106.041669055507</v>
      </c>
      <c r="AA26" s="319">
        <f>Data!DH25/AA$4*100000*AA$3</f>
        <v>37898.88577275828</v>
      </c>
      <c r="AB26" s="319">
        <f>Data!DI25/AB$4*100000*AB$3</f>
        <v>99448.769676649434</v>
      </c>
      <c r="AC26" s="319">
        <f>Data!DJ25/AC$4*100000*AC$3</f>
        <v>88889.695144627156</v>
      </c>
      <c r="AD26" s="319">
        <f>Data!DK25/AD$4*100000*AD$3</f>
        <v>113532.23098943337</v>
      </c>
      <c r="AE26" s="319">
        <f>Data!DL25/AE$4*100000*AE$3</f>
        <v>106427.32344150488</v>
      </c>
      <c r="AF26" s="319">
        <f>Data!DM25/AF$4*100000*AF$3</f>
        <v>112175.07469840202</v>
      </c>
      <c r="AG26" s="319">
        <f>Data!DN25/AG$4*100000*AG$3</f>
        <v>79755.104913149044</v>
      </c>
      <c r="AH26" s="319">
        <f>Data!DO25/AH$4*100000*AH$3</f>
        <v>48246.470540934839</v>
      </c>
      <c r="AI26" s="319">
        <f>Data!DP25/AI$4*100000*AI$3</f>
        <v>37017.385832212531</v>
      </c>
      <c r="AJ26" s="319">
        <f>Data!DQ25/AJ$4*100000*AJ$3</f>
        <v>34570.177460244297</v>
      </c>
      <c r="AK26" s="319">
        <f>Data!DR25/AK$4*100000*AK$3</f>
        <v>25184.687709872396</v>
      </c>
      <c r="AL26" s="327" t="s">
        <v>353</v>
      </c>
      <c r="AM26" s="319">
        <f t="shared" si="4"/>
        <v>612013.55603259895</v>
      </c>
      <c r="AN26" s="319">
        <f>Data!DA25/AN$4*100000*AN$3</f>
        <v>0</v>
      </c>
      <c r="AO26" s="319">
        <f>Data!DB25/AO$4*100000*AO$3</f>
        <v>0</v>
      </c>
      <c r="AP26" s="319">
        <f>Data!DC25/AP$4*100000*AP$3</f>
        <v>0</v>
      </c>
      <c r="AQ26" s="319">
        <f>Data!DD25/AQ$4*100000*AQ$3</f>
        <v>0</v>
      </c>
      <c r="AR26" s="319">
        <f>Data!DE25/AR$4*100000*AR$3</f>
        <v>0</v>
      </c>
      <c r="AS26" s="319">
        <f>Data!DF25/AS$4*100000*AS$3</f>
        <v>8423.535357789664</v>
      </c>
      <c r="AT26" s="319">
        <f>Data!DG25/AT$4*100000*AT$3</f>
        <v>27519.464287761864</v>
      </c>
      <c r="AU26" s="319">
        <f>Data!DH25/AU$4*100000*AU$3</f>
        <v>32484.759233792811</v>
      </c>
      <c r="AV26" s="319">
        <f>Data!DI25/AV$4*100000*AV$3</f>
        <v>85241.802579985233</v>
      </c>
      <c r="AW26" s="319">
        <f>Data!DJ25/AW$4*100000*AW$3</f>
        <v>76191.167266823279</v>
      </c>
      <c r="AX26" s="319">
        <f>Data!DK25/AX$4*100000*AX$3</f>
        <v>81094.45070673812</v>
      </c>
      <c r="AY26" s="319">
        <f>Data!DL25/AY$4*100000*AY$3</f>
        <v>70951.548961003253</v>
      </c>
      <c r="AZ26" s="319">
        <f>Data!DM25/AZ$4*100000*AZ$3</f>
        <v>89740.059758721618</v>
      </c>
      <c r="BA26" s="319">
        <f>Data!DN25/BA$4*100000*BA$3</f>
        <v>59816.328684861779</v>
      </c>
      <c r="BB26" s="319">
        <f>Data!DO25/BB$4*100000*BB$3</f>
        <v>32164.313693956559</v>
      </c>
      <c r="BC26" s="319">
        <f>Data!DP25/BC$4*100000*BC$3</f>
        <v>18508.692916106265</v>
      </c>
      <c r="BD26" s="319">
        <f>Data!DQ25/BD$4*100000*BD$3</f>
        <v>17285.088730122148</v>
      </c>
      <c r="BE26" s="319">
        <f>Data!DR25/BE$4*100000*BE$3</f>
        <v>12592.343854936198</v>
      </c>
    </row>
    <row r="27" spans="1:57" ht="12" customHeight="1">
      <c r="A27" s="66"/>
      <c r="B27" s="147" t="str">
        <f>UPPER(LEFT(TRIM(Data!B26),1)) &amp; MID(TRIM(Data!B26),2,50)</f>
        <v>Gimdos kūno</v>
      </c>
      <c r="C27" s="141" t="str">
        <f>UPPER(LEFT(TRIM(Data!C26),1)) &amp; MID(TRIM(Data!C26),2,50)</f>
        <v>C54, C55</v>
      </c>
      <c r="D27" s="148">
        <f>Data!BR26</f>
        <v>154</v>
      </c>
      <c r="E27" s="149">
        <f t="shared" si="5"/>
        <v>9.739185867302961</v>
      </c>
      <c r="F27" s="150">
        <f t="shared" si="6"/>
        <v>5.4836611010419123</v>
      </c>
      <c r="G27" s="150">
        <f t="shared" si="7"/>
        <v>3.7427697313414456</v>
      </c>
      <c r="H27" s="70"/>
      <c r="I27" s="70"/>
      <c r="J27" s="70"/>
      <c r="K27" s="70"/>
      <c r="L27" s="70"/>
      <c r="M27" s="70"/>
      <c r="N27" s="70"/>
      <c r="O27" s="70"/>
      <c r="P27" s="70"/>
      <c r="Q27" s="311"/>
      <c r="R27" s="327" t="s">
        <v>353</v>
      </c>
      <c r="S27" s="319">
        <f t="shared" si="3"/>
        <v>548366.11010419123</v>
      </c>
      <c r="T27" s="319">
        <f>Data!DA26/T$4*100000*T$3</f>
        <v>0</v>
      </c>
      <c r="U27" s="319">
        <f>Data!DB26/U$4*100000*U$3</f>
        <v>0</v>
      </c>
      <c r="V27" s="319">
        <f>Data!DC26/V$4*100000*V$3</f>
        <v>0</v>
      </c>
      <c r="W27" s="319">
        <f>Data!DD26/W$4*100000*W$3</f>
        <v>0</v>
      </c>
      <c r="X27" s="319">
        <f>Data!DE26/X$4*100000*X$3</f>
        <v>0</v>
      </c>
      <c r="Y27" s="319">
        <f>Data!DF26/Y$4*100000*Y$3</f>
        <v>0</v>
      </c>
      <c r="Z27" s="319">
        <f>Data!DG26/Z$4*100000*Z$3</f>
        <v>0</v>
      </c>
      <c r="AA27" s="319">
        <f>Data!DH26/AA$4*100000*AA$3</f>
        <v>7579.7771545516553</v>
      </c>
      <c r="AB27" s="319">
        <f>Data!DI26/AB$4*100000*AB$3</f>
        <v>6629.9179784432945</v>
      </c>
      <c r="AC27" s="319">
        <f>Data!DJ26/AC$4*100000*AC$3</f>
        <v>44444.847572313578</v>
      </c>
      <c r="AD27" s="319">
        <f>Data!DK26/AD$4*100000*AD$3</f>
        <v>39736.280846301685</v>
      </c>
      <c r="AE27" s="319">
        <f>Data!DL26/AE$4*100000*AE$3</f>
        <v>26606.83086037622</v>
      </c>
      <c r="AF27" s="319">
        <f>Data!DM26/AF$4*100000*AF$3</f>
        <v>71384.138444437645</v>
      </c>
      <c r="AG27" s="319">
        <f>Data!DN26/AG$4*100000*AG$3</f>
        <v>107903.96547073105</v>
      </c>
      <c r="AH27" s="319">
        <f>Data!DO26/AH$4*100000*AH$3</f>
        <v>106831.47048349855</v>
      </c>
      <c r="AI27" s="319">
        <f>Data!DP26/AI$4*100000*AI$3</f>
        <v>69099.120220130062</v>
      </c>
      <c r="AJ27" s="319">
        <f>Data!DQ26/AJ$4*100000*AJ$3</f>
        <v>34570.177460244297</v>
      </c>
      <c r="AK27" s="319">
        <f>Data!DR26/AK$4*100000*AK$3</f>
        <v>33579.583613163202</v>
      </c>
      <c r="AL27" s="327" t="s">
        <v>353</v>
      </c>
      <c r="AM27" s="319">
        <f t="shared" si="4"/>
        <v>374276.97313414456</v>
      </c>
      <c r="AN27" s="319">
        <f>Data!DA26/AN$4*100000*AN$3</f>
        <v>0</v>
      </c>
      <c r="AO27" s="319">
        <f>Data!DB26/AO$4*100000*AO$3</f>
        <v>0</v>
      </c>
      <c r="AP27" s="319">
        <f>Data!DC26/AP$4*100000*AP$3</f>
        <v>0</v>
      </c>
      <c r="AQ27" s="319">
        <f>Data!DD26/AQ$4*100000*AQ$3</f>
        <v>0</v>
      </c>
      <c r="AR27" s="319">
        <f>Data!DE26/AR$4*100000*AR$3</f>
        <v>0</v>
      </c>
      <c r="AS27" s="319">
        <f>Data!DF26/AS$4*100000*AS$3</f>
        <v>0</v>
      </c>
      <c r="AT27" s="319">
        <f>Data!DG26/AT$4*100000*AT$3</f>
        <v>0</v>
      </c>
      <c r="AU27" s="319">
        <f>Data!DH26/AU$4*100000*AU$3</f>
        <v>6496.9518467585613</v>
      </c>
      <c r="AV27" s="319">
        <f>Data!DI26/AV$4*100000*AV$3</f>
        <v>5682.786838665681</v>
      </c>
      <c r="AW27" s="319">
        <f>Data!DJ26/AW$4*100000*AW$3</f>
        <v>38095.583633411639</v>
      </c>
      <c r="AX27" s="319">
        <f>Data!DK26/AX$4*100000*AX$3</f>
        <v>28383.057747358347</v>
      </c>
      <c r="AY27" s="319">
        <f>Data!DL26/AY$4*100000*AY$3</f>
        <v>17737.887240250813</v>
      </c>
      <c r="AZ27" s="319">
        <f>Data!DM26/AZ$4*100000*AZ$3</f>
        <v>57107.310755550119</v>
      </c>
      <c r="BA27" s="319">
        <f>Data!DN26/BA$4*100000*BA$3</f>
        <v>80927.974103048284</v>
      </c>
      <c r="BB27" s="319">
        <f>Data!DO26/BB$4*100000*BB$3</f>
        <v>71220.980322332369</v>
      </c>
      <c r="BC27" s="319">
        <f>Data!DP26/BC$4*100000*BC$3</f>
        <v>34549.560110065031</v>
      </c>
      <c r="BD27" s="319">
        <f>Data!DQ26/BD$4*100000*BD$3</f>
        <v>17285.088730122148</v>
      </c>
      <c r="BE27" s="319">
        <f>Data!DR26/BE$4*100000*BE$3</f>
        <v>16789.791806581601</v>
      </c>
    </row>
    <row r="28" spans="1:57" ht="12" customHeight="1">
      <c r="A28" s="66"/>
      <c r="B28" s="125" t="str">
        <f>UPPER(LEFT(TRIM(Data!B27),1)) &amp; MID(TRIM(Data!B27),2,50)</f>
        <v>Kiaušidžių</v>
      </c>
      <c r="C28" s="125" t="str">
        <f>UPPER(LEFT(TRIM(Data!C27),1)) &amp; MID(TRIM(Data!C27),2,50)</f>
        <v>C56</v>
      </c>
      <c r="D28" s="138">
        <f>Data!BR27</f>
        <v>272</v>
      </c>
      <c r="E28" s="139">
        <f t="shared" si="5"/>
        <v>17.201678934457178</v>
      </c>
      <c r="F28" s="129">
        <f t="shared" si="6"/>
        <v>10.436986308956106</v>
      </c>
      <c r="G28" s="129">
        <f t="shared" si="7"/>
        <v>7.2193179913775669</v>
      </c>
      <c r="H28" s="70"/>
      <c r="I28" s="70"/>
      <c r="J28" s="70"/>
      <c r="K28" s="70"/>
      <c r="L28" s="70"/>
      <c r="M28" s="70"/>
      <c r="N28" s="70"/>
      <c r="O28" s="70"/>
      <c r="P28" s="70"/>
      <c r="Q28" s="311"/>
      <c r="R28" s="327" t="s">
        <v>353</v>
      </c>
      <c r="S28" s="319">
        <f t="shared" si="3"/>
        <v>1043698.6308956107</v>
      </c>
      <c r="T28" s="319">
        <f>Data!DA27/T$4*100000*T$3</f>
        <v>0</v>
      </c>
      <c r="U28" s="319">
        <f>Data!DB27/U$4*100000*U$3</f>
        <v>0</v>
      </c>
      <c r="V28" s="319">
        <f>Data!DC27/V$4*100000*V$3</f>
        <v>0</v>
      </c>
      <c r="W28" s="319">
        <f>Data!DD27/W$4*100000*W$3</f>
        <v>0</v>
      </c>
      <c r="X28" s="319">
        <f>Data!DE27/X$4*100000*X$3</f>
        <v>0</v>
      </c>
      <c r="Y28" s="319">
        <f>Data!DF27/Y$4*100000*Y$3</f>
        <v>0</v>
      </c>
      <c r="Z28" s="319">
        <f>Data!DG27/Z$4*100000*Z$3</f>
        <v>8026.5104172638767</v>
      </c>
      <c r="AA28" s="319">
        <f>Data!DH27/AA$4*100000*AA$3</f>
        <v>0</v>
      </c>
      <c r="AB28" s="319">
        <f>Data!DI27/AB$4*100000*AB$3</f>
        <v>46409.425849103071</v>
      </c>
      <c r="AC28" s="319">
        <f>Data!DJ27/AC$4*100000*AC$3</f>
        <v>88889.695144627156</v>
      </c>
      <c r="AD28" s="319">
        <f>Data!DK27/AD$4*100000*AD$3</f>
        <v>124885.45408837673</v>
      </c>
      <c r="AE28" s="319">
        <f>Data!DL27/AE$4*100000*AE$3</f>
        <v>154319.61899018209</v>
      </c>
      <c r="AF28" s="319">
        <f>Data!DM27/AF$4*100000*AF$3</f>
        <v>101977.34063491091</v>
      </c>
      <c r="AG28" s="319">
        <f>Data!DN27/AG$4*100000*AG$3</f>
        <v>178276.11686468608</v>
      </c>
      <c r="AH28" s="319">
        <f>Data!DO27/AH$4*100000*AH$3</f>
        <v>127508.52928675634</v>
      </c>
      <c r="AI28" s="319">
        <f>Data!DP27/AI$4*100000*AI$3</f>
        <v>103648.68033019509</v>
      </c>
      <c r="AJ28" s="319">
        <f>Data!DQ27/AJ$4*100000*AJ$3</f>
        <v>74078.951700523496</v>
      </c>
      <c r="AK28" s="319">
        <f>Data!DR27/AK$4*100000*AK$3</f>
        <v>35678.307588985896</v>
      </c>
      <c r="AL28" s="327" t="s">
        <v>353</v>
      </c>
      <c r="AM28" s="319">
        <f t="shared" si="4"/>
        <v>721931.79913775669</v>
      </c>
      <c r="AN28" s="319">
        <f>Data!DA27/AN$4*100000*AN$3</f>
        <v>0</v>
      </c>
      <c r="AO28" s="319">
        <f>Data!DB27/AO$4*100000*AO$3</f>
        <v>0</v>
      </c>
      <c r="AP28" s="319">
        <f>Data!DC27/AP$4*100000*AP$3</f>
        <v>0</v>
      </c>
      <c r="AQ28" s="319">
        <f>Data!DD27/AQ$4*100000*AQ$3</f>
        <v>0</v>
      </c>
      <c r="AR28" s="319">
        <f>Data!DE27/AR$4*100000*AR$3</f>
        <v>0</v>
      </c>
      <c r="AS28" s="319">
        <f>Data!DF27/AS$4*100000*AS$3</f>
        <v>0</v>
      </c>
      <c r="AT28" s="319">
        <f>Data!DG27/AT$4*100000*AT$3</f>
        <v>6879.8660719404661</v>
      </c>
      <c r="AU28" s="319">
        <f>Data!DH27/AU$4*100000*AU$3</f>
        <v>0</v>
      </c>
      <c r="AV28" s="319">
        <f>Data!DI27/AV$4*100000*AV$3</f>
        <v>39779.507870659778</v>
      </c>
      <c r="AW28" s="319">
        <f>Data!DJ27/AW$4*100000*AW$3</f>
        <v>76191.167266823279</v>
      </c>
      <c r="AX28" s="319">
        <f>Data!DK27/AX$4*100000*AX$3</f>
        <v>89203.895777411948</v>
      </c>
      <c r="AY28" s="319">
        <f>Data!DL27/AY$4*100000*AY$3</f>
        <v>102879.74599345472</v>
      </c>
      <c r="AZ28" s="319">
        <f>Data!DM27/AZ$4*100000*AZ$3</f>
        <v>81581.87250792874</v>
      </c>
      <c r="BA28" s="319">
        <f>Data!DN27/BA$4*100000*BA$3</f>
        <v>133707.08764851457</v>
      </c>
      <c r="BB28" s="319">
        <f>Data!DO27/BB$4*100000*BB$3</f>
        <v>85005.686191170898</v>
      </c>
      <c r="BC28" s="319">
        <f>Data!DP27/BC$4*100000*BC$3</f>
        <v>51824.340165097543</v>
      </c>
      <c r="BD28" s="319">
        <f>Data!DQ27/BD$4*100000*BD$3</f>
        <v>37039.475850261748</v>
      </c>
      <c r="BE28" s="319">
        <f>Data!DR27/BE$4*100000*BE$3</f>
        <v>17839.153794492948</v>
      </c>
    </row>
    <row r="29" spans="1:57" ht="12" customHeight="1">
      <c r="A29" s="66"/>
      <c r="B29" s="147" t="str">
        <f>UPPER(LEFT(TRIM(Data!B30),1)) &amp; MID(TRIM(Data!B30),2,50)</f>
        <v>Kitų lyties organų</v>
      </c>
      <c r="C29" s="141" t="s">
        <v>418</v>
      </c>
      <c r="D29" s="148">
        <f>Data!BR30</f>
        <v>13</v>
      </c>
      <c r="E29" s="149">
        <f t="shared" si="5"/>
        <v>0.82213906672037973</v>
      </c>
      <c r="F29" s="150">
        <f t="shared" si="6"/>
        <v>0.43847687668435514</v>
      </c>
      <c r="G29" s="150">
        <f t="shared" si="7"/>
        <v>0.29242118866094241</v>
      </c>
      <c r="H29" s="70"/>
      <c r="I29" s="70"/>
      <c r="J29" s="70"/>
      <c r="K29" s="70"/>
      <c r="L29" s="70"/>
      <c r="M29" s="70"/>
      <c r="N29" s="70"/>
      <c r="O29" s="70"/>
      <c r="P29" s="70"/>
      <c r="Q29" s="311"/>
      <c r="R29" s="327" t="s">
        <v>353</v>
      </c>
      <c r="S29" s="319">
        <f t="shared" si="3"/>
        <v>43847.687668435516</v>
      </c>
      <c r="T29" s="319">
        <f>Data!DA30/T$4*100000*T$3</f>
        <v>0</v>
      </c>
      <c r="U29" s="319">
        <f>Data!DB30/U$4*100000*U$3</f>
        <v>0</v>
      </c>
      <c r="V29" s="319">
        <f>Data!DC30/V$4*100000*V$3</f>
        <v>0</v>
      </c>
      <c r="W29" s="319">
        <f>Data!DD30/W$4*100000*W$3</f>
        <v>0</v>
      </c>
      <c r="X29" s="319">
        <f>Data!DE30/X$4*100000*X$3</f>
        <v>0</v>
      </c>
      <c r="Y29" s="319">
        <f>Data!DF30/Y$4*100000*Y$3</f>
        <v>0</v>
      </c>
      <c r="Z29" s="319">
        <f>Data!DG30/Z$4*100000*Z$3</f>
        <v>0</v>
      </c>
      <c r="AA29" s="319">
        <f>Data!DH30/AA$4*100000*AA$3</f>
        <v>0</v>
      </c>
      <c r="AB29" s="319">
        <f>Data!DI30/AB$4*100000*AB$3</f>
        <v>0</v>
      </c>
      <c r="AC29" s="319">
        <f>Data!DJ30/AC$4*100000*AC$3</f>
        <v>6349.2639389019405</v>
      </c>
      <c r="AD29" s="319">
        <f>Data!DK30/AD$4*100000*AD$3</f>
        <v>0</v>
      </c>
      <c r="AE29" s="319">
        <f>Data!DL30/AE$4*100000*AE$3</f>
        <v>10642.732344150489</v>
      </c>
      <c r="AF29" s="319">
        <f>Data!DM30/AF$4*100000*AF$3</f>
        <v>5098.8670317455462</v>
      </c>
      <c r="AG29" s="319">
        <f>Data!DN30/AG$4*100000*AG$3</f>
        <v>4691.4767595970015</v>
      </c>
      <c r="AH29" s="319">
        <f>Data!DO30/AH$4*100000*AH$3</f>
        <v>3446.176467209631</v>
      </c>
      <c r="AI29" s="319">
        <f>Data!DP30/AI$4*100000*AI$3</f>
        <v>4935.6514442950038</v>
      </c>
      <c r="AJ29" s="319">
        <f>Data!DQ30/AJ$4*100000*AJ$3</f>
        <v>6584.7957067131993</v>
      </c>
      <c r="AK29" s="319">
        <f>Data!DR30/AK$4*100000*AK$3</f>
        <v>2098.7239758227001</v>
      </c>
      <c r="AL29" s="327" t="s">
        <v>353</v>
      </c>
      <c r="AM29" s="319">
        <f t="shared" si="4"/>
        <v>29242.118866094243</v>
      </c>
      <c r="AN29" s="319">
        <f>Data!DA30/AN$4*100000*AN$3</f>
        <v>0</v>
      </c>
      <c r="AO29" s="319">
        <f>Data!DB30/AO$4*100000*AO$3</f>
        <v>0</v>
      </c>
      <c r="AP29" s="319">
        <f>Data!DC30/AP$4*100000*AP$3</f>
        <v>0</v>
      </c>
      <c r="AQ29" s="319">
        <f>Data!DD30/AQ$4*100000*AQ$3</f>
        <v>0</v>
      </c>
      <c r="AR29" s="319">
        <f>Data!DE30/AR$4*100000*AR$3</f>
        <v>0</v>
      </c>
      <c r="AS29" s="319">
        <f>Data!DF30/AS$4*100000*AS$3</f>
        <v>0</v>
      </c>
      <c r="AT29" s="319">
        <f>Data!DG30/AT$4*100000*AT$3</f>
        <v>0</v>
      </c>
      <c r="AU29" s="319">
        <f>Data!DH30/AU$4*100000*AU$3</f>
        <v>0</v>
      </c>
      <c r="AV29" s="319">
        <f>Data!DI30/AV$4*100000*AV$3</f>
        <v>0</v>
      </c>
      <c r="AW29" s="319">
        <f>Data!DJ30/AW$4*100000*AW$3</f>
        <v>5442.2262333445206</v>
      </c>
      <c r="AX29" s="319">
        <f>Data!DK30/AX$4*100000*AX$3</f>
        <v>0</v>
      </c>
      <c r="AY29" s="319">
        <f>Data!DL30/AY$4*100000*AY$3</f>
        <v>7095.1548961003264</v>
      </c>
      <c r="AZ29" s="319">
        <f>Data!DM30/AZ$4*100000*AZ$3</f>
        <v>4079.0936253964373</v>
      </c>
      <c r="BA29" s="319">
        <f>Data!DN30/BA$4*100000*BA$3</f>
        <v>3518.6075696977514</v>
      </c>
      <c r="BB29" s="319">
        <f>Data!DO30/BB$4*100000*BB$3</f>
        <v>2297.4509781397542</v>
      </c>
      <c r="BC29" s="319">
        <f>Data!DP30/BC$4*100000*BC$3</f>
        <v>2467.8257221475019</v>
      </c>
      <c r="BD29" s="319">
        <f>Data!DQ30/BD$4*100000*BD$3</f>
        <v>3292.3978533565996</v>
      </c>
      <c r="BE29" s="319">
        <f>Data!DR30/BE$4*100000*BE$3</f>
        <v>1049.3619879113501</v>
      </c>
    </row>
    <row r="30" spans="1:57" ht="12" customHeight="1">
      <c r="A30" s="66"/>
      <c r="B30" s="125" t="str">
        <f>UPPER(LEFT(TRIM(Data!B31),1)) &amp; MID(TRIM(Data!B31),2,50)</f>
        <v>Inkstų</v>
      </c>
      <c r="C30" s="125" t="str">
        <f>UPPER(LEFT(TRIM(Data!C31),1)) &amp; MID(TRIM(Data!C31),2,50)</f>
        <v>C64</v>
      </c>
      <c r="D30" s="138">
        <f>Data!BR31</f>
        <v>100</v>
      </c>
      <c r="E30" s="139">
        <f t="shared" si="5"/>
        <v>6.3241466670798436</v>
      </c>
      <c r="F30" s="129">
        <f t="shared" si="6"/>
        <v>3.0787687595878253</v>
      </c>
      <c r="G30" s="129">
        <f t="shared" si="7"/>
        <v>1.9565091496610409</v>
      </c>
      <c r="H30" s="70"/>
      <c r="I30" s="70"/>
      <c r="J30" s="70"/>
      <c r="K30" s="70"/>
      <c r="L30" s="70"/>
      <c r="M30" s="70"/>
      <c r="N30" s="70"/>
      <c r="O30" s="70"/>
      <c r="P30" s="70"/>
      <c r="Q30" s="311"/>
      <c r="R30" s="327" t="s">
        <v>353</v>
      </c>
      <c r="S30" s="319">
        <f t="shared" si="3"/>
        <v>307876.8759587825</v>
      </c>
      <c r="T30" s="319">
        <f>Data!DA31/T$4*100000*T$3</f>
        <v>0</v>
      </c>
      <c r="U30" s="319">
        <f>Data!DB31/U$4*100000*U$3</f>
        <v>0</v>
      </c>
      <c r="V30" s="319">
        <f>Data!DC31/V$4*100000*V$3</f>
        <v>0</v>
      </c>
      <c r="W30" s="319">
        <f>Data!DD31/W$4*100000*W$3</f>
        <v>0</v>
      </c>
      <c r="X30" s="319">
        <f>Data!DE31/X$4*100000*X$3</f>
        <v>0</v>
      </c>
      <c r="Y30" s="319">
        <f>Data!DF31/Y$4*100000*Y$3</f>
        <v>0</v>
      </c>
      <c r="Z30" s="319">
        <f>Data!DG31/Z$4*100000*Z$3</f>
        <v>0</v>
      </c>
      <c r="AA30" s="319">
        <f>Data!DH31/AA$4*100000*AA$3</f>
        <v>0</v>
      </c>
      <c r="AB30" s="319">
        <f>Data!DI31/AB$4*100000*AB$3</f>
        <v>0</v>
      </c>
      <c r="AC30" s="319">
        <f>Data!DJ31/AC$4*100000*AC$3</f>
        <v>6349.2639389019405</v>
      </c>
      <c r="AD30" s="319">
        <f>Data!DK31/AD$4*100000*AD$3</f>
        <v>22706.446197886678</v>
      </c>
      <c r="AE30" s="319">
        <f>Data!DL31/AE$4*100000*AE$3</f>
        <v>26606.83086037622</v>
      </c>
      <c r="AF30" s="319">
        <f>Data!DM31/AF$4*100000*AF$3</f>
        <v>30593.202190473279</v>
      </c>
      <c r="AG30" s="319">
        <f>Data!DN31/AG$4*100000*AG$3</f>
        <v>56297.721115164022</v>
      </c>
      <c r="AH30" s="319">
        <f>Data!DO31/AH$4*100000*AH$3</f>
        <v>41354.117606515574</v>
      </c>
      <c r="AI30" s="319">
        <f>Data!DP31/AI$4*100000*AI$3</f>
        <v>44420.862998655037</v>
      </c>
      <c r="AJ30" s="319">
        <f>Data!DQ31/AJ$4*100000*AJ$3</f>
        <v>31277.7796068877</v>
      </c>
      <c r="AK30" s="319">
        <f>Data!DR31/AK$4*100000*AK$3</f>
        <v>48270.651443922092</v>
      </c>
      <c r="AL30" s="327" t="s">
        <v>353</v>
      </c>
      <c r="AM30" s="319">
        <f t="shared" si="4"/>
        <v>195650.91496610409</v>
      </c>
      <c r="AN30" s="319">
        <f>Data!DA31/AN$4*100000*AN$3</f>
        <v>0</v>
      </c>
      <c r="AO30" s="319">
        <f>Data!DB31/AO$4*100000*AO$3</f>
        <v>0</v>
      </c>
      <c r="AP30" s="319">
        <f>Data!DC31/AP$4*100000*AP$3</f>
        <v>0</v>
      </c>
      <c r="AQ30" s="319">
        <f>Data!DD31/AQ$4*100000*AQ$3</f>
        <v>0</v>
      </c>
      <c r="AR30" s="319">
        <f>Data!DE31/AR$4*100000*AR$3</f>
        <v>0</v>
      </c>
      <c r="AS30" s="319">
        <f>Data!DF31/AS$4*100000*AS$3</f>
        <v>0</v>
      </c>
      <c r="AT30" s="319">
        <f>Data!DG31/AT$4*100000*AT$3</f>
        <v>0</v>
      </c>
      <c r="AU30" s="319">
        <f>Data!DH31/AU$4*100000*AU$3</f>
        <v>0</v>
      </c>
      <c r="AV30" s="319">
        <f>Data!DI31/AV$4*100000*AV$3</f>
        <v>0</v>
      </c>
      <c r="AW30" s="319">
        <f>Data!DJ31/AW$4*100000*AW$3</f>
        <v>5442.2262333445206</v>
      </c>
      <c r="AX30" s="319">
        <f>Data!DK31/AX$4*100000*AX$3</f>
        <v>16218.890141347629</v>
      </c>
      <c r="AY30" s="319">
        <f>Data!DL31/AY$4*100000*AY$3</f>
        <v>17737.887240250813</v>
      </c>
      <c r="AZ30" s="319">
        <f>Data!DM31/AZ$4*100000*AZ$3</f>
        <v>24474.561752378624</v>
      </c>
      <c r="BA30" s="319">
        <f>Data!DN31/BA$4*100000*BA$3</f>
        <v>42223.290836373017</v>
      </c>
      <c r="BB30" s="319">
        <f>Data!DO31/BB$4*100000*BB$3</f>
        <v>27569.411737677048</v>
      </c>
      <c r="BC30" s="319">
        <f>Data!DP31/BC$4*100000*BC$3</f>
        <v>22210.431499327518</v>
      </c>
      <c r="BD30" s="319">
        <f>Data!DQ31/BD$4*100000*BD$3</f>
        <v>15638.88980344385</v>
      </c>
      <c r="BE30" s="319">
        <f>Data!DR31/BE$4*100000*BE$3</f>
        <v>24135.325721961046</v>
      </c>
    </row>
    <row r="31" spans="1:57" ht="12" customHeight="1">
      <c r="A31" s="66"/>
      <c r="B31" s="147" t="str">
        <f>UPPER(LEFT(TRIM(Data!B32),1)) &amp; MID(TRIM(Data!B32),2,50)</f>
        <v>Šlapimo pūslės</v>
      </c>
      <c r="C31" s="141" t="str">
        <f>UPPER(LEFT(TRIM(Data!C32),1)) &amp; MID(TRIM(Data!C32),2,50)</f>
        <v>C67</v>
      </c>
      <c r="D31" s="148">
        <f>Data!BR32</f>
        <v>56</v>
      </c>
      <c r="E31" s="149">
        <f t="shared" si="5"/>
        <v>3.5415221335647131</v>
      </c>
      <c r="F31" s="150">
        <f t="shared" si="6"/>
        <v>1.4294057179927313</v>
      </c>
      <c r="G31" s="150">
        <f t="shared" si="7"/>
        <v>0.84104372751208634</v>
      </c>
      <c r="H31" s="70"/>
      <c r="I31" s="70"/>
      <c r="J31" s="70"/>
      <c r="K31" s="70"/>
      <c r="L31" s="70"/>
      <c r="M31" s="70"/>
      <c r="N31" s="70"/>
      <c r="O31" s="70"/>
      <c r="P31" s="70"/>
      <c r="Q31" s="311"/>
      <c r="R31" s="327" t="s">
        <v>353</v>
      </c>
      <c r="S31" s="319">
        <f t="shared" si="3"/>
        <v>142940.57179927314</v>
      </c>
      <c r="T31" s="319">
        <f>Data!DA32/T$4*100000*T$3</f>
        <v>0</v>
      </c>
      <c r="U31" s="319">
        <f>Data!DB32/U$4*100000*U$3</f>
        <v>0</v>
      </c>
      <c r="V31" s="319">
        <f>Data!DC32/V$4*100000*V$3</f>
        <v>0</v>
      </c>
      <c r="W31" s="319">
        <f>Data!DD32/W$4*100000*W$3</f>
        <v>0</v>
      </c>
      <c r="X31" s="319">
        <f>Data!DE32/X$4*100000*X$3</f>
        <v>0</v>
      </c>
      <c r="Y31" s="319">
        <f>Data!DF32/Y$4*100000*Y$3</f>
        <v>0</v>
      </c>
      <c r="Z31" s="319">
        <f>Data!DG32/Z$4*100000*Z$3</f>
        <v>0</v>
      </c>
      <c r="AA31" s="319">
        <f>Data!DH32/AA$4*100000*AA$3</f>
        <v>0</v>
      </c>
      <c r="AB31" s="319">
        <f>Data!DI32/AB$4*100000*AB$3</f>
        <v>0</v>
      </c>
      <c r="AC31" s="319">
        <f>Data!DJ32/AC$4*100000*AC$3</f>
        <v>0</v>
      </c>
      <c r="AD31" s="319">
        <f>Data!DK32/AD$4*100000*AD$3</f>
        <v>0</v>
      </c>
      <c r="AE31" s="319">
        <f>Data!DL32/AE$4*100000*AE$3</f>
        <v>5321.3661720752443</v>
      </c>
      <c r="AF31" s="319">
        <f>Data!DM32/AF$4*100000*AF$3</f>
        <v>10197.734063491092</v>
      </c>
      <c r="AG31" s="319">
        <f>Data!DN32/AG$4*100000*AG$3</f>
        <v>14074.430278791006</v>
      </c>
      <c r="AH31" s="319">
        <f>Data!DO32/AH$4*100000*AH$3</f>
        <v>31015.588204886681</v>
      </c>
      <c r="AI31" s="319">
        <f>Data!DP32/AI$4*100000*AI$3</f>
        <v>29613.908665770021</v>
      </c>
      <c r="AJ31" s="319">
        <f>Data!DQ32/AJ$4*100000*AJ$3</f>
        <v>29631.580680209398</v>
      </c>
      <c r="AK31" s="319">
        <f>Data!DR32/AK$4*100000*AK$3</f>
        <v>23085.963734049699</v>
      </c>
      <c r="AL31" s="327" t="s">
        <v>353</v>
      </c>
      <c r="AM31" s="319">
        <f t="shared" si="4"/>
        <v>84104.372751208633</v>
      </c>
      <c r="AN31" s="319">
        <f>Data!DA32/AN$4*100000*AN$3</f>
        <v>0</v>
      </c>
      <c r="AO31" s="319">
        <f>Data!DB32/AO$4*100000*AO$3</f>
        <v>0</v>
      </c>
      <c r="AP31" s="319">
        <f>Data!DC32/AP$4*100000*AP$3</f>
        <v>0</v>
      </c>
      <c r="AQ31" s="319">
        <f>Data!DD32/AQ$4*100000*AQ$3</f>
        <v>0</v>
      </c>
      <c r="AR31" s="319">
        <f>Data!DE32/AR$4*100000*AR$3</f>
        <v>0</v>
      </c>
      <c r="AS31" s="319">
        <f>Data!DF32/AS$4*100000*AS$3</f>
        <v>0</v>
      </c>
      <c r="AT31" s="319">
        <f>Data!DG32/AT$4*100000*AT$3</f>
        <v>0</v>
      </c>
      <c r="AU31" s="319">
        <f>Data!DH32/AU$4*100000*AU$3</f>
        <v>0</v>
      </c>
      <c r="AV31" s="319">
        <f>Data!DI32/AV$4*100000*AV$3</f>
        <v>0</v>
      </c>
      <c r="AW31" s="319">
        <f>Data!DJ32/AW$4*100000*AW$3</f>
        <v>0</v>
      </c>
      <c r="AX31" s="319">
        <f>Data!DK32/AX$4*100000*AX$3</f>
        <v>0</v>
      </c>
      <c r="AY31" s="319">
        <f>Data!DL32/AY$4*100000*AY$3</f>
        <v>3547.5774480501632</v>
      </c>
      <c r="AZ31" s="319">
        <f>Data!DM32/AZ$4*100000*AZ$3</f>
        <v>8158.1872507928747</v>
      </c>
      <c r="BA31" s="319">
        <f>Data!DN32/BA$4*100000*BA$3</f>
        <v>10555.822709093254</v>
      </c>
      <c r="BB31" s="319">
        <f>Data!DO32/BB$4*100000*BB$3</f>
        <v>20677.058803257787</v>
      </c>
      <c r="BC31" s="319">
        <f>Data!DP32/BC$4*100000*BC$3</f>
        <v>14806.95433288501</v>
      </c>
      <c r="BD31" s="319">
        <f>Data!DQ32/BD$4*100000*BD$3</f>
        <v>14815.790340104699</v>
      </c>
      <c r="BE31" s="319">
        <f>Data!DR32/BE$4*100000*BE$3</f>
        <v>11542.98186702485</v>
      </c>
    </row>
    <row r="32" spans="1:57" ht="12" customHeight="1">
      <c r="A32" s="66"/>
      <c r="B32" s="125" t="str">
        <f>UPPER(LEFT(TRIM(Data!B33),1)) &amp; MID(TRIM(Data!B33),2,50)</f>
        <v>Kitų šlapimą išskiriančių organų</v>
      </c>
      <c r="C32" s="125" t="str">
        <f>UPPER(LEFT(TRIM(Data!C33),1)) &amp; MID(TRIM(Data!C33),2,50)</f>
        <v>C65, C66, C68</v>
      </c>
      <c r="D32" s="138">
        <f>Data!BR33</f>
        <v>11</v>
      </c>
      <c r="E32" s="139">
        <f t="shared" si="5"/>
        <v>0.69565613337878285</v>
      </c>
      <c r="F32" s="129">
        <f t="shared" si="6"/>
        <v>0.31544515216195118</v>
      </c>
      <c r="G32" s="129">
        <f t="shared" si="7"/>
        <v>0.18735906303132815</v>
      </c>
      <c r="H32" s="70"/>
      <c r="I32" s="70"/>
      <c r="J32" s="70"/>
      <c r="K32" s="70"/>
      <c r="L32" s="70"/>
      <c r="M32" s="70"/>
      <c r="N32" s="70"/>
      <c r="O32" s="70"/>
      <c r="P32" s="70"/>
      <c r="Q32" s="311"/>
      <c r="R32" s="327" t="s">
        <v>353</v>
      </c>
      <c r="S32" s="319">
        <f t="shared" si="3"/>
        <v>31544.515216195115</v>
      </c>
      <c r="T32" s="319">
        <f>Data!DA33/T$4*100000*T$3</f>
        <v>0</v>
      </c>
      <c r="U32" s="319">
        <f>Data!DB33/U$4*100000*U$3</f>
        <v>0</v>
      </c>
      <c r="V32" s="319">
        <f>Data!DC33/V$4*100000*V$3</f>
        <v>0</v>
      </c>
      <c r="W32" s="319">
        <f>Data!DD33/W$4*100000*W$3</f>
        <v>0</v>
      </c>
      <c r="X32" s="319">
        <f>Data!DE33/X$4*100000*X$3</f>
        <v>0</v>
      </c>
      <c r="Y32" s="319">
        <f>Data!DF33/Y$4*100000*Y$3</f>
        <v>0</v>
      </c>
      <c r="Z32" s="319">
        <f>Data!DG33/Z$4*100000*Z$3</f>
        <v>0</v>
      </c>
      <c r="AA32" s="319">
        <f>Data!DH33/AA$4*100000*AA$3</f>
        <v>0</v>
      </c>
      <c r="AB32" s="319">
        <f>Data!DI33/AB$4*100000*AB$3</f>
        <v>0</v>
      </c>
      <c r="AC32" s="319">
        <f>Data!DJ33/AC$4*100000*AC$3</f>
        <v>0</v>
      </c>
      <c r="AD32" s="319">
        <f>Data!DK33/AD$4*100000*AD$3</f>
        <v>5676.6115494716696</v>
      </c>
      <c r="AE32" s="319">
        <f>Data!DL33/AE$4*100000*AE$3</f>
        <v>0</v>
      </c>
      <c r="AF32" s="319">
        <f>Data!DM33/AF$4*100000*AF$3</f>
        <v>0</v>
      </c>
      <c r="AG32" s="319">
        <f>Data!DN33/AG$4*100000*AG$3</f>
        <v>4691.4767595970015</v>
      </c>
      <c r="AH32" s="319">
        <f>Data!DO33/AH$4*100000*AH$3</f>
        <v>3446.176467209631</v>
      </c>
      <c r="AI32" s="319">
        <f>Data!DP33/AI$4*100000*AI$3</f>
        <v>12339.128610737511</v>
      </c>
      <c r="AJ32" s="319">
        <f>Data!DQ33/AJ$4*100000*AJ$3</f>
        <v>3292.3978533565996</v>
      </c>
      <c r="AK32" s="319">
        <f>Data!DR33/AK$4*100000*AK$3</f>
        <v>2098.7239758227001</v>
      </c>
      <c r="AL32" s="327" t="s">
        <v>353</v>
      </c>
      <c r="AM32" s="319">
        <f t="shared" si="4"/>
        <v>18735.906303132815</v>
      </c>
      <c r="AN32" s="319">
        <f>Data!DA33/AN$4*100000*AN$3</f>
        <v>0</v>
      </c>
      <c r="AO32" s="319">
        <f>Data!DB33/AO$4*100000*AO$3</f>
        <v>0</v>
      </c>
      <c r="AP32" s="319">
        <f>Data!DC33/AP$4*100000*AP$3</f>
        <v>0</v>
      </c>
      <c r="AQ32" s="319">
        <f>Data!DD33/AQ$4*100000*AQ$3</f>
        <v>0</v>
      </c>
      <c r="AR32" s="319">
        <f>Data!DE33/AR$4*100000*AR$3</f>
        <v>0</v>
      </c>
      <c r="AS32" s="319">
        <f>Data!DF33/AS$4*100000*AS$3</f>
        <v>0</v>
      </c>
      <c r="AT32" s="319">
        <f>Data!DG33/AT$4*100000*AT$3</f>
        <v>0</v>
      </c>
      <c r="AU32" s="319">
        <f>Data!DH33/AU$4*100000*AU$3</f>
        <v>0</v>
      </c>
      <c r="AV32" s="319">
        <f>Data!DI33/AV$4*100000*AV$3</f>
        <v>0</v>
      </c>
      <c r="AW32" s="319">
        <f>Data!DJ33/AW$4*100000*AW$3</f>
        <v>0</v>
      </c>
      <c r="AX32" s="319">
        <f>Data!DK33/AX$4*100000*AX$3</f>
        <v>4054.7225353369072</v>
      </c>
      <c r="AY32" s="319">
        <f>Data!DL33/AY$4*100000*AY$3</f>
        <v>0</v>
      </c>
      <c r="AZ32" s="319">
        <f>Data!DM33/AZ$4*100000*AZ$3</f>
        <v>0</v>
      </c>
      <c r="BA32" s="319">
        <f>Data!DN33/BA$4*100000*BA$3</f>
        <v>3518.6075696977514</v>
      </c>
      <c r="BB32" s="319">
        <f>Data!DO33/BB$4*100000*BB$3</f>
        <v>2297.4509781397542</v>
      </c>
      <c r="BC32" s="319">
        <f>Data!DP33/BC$4*100000*BC$3</f>
        <v>6169.5643053687554</v>
      </c>
      <c r="BD32" s="319">
        <f>Data!DQ33/BD$4*100000*BD$3</f>
        <v>1646.1989266782998</v>
      </c>
      <c r="BE32" s="319">
        <f>Data!DR33/BE$4*100000*BE$3</f>
        <v>1049.3619879113501</v>
      </c>
    </row>
    <row r="33" spans="1:57" ht="12" customHeight="1">
      <c r="A33" s="66"/>
      <c r="B33" s="147" t="str">
        <f>UPPER(LEFT(TRIM(Data!B34),1)) &amp; MID(TRIM(Data!B34),2,50)</f>
        <v>Akių</v>
      </c>
      <c r="C33" s="141" t="str">
        <f>UPPER(LEFT(TRIM(Data!C34),1)) &amp; MID(TRIM(Data!C34),2,50)</f>
        <v>C69</v>
      </c>
      <c r="D33" s="148">
        <f>Data!BR34</f>
        <v>6</v>
      </c>
      <c r="E33" s="149">
        <f t="shared" si="5"/>
        <v>0.37944880002479064</v>
      </c>
      <c r="F33" s="150">
        <f t="shared" si="6"/>
        <v>0.2338522379475107</v>
      </c>
      <c r="G33" s="150">
        <f t="shared" si="7"/>
        <v>0.15570423475459219</v>
      </c>
      <c r="H33" s="70"/>
      <c r="I33" s="70"/>
      <c r="J33" s="70"/>
      <c r="K33" s="70"/>
      <c r="L33" s="70"/>
      <c r="M33" s="70"/>
      <c r="N33" s="70"/>
      <c r="O33" s="70"/>
      <c r="P33" s="70"/>
      <c r="Q33" s="311"/>
      <c r="R33" s="327" t="s">
        <v>353</v>
      </c>
      <c r="S33" s="319">
        <f t="shared" si="3"/>
        <v>23385.223794751069</v>
      </c>
      <c r="T33" s="319">
        <f>Data!DA34/T$4*100000*T$3</f>
        <v>0</v>
      </c>
      <c r="U33" s="319">
        <f>Data!DB34/U$4*100000*U$3</f>
        <v>0</v>
      </c>
      <c r="V33" s="319">
        <f>Data!DC34/V$4*100000*V$3</f>
        <v>0</v>
      </c>
      <c r="W33" s="319">
        <f>Data!DD34/W$4*100000*W$3</f>
        <v>0</v>
      </c>
      <c r="X33" s="319">
        <f>Data!DE34/X$4*100000*X$3</f>
        <v>0</v>
      </c>
      <c r="Y33" s="319">
        <f>Data!DF34/Y$4*100000*Y$3</f>
        <v>0</v>
      </c>
      <c r="Z33" s="319">
        <f>Data!DG34/Z$4*100000*Z$3</f>
        <v>0</v>
      </c>
      <c r="AA33" s="319">
        <f>Data!DH34/AA$4*100000*AA$3</f>
        <v>0</v>
      </c>
      <c r="AB33" s="319">
        <f>Data!DI34/AB$4*100000*AB$3</f>
        <v>0</v>
      </c>
      <c r="AC33" s="319">
        <f>Data!DJ34/AC$4*100000*AC$3</f>
        <v>0</v>
      </c>
      <c r="AD33" s="319">
        <f>Data!DK34/AD$4*100000*AD$3</f>
        <v>0</v>
      </c>
      <c r="AE33" s="319">
        <f>Data!DL34/AE$4*100000*AE$3</f>
        <v>10642.732344150489</v>
      </c>
      <c r="AF33" s="319">
        <f>Data!DM34/AF$4*100000*AF$3</f>
        <v>5098.8670317455462</v>
      </c>
      <c r="AG33" s="319">
        <f>Data!DN34/AG$4*100000*AG$3</f>
        <v>0</v>
      </c>
      <c r="AH33" s="319">
        <f>Data!DO34/AH$4*100000*AH$3</f>
        <v>3446.176467209631</v>
      </c>
      <c r="AI33" s="319">
        <f>Data!DP34/AI$4*100000*AI$3</f>
        <v>0</v>
      </c>
      <c r="AJ33" s="319">
        <f>Data!DQ34/AJ$4*100000*AJ$3</f>
        <v>0</v>
      </c>
      <c r="AK33" s="319">
        <f>Data!DR34/AK$4*100000*AK$3</f>
        <v>4197.4479516454003</v>
      </c>
      <c r="AL33" s="327" t="s">
        <v>353</v>
      </c>
      <c r="AM33" s="319">
        <f t="shared" si="4"/>
        <v>15570.423475459218</v>
      </c>
      <c r="AN33" s="319">
        <f>Data!DA34/AN$4*100000*AN$3</f>
        <v>0</v>
      </c>
      <c r="AO33" s="319">
        <f>Data!DB34/AO$4*100000*AO$3</f>
        <v>0</v>
      </c>
      <c r="AP33" s="319">
        <f>Data!DC34/AP$4*100000*AP$3</f>
        <v>0</v>
      </c>
      <c r="AQ33" s="319">
        <f>Data!DD34/AQ$4*100000*AQ$3</f>
        <v>0</v>
      </c>
      <c r="AR33" s="319">
        <f>Data!DE34/AR$4*100000*AR$3</f>
        <v>0</v>
      </c>
      <c r="AS33" s="319">
        <f>Data!DF34/AS$4*100000*AS$3</f>
        <v>0</v>
      </c>
      <c r="AT33" s="319">
        <f>Data!DG34/AT$4*100000*AT$3</f>
        <v>0</v>
      </c>
      <c r="AU33" s="319">
        <f>Data!DH34/AU$4*100000*AU$3</f>
        <v>0</v>
      </c>
      <c r="AV33" s="319">
        <f>Data!DI34/AV$4*100000*AV$3</f>
        <v>0</v>
      </c>
      <c r="AW33" s="319">
        <f>Data!DJ34/AW$4*100000*AW$3</f>
        <v>0</v>
      </c>
      <c r="AX33" s="319">
        <f>Data!DK34/AX$4*100000*AX$3</f>
        <v>0</v>
      </c>
      <c r="AY33" s="319">
        <f>Data!DL34/AY$4*100000*AY$3</f>
        <v>7095.1548961003264</v>
      </c>
      <c r="AZ33" s="319">
        <f>Data!DM34/AZ$4*100000*AZ$3</f>
        <v>4079.0936253964373</v>
      </c>
      <c r="BA33" s="319">
        <f>Data!DN34/BA$4*100000*BA$3</f>
        <v>0</v>
      </c>
      <c r="BB33" s="319">
        <f>Data!DO34/BB$4*100000*BB$3</f>
        <v>2297.4509781397542</v>
      </c>
      <c r="BC33" s="319">
        <f>Data!DP34/BC$4*100000*BC$3</f>
        <v>0</v>
      </c>
      <c r="BD33" s="319">
        <f>Data!DQ34/BD$4*100000*BD$3</f>
        <v>0</v>
      </c>
      <c r="BE33" s="319">
        <f>Data!DR34/BE$4*100000*BE$3</f>
        <v>2098.7239758227001</v>
      </c>
    </row>
    <row r="34" spans="1:57" ht="12" customHeight="1">
      <c r="A34" s="66"/>
      <c r="B34" s="125" t="str">
        <f>UPPER(LEFT(TRIM(Data!B35),1)) &amp; MID(TRIM(Data!B35),2,50)</f>
        <v>Smegenų</v>
      </c>
      <c r="C34" s="125" t="str">
        <f>UPPER(LEFT(TRIM(Data!C35),1)) &amp; MID(TRIM(Data!C35),2,50)</f>
        <v>C70-C72</v>
      </c>
      <c r="D34" s="138">
        <f>Data!BR35</f>
        <v>112</v>
      </c>
      <c r="E34" s="139">
        <f t="shared" si="5"/>
        <v>7.0830442671294263</v>
      </c>
      <c r="F34" s="129">
        <f t="shared" si="6"/>
        <v>4.5215430947552147</v>
      </c>
      <c r="G34" s="129">
        <f t="shared" si="7"/>
        <v>3.3737308178725316</v>
      </c>
      <c r="H34" s="70"/>
      <c r="I34" s="70"/>
      <c r="J34" s="70"/>
      <c r="K34" s="70"/>
      <c r="L34" s="70"/>
      <c r="M34" s="70"/>
      <c r="N34" s="70"/>
      <c r="O34" s="70"/>
      <c r="P34" s="70"/>
      <c r="Q34" s="311"/>
      <c r="R34" s="327" t="s">
        <v>353</v>
      </c>
      <c r="S34" s="319">
        <f t="shared" si="3"/>
        <v>452154.3094755215</v>
      </c>
      <c r="T34" s="319">
        <f>Data!DA35/T$4*100000*T$3</f>
        <v>0</v>
      </c>
      <c r="U34" s="319">
        <f>Data!DB35/U$4*100000*U$3</f>
        <v>20926.130758422769</v>
      </c>
      <c r="V34" s="319">
        <f>Data!DC35/V$4*100000*V$3</f>
        <v>10271.610735300592</v>
      </c>
      <c r="W34" s="319">
        <f>Data!DD35/W$4*100000*W$3</f>
        <v>0</v>
      </c>
      <c r="X34" s="319">
        <f>Data!DE35/X$4*100000*X$3</f>
        <v>0</v>
      </c>
      <c r="Y34" s="319">
        <f>Data!DF35/Y$4*100000*Y$3</f>
        <v>0</v>
      </c>
      <c r="Z34" s="319">
        <f>Data!DG35/Z$4*100000*Z$3</f>
        <v>16053.020834527753</v>
      </c>
      <c r="AA34" s="319">
        <f>Data!DH35/AA$4*100000*AA$3</f>
        <v>7579.7771545516553</v>
      </c>
      <c r="AB34" s="319">
        <f>Data!DI35/AB$4*100000*AB$3</f>
        <v>26519.671913773178</v>
      </c>
      <c r="AC34" s="319">
        <f>Data!DJ35/AC$4*100000*AC$3</f>
        <v>25397.055755607762</v>
      </c>
      <c r="AD34" s="319">
        <f>Data!DK35/AD$4*100000*AD$3</f>
        <v>22706.446197886678</v>
      </c>
      <c r="AE34" s="319">
        <f>Data!DL35/AE$4*100000*AE$3</f>
        <v>53213.66172075244</v>
      </c>
      <c r="AF34" s="319">
        <f>Data!DM35/AF$4*100000*AF$3</f>
        <v>66285.271412692106</v>
      </c>
      <c r="AG34" s="319">
        <f>Data!DN35/AG$4*100000*AG$3</f>
        <v>42223.290836373017</v>
      </c>
      <c r="AH34" s="319">
        <f>Data!DO35/AH$4*100000*AH$3</f>
        <v>75815.882278611884</v>
      </c>
      <c r="AI34" s="319">
        <f>Data!DP35/AI$4*100000*AI$3</f>
        <v>44420.862998655037</v>
      </c>
      <c r="AJ34" s="319">
        <f>Data!DQ35/AJ$4*100000*AJ$3</f>
        <v>19754.387120139596</v>
      </c>
      <c r="AK34" s="319">
        <f>Data!DR35/AK$4*100000*AK$3</f>
        <v>20987.239758226999</v>
      </c>
      <c r="AL34" s="327" t="s">
        <v>353</v>
      </c>
      <c r="AM34" s="319">
        <f t="shared" si="4"/>
        <v>337373.08178725315</v>
      </c>
      <c r="AN34" s="319">
        <f>Data!DA35/AN$4*100000*AN$3</f>
        <v>0</v>
      </c>
      <c r="AO34" s="319">
        <f>Data!DB35/AO$4*100000*AO$3</f>
        <v>29894.472512032527</v>
      </c>
      <c r="AP34" s="319">
        <f>Data!DC35/AP$4*100000*AP$3</f>
        <v>13206.356659672188</v>
      </c>
      <c r="AQ34" s="319">
        <f>Data!DD35/AQ$4*100000*AQ$3</f>
        <v>0</v>
      </c>
      <c r="AR34" s="319">
        <f>Data!DE35/AR$4*100000*AR$3</f>
        <v>0</v>
      </c>
      <c r="AS34" s="319">
        <f>Data!DF35/AS$4*100000*AS$3</f>
        <v>0</v>
      </c>
      <c r="AT34" s="319">
        <f>Data!DG35/AT$4*100000*AT$3</f>
        <v>13759.732143880932</v>
      </c>
      <c r="AU34" s="319">
        <f>Data!DH35/AU$4*100000*AU$3</f>
        <v>6496.9518467585613</v>
      </c>
      <c r="AV34" s="319">
        <f>Data!DI35/AV$4*100000*AV$3</f>
        <v>22731.147354662724</v>
      </c>
      <c r="AW34" s="319">
        <f>Data!DJ35/AW$4*100000*AW$3</f>
        <v>21768.904933378082</v>
      </c>
      <c r="AX34" s="319">
        <f>Data!DK35/AX$4*100000*AX$3</f>
        <v>16218.890141347629</v>
      </c>
      <c r="AY34" s="319">
        <f>Data!DL35/AY$4*100000*AY$3</f>
        <v>35475.774480501626</v>
      </c>
      <c r="AZ34" s="319">
        <f>Data!DM35/AZ$4*100000*AZ$3</f>
        <v>53028.217130153687</v>
      </c>
      <c r="BA34" s="319">
        <f>Data!DN35/BA$4*100000*BA$3</f>
        <v>31667.468127279764</v>
      </c>
      <c r="BB34" s="319">
        <f>Data!DO35/BB$4*100000*BB$3</f>
        <v>50543.921519074589</v>
      </c>
      <c r="BC34" s="319">
        <f>Data!DP35/BC$4*100000*BC$3</f>
        <v>22210.431499327518</v>
      </c>
      <c r="BD34" s="319">
        <f>Data!DQ35/BD$4*100000*BD$3</f>
        <v>9877.193560069798</v>
      </c>
      <c r="BE34" s="319">
        <f>Data!DR35/BE$4*100000*BE$3</f>
        <v>10493.619879113499</v>
      </c>
    </row>
    <row r="35" spans="1:57" ht="12" customHeight="1">
      <c r="A35" s="66"/>
      <c r="B35" s="147" t="str">
        <f>UPPER(LEFT(TRIM(Data!B36),1)) &amp; MID(TRIM(Data!B36),2,50)</f>
        <v>Skydliaukės</v>
      </c>
      <c r="C35" s="141" t="str">
        <f>UPPER(LEFT(TRIM(Data!C36),1)) &amp; MID(TRIM(Data!C36),2,50)</f>
        <v>C73</v>
      </c>
      <c r="D35" s="148">
        <f>Data!BR36</f>
        <v>19</v>
      </c>
      <c r="E35" s="149">
        <f t="shared" si="5"/>
        <v>1.2015878667451705</v>
      </c>
      <c r="F35" s="150">
        <f t="shared" si="6"/>
        <v>0.57992853679160539</v>
      </c>
      <c r="G35" s="150">
        <f t="shared" si="7"/>
        <v>0.37011468034043449</v>
      </c>
      <c r="H35" s="70"/>
      <c r="I35" s="70"/>
      <c r="J35" s="70"/>
      <c r="K35" s="70"/>
      <c r="L35" s="70"/>
      <c r="M35" s="70"/>
      <c r="N35" s="70"/>
      <c r="O35" s="70"/>
      <c r="P35" s="70"/>
      <c r="Q35" s="311"/>
      <c r="R35" s="327" t="s">
        <v>353</v>
      </c>
      <c r="S35" s="319">
        <f t="shared" si="3"/>
        <v>57992.853679160537</v>
      </c>
      <c r="T35" s="319">
        <f>Data!DA36/T$4*100000*T$3</f>
        <v>0</v>
      </c>
      <c r="U35" s="319">
        <f>Data!DB36/U$4*100000*U$3</f>
        <v>0</v>
      </c>
      <c r="V35" s="319">
        <f>Data!DC36/V$4*100000*V$3</f>
        <v>0</v>
      </c>
      <c r="W35" s="319">
        <f>Data!DD36/W$4*100000*W$3</f>
        <v>0</v>
      </c>
      <c r="X35" s="319">
        <f>Data!DE36/X$4*100000*X$3</f>
        <v>0</v>
      </c>
      <c r="Y35" s="319">
        <f>Data!DF36/Y$4*100000*Y$3</f>
        <v>0</v>
      </c>
      <c r="Z35" s="319">
        <f>Data!DG36/Z$4*100000*Z$3</f>
        <v>0</v>
      </c>
      <c r="AA35" s="319">
        <f>Data!DH36/AA$4*100000*AA$3</f>
        <v>0</v>
      </c>
      <c r="AB35" s="319">
        <f>Data!DI36/AB$4*100000*AB$3</f>
        <v>0</v>
      </c>
      <c r="AC35" s="319">
        <f>Data!DJ36/AC$4*100000*AC$3</f>
        <v>0</v>
      </c>
      <c r="AD35" s="319">
        <f>Data!DK36/AD$4*100000*AD$3</f>
        <v>0</v>
      </c>
      <c r="AE35" s="319">
        <f>Data!DL36/AE$4*100000*AE$3</f>
        <v>5321.3661720752443</v>
      </c>
      <c r="AF35" s="319">
        <f>Data!DM36/AF$4*100000*AF$3</f>
        <v>10197.734063491092</v>
      </c>
      <c r="AG35" s="319">
        <f>Data!DN36/AG$4*100000*AG$3</f>
        <v>9382.9535191940031</v>
      </c>
      <c r="AH35" s="319">
        <f>Data!DO36/AH$4*100000*AH$3</f>
        <v>10338.529401628894</v>
      </c>
      <c r="AI35" s="319">
        <f>Data!DP36/AI$4*100000*AI$3</f>
        <v>9871.3028885900076</v>
      </c>
      <c r="AJ35" s="319">
        <f>Data!DQ36/AJ$4*100000*AJ$3</f>
        <v>6584.7957067131993</v>
      </c>
      <c r="AK35" s="319">
        <f>Data!DR36/AK$4*100000*AK$3</f>
        <v>6296.1719274680991</v>
      </c>
      <c r="AL35" s="327" t="s">
        <v>353</v>
      </c>
      <c r="AM35" s="319">
        <f t="shared" si="4"/>
        <v>37011.46803404345</v>
      </c>
      <c r="AN35" s="319">
        <f>Data!DA36/AN$4*100000*AN$3</f>
        <v>0</v>
      </c>
      <c r="AO35" s="319">
        <f>Data!DB36/AO$4*100000*AO$3</f>
        <v>0</v>
      </c>
      <c r="AP35" s="319">
        <f>Data!DC36/AP$4*100000*AP$3</f>
        <v>0</v>
      </c>
      <c r="AQ35" s="319">
        <f>Data!DD36/AQ$4*100000*AQ$3</f>
        <v>0</v>
      </c>
      <c r="AR35" s="319">
        <f>Data!DE36/AR$4*100000*AR$3</f>
        <v>0</v>
      </c>
      <c r="AS35" s="319">
        <f>Data!DF36/AS$4*100000*AS$3</f>
        <v>0</v>
      </c>
      <c r="AT35" s="319">
        <f>Data!DG36/AT$4*100000*AT$3</f>
        <v>0</v>
      </c>
      <c r="AU35" s="319">
        <f>Data!DH36/AU$4*100000*AU$3</f>
        <v>0</v>
      </c>
      <c r="AV35" s="319">
        <f>Data!DI36/AV$4*100000*AV$3</f>
        <v>0</v>
      </c>
      <c r="AW35" s="319">
        <f>Data!DJ36/AW$4*100000*AW$3</f>
        <v>0</v>
      </c>
      <c r="AX35" s="319">
        <f>Data!DK36/AX$4*100000*AX$3</f>
        <v>0</v>
      </c>
      <c r="AY35" s="319">
        <f>Data!DL36/AY$4*100000*AY$3</f>
        <v>3547.5774480501632</v>
      </c>
      <c r="AZ35" s="319">
        <f>Data!DM36/AZ$4*100000*AZ$3</f>
        <v>8158.1872507928747</v>
      </c>
      <c r="BA35" s="319">
        <f>Data!DN36/BA$4*100000*BA$3</f>
        <v>7037.2151393955028</v>
      </c>
      <c r="BB35" s="319">
        <f>Data!DO36/BB$4*100000*BB$3</f>
        <v>6892.3529344192621</v>
      </c>
      <c r="BC35" s="319">
        <f>Data!DP36/BC$4*100000*BC$3</f>
        <v>4935.6514442950038</v>
      </c>
      <c r="BD35" s="319">
        <f>Data!DQ36/BD$4*100000*BD$3</f>
        <v>3292.3978533565996</v>
      </c>
      <c r="BE35" s="319">
        <f>Data!DR36/BE$4*100000*BE$3</f>
        <v>3148.0859637340495</v>
      </c>
    </row>
    <row r="36" spans="1:57" ht="12" customHeight="1">
      <c r="A36" s="66"/>
      <c r="B36" s="125" t="str">
        <f>UPPER(LEFT(TRIM(Data!B37),1)) &amp; MID(TRIM(Data!B37),2,50)</f>
        <v>Kitų endokrininių liaukų</v>
      </c>
      <c r="C36" s="125" t="str">
        <f>UPPER(LEFT(TRIM(Data!C37),1)) &amp; MID(TRIM(Data!C37),2,50)</f>
        <v>C74-C75</v>
      </c>
      <c r="D36" s="138">
        <f>Data!BR37</f>
        <v>7</v>
      </c>
      <c r="E36" s="139">
        <f t="shared" si="5"/>
        <v>0.44269026669558914</v>
      </c>
      <c r="F36" s="129">
        <f t="shared" si="6"/>
        <v>0.3040159334785309</v>
      </c>
      <c r="G36" s="129">
        <f t="shared" si="7"/>
        <v>0.21509028684450857</v>
      </c>
      <c r="H36" s="70"/>
      <c r="I36" s="70"/>
      <c r="J36" s="70"/>
      <c r="K36" s="70"/>
      <c r="L36" s="70"/>
      <c r="M36" s="70"/>
      <c r="N36" s="70"/>
      <c r="O36" s="70"/>
      <c r="P36" s="70"/>
      <c r="Q36" s="311"/>
      <c r="R36" s="327" t="s">
        <v>353</v>
      </c>
      <c r="S36" s="319">
        <f t="shared" si="3"/>
        <v>30401.59334785309</v>
      </c>
      <c r="T36" s="319">
        <f>Data!DA37/T$4*100000*T$3</f>
        <v>0</v>
      </c>
      <c r="U36" s="319">
        <f>Data!DB37/U$4*100000*U$3</f>
        <v>0</v>
      </c>
      <c r="V36" s="319">
        <f>Data!DC37/V$4*100000*V$3</f>
        <v>0</v>
      </c>
      <c r="W36" s="319">
        <f>Data!DD37/W$4*100000*W$3</f>
        <v>0</v>
      </c>
      <c r="X36" s="319">
        <f>Data!DE37/X$4*100000*X$3</f>
        <v>0</v>
      </c>
      <c r="Y36" s="319">
        <f>Data!DF37/Y$4*100000*Y$3</f>
        <v>0</v>
      </c>
      <c r="Z36" s="319">
        <f>Data!DG37/Z$4*100000*Z$3</f>
        <v>0</v>
      </c>
      <c r="AA36" s="319">
        <f>Data!DH37/AA$4*100000*AA$3</f>
        <v>0</v>
      </c>
      <c r="AB36" s="319">
        <f>Data!DI37/AB$4*100000*AB$3</f>
        <v>0</v>
      </c>
      <c r="AC36" s="319">
        <f>Data!DJ37/AC$4*100000*AC$3</f>
        <v>0</v>
      </c>
      <c r="AD36" s="319">
        <f>Data!DK37/AD$4*100000*AD$3</f>
        <v>11353.223098943339</v>
      </c>
      <c r="AE36" s="319">
        <f>Data!DL37/AE$4*100000*AE$3</f>
        <v>0</v>
      </c>
      <c r="AF36" s="319">
        <f>Data!DM37/AF$4*100000*AF$3</f>
        <v>5098.8670317455462</v>
      </c>
      <c r="AG36" s="319">
        <f>Data!DN37/AG$4*100000*AG$3</f>
        <v>9382.9535191940031</v>
      </c>
      <c r="AH36" s="319">
        <f>Data!DO37/AH$4*100000*AH$3</f>
        <v>0</v>
      </c>
      <c r="AI36" s="319">
        <f>Data!DP37/AI$4*100000*AI$3</f>
        <v>2467.8257221475019</v>
      </c>
      <c r="AJ36" s="319">
        <f>Data!DQ37/AJ$4*100000*AJ$3</f>
        <v>0</v>
      </c>
      <c r="AK36" s="319">
        <f>Data!DR37/AK$4*100000*AK$3</f>
        <v>2098.7239758227001</v>
      </c>
      <c r="AL36" s="327" t="s">
        <v>353</v>
      </c>
      <c r="AM36" s="319">
        <f t="shared" si="4"/>
        <v>21509.028684450856</v>
      </c>
      <c r="AN36" s="319">
        <f>Data!DA37/AN$4*100000*AN$3</f>
        <v>0</v>
      </c>
      <c r="AO36" s="319">
        <f>Data!DB37/AO$4*100000*AO$3</f>
        <v>0</v>
      </c>
      <c r="AP36" s="319">
        <f>Data!DC37/AP$4*100000*AP$3</f>
        <v>0</v>
      </c>
      <c r="AQ36" s="319">
        <f>Data!DD37/AQ$4*100000*AQ$3</f>
        <v>0</v>
      </c>
      <c r="AR36" s="319">
        <f>Data!DE37/AR$4*100000*AR$3</f>
        <v>0</v>
      </c>
      <c r="AS36" s="319">
        <f>Data!DF37/AS$4*100000*AS$3</f>
        <v>0</v>
      </c>
      <c r="AT36" s="319">
        <f>Data!DG37/AT$4*100000*AT$3</f>
        <v>0</v>
      </c>
      <c r="AU36" s="319">
        <f>Data!DH37/AU$4*100000*AU$3</f>
        <v>0</v>
      </c>
      <c r="AV36" s="319">
        <f>Data!DI37/AV$4*100000*AV$3</f>
        <v>0</v>
      </c>
      <c r="AW36" s="319">
        <f>Data!DJ37/AW$4*100000*AW$3</f>
        <v>0</v>
      </c>
      <c r="AX36" s="319">
        <f>Data!DK37/AX$4*100000*AX$3</f>
        <v>8109.4450706738144</v>
      </c>
      <c r="AY36" s="319">
        <f>Data!DL37/AY$4*100000*AY$3</f>
        <v>0</v>
      </c>
      <c r="AZ36" s="319">
        <f>Data!DM37/AZ$4*100000*AZ$3</f>
        <v>4079.0936253964373</v>
      </c>
      <c r="BA36" s="319">
        <f>Data!DN37/BA$4*100000*BA$3</f>
        <v>7037.2151393955028</v>
      </c>
      <c r="BB36" s="319">
        <f>Data!DO37/BB$4*100000*BB$3</f>
        <v>0</v>
      </c>
      <c r="BC36" s="319">
        <f>Data!DP37/BC$4*100000*BC$3</f>
        <v>1233.9128610737509</v>
      </c>
      <c r="BD36" s="319">
        <f>Data!DQ37/BD$4*100000*BD$3</f>
        <v>0</v>
      </c>
      <c r="BE36" s="319">
        <f>Data!DR37/BE$4*100000*BE$3</f>
        <v>1049.3619879113501</v>
      </c>
    </row>
    <row r="37" spans="1:57" ht="12" customHeight="1">
      <c r="A37" s="66"/>
      <c r="B37" s="147" t="str">
        <f>UPPER(LEFT(TRIM(Data!B38),1)) &amp; MID(TRIM(Data!B38),2,50)</f>
        <v>Nepatikslintos lokalizacijos</v>
      </c>
      <c r="C37" s="141" t="str">
        <f>UPPER(LEFT(TRIM(Data!C38),1)) &amp; MID(TRIM(Data!C38),2,50)</f>
        <v>C76-C80</v>
      </c>
      <c r="D37" s="148">
        <f>Data!BR38</f>
        <v>172</v>
      </c>
      <c r="E37" s="149">
        <f t="shared" si="5"/>
        <v>10.877532267377331</v>
      </c>
      <c r="F37" s="150">
        <f t="shared" si="6"/>
        <v>5.3542919518491034</v>
      </c>
      <c r="G37" s="150">
        <f t="shared" si="7"/>
        <v>3.4726209590410235</v>
      </c>
      <c r="H37" s="70"/>
      <c r="I37" s="70"/>
      <c r="J37" s="70"/>
      <c r="K37" s="70"/>
      <c r="L37" s="70"/>
      <c r="M37" s="70"/>
      <c r="N37" s="70"/>
      <c r="O37" s="70"/>
      <c r="P37" s="70"/>
      <c r="Q37" s="311"/>
      <c r="R37" s="327" t="s">
        <v>353</v>
      </c>
      <c r="S37" s="319">
        <f t="shared" si="3"/>
        <v>535429.19518491032</v>
      </c>
      <c r="T37" s="319">
        <f>Data!DA38/T$4*100000*T$3</f>
        <v>0</v>
      </c>
      <c r="U37" s="319">
        <f>Data!DB38/U$4*100000*U$3</f>
        <v>0</v>
      </c>
      <c r="V37" s="319">
        <f>Data!DC38/V$4*100000*V$3</f>
        <v>0</v>
      </c>
      <c r="W37" s="319">
        <f>Data!DD38/W$4*100000*W$3</f>
        <v>0</v>
      </c>
      <c r="X37" s="319">
        <f>Data!DE38/X$4*100000*X$3</f>
        <v>0</v>
      </c>
      <c r="Y37" s="319">
        <f>Data!DF38/Y$4*100000*Y$3</f>
        <v>0</v>
      </c>
      <c r="Z37" s="319">
        <f>Data!DG38/Z$4*100000*Z$3</f>
        <v>0</v>
      </c>
      <c r="AA37" s="319">
        <f>Data!DH38/AA$4*100000*AA$3</f>
        <v>0</v>
      </c>
      <c r="AB37" s="319">
        <f>Data!DI38/AB$4*100000*AB$3</f>
        <v>19889.753935329885</v>
      </c>
      <c r="AC37" s="319">
        <f>Data!DJ38/AC$4*100000*AC$3</f>
        <v>44444.847572313578</v>
      </c>
      <c r="AD37" s="319">
        <f>Data!DK38/AD$4*100000*AD$3</f>
        <v>39736.280846301685</v>
      </c>
      <c r="AE37" s="319">
        <f>Data!DL38/AE$4*100000*AE$3</f>
        <v>42570.929376601955</v>
      </c>
      <c r="AF37" s="319">
        <f>Data!DM38/AF$4*100000*AF$3</f>
        <v>35692.069222218823</v>
      </c>
      <c r="AG37" s="319">
        <f>Data!DN38/AG$4*100000*AG$3</f>
        <v>75063.628153552025</v>
      </c>
      <c r="AH37" s="319">
        <f>Data!DO38/AH$4*100000*AH$3</f>
        <v>68923.529344192619</v>
      </c>
      <c r="AI37" s="319">
        <f>Data!DP38/AI$4*100000*AI$3</f>
        <v>56759.991609392542</v>
      </c>
      <c r="AJ37" s="319">
        <f>Data!DQ38/AJ$4*100000*AJ$3</f>
        <v>64201.75814045369</v>
      </c>
      <c r="AK37" s="319">
        <f>Data!DR38/AK$4*100000*AK$3</f>
        <v>88146.406984553396</v>
      </c>
      <c r="AL37" s="327" t="s">
        <v>353</v>
      </c>
      <c r="AM37" s="319">
        <f t="shared" si="4"/>
        <v>347262.09590410237</v>
      </c>
      <c r="AN37" s="319">
        <f>Data!DA38/AN$4*100000*AN$3</f>
        <v>0</v>
      </c>
      <c r="AO37" s="319">
        <f>Data!DB38/AO$4*100000*AO$3</f>
        <v>0</v>
      </c>
      <c r="AP37" s="319">
        <f>Data!DC38/AP$4*100000*AP$3</f>
        <v>0</v>
      </c>
      <c r="AQ37" s="319">
        <f>Data!DD38/AQ$4*100000*AQ$3</f>
        <v>0</v>
      </c>
      <c r="AR37" s="319">
        <f>Data!DE38/AR$4*100000*AR$3</f>
        <v>0</v>
      </c>
      <c r="AS37" s="319">
        <f>Data!DF38/AS$4*100000*AS$3</f>
        <v>0</v>
      </c>
      <c r="AT37" s="319">
        <f>Data!DG38/AT$4*100000*AT$3</f>
        <v>0</v>
      </c>
      <c r="AU37" s="319">
        <f>Data!DH38/AU$4*100000*AU$3</f>
        <v>0</v>
      </c>
      <c r="AV37" s="319">
        <f>Data!DI38/AV$4*100000*AV$3</f>
        <v>17048.360515997047</v>
      </c>
      <c r="AW37" s="319">
        <f>Data!DJ38/AW$4*100000*AW$3</f>
        <v>38095.583633411639</v>
      </c>
      <c r="AX37" s="319">
        <f>Data!DK38/AX$4*100000*AX$3</f>
        <v>28383.057747358347</v>
      </c>
      <c r="AY37" s="319">
        <f>Data!DL38/AY$4*100000*AY$3</f>
        <v>28380.619584401305</v>
      </c>
      <c r="AZ37" s="319">
        <f>Data!DM38/AZ$4*100000*AZ$3</f>
        <v>28553.65537777506</v>
      </c>
      <c r="BA37" s="319">
        <f>Data!DN38/BA$4*100000*BA$3</f>
        <v>56297.721115164022</v>
      </c>
      <c r="BB37" s="319">
        <f>Data!DO38/BB$4*100000*BB$3</f>
        <v>45949.019562795082</v>
      </c>
      <c r="BC37" s="319">
        <f>Data!DP38/BC$4*100000*BC$3</f>
        <v>28379.995804696271</v>
      </c>
      <c r="BD37" s="319">
        <f>Data!DQ38/BD$4*100000*BD$3</f>
        <v>32100.879070226845</v>
      </c>
      <c r="BE37" s="319">
        <f>Data!DR38/BE$4*100000*BE$3</f>
        <v>44073.203492276698</v>
      </c>
    </row>
    <row r="38" spans="1:57" ht="12" customHeight="1">
      <c r="A38" s="66"/>
      <c r="B38" s="125" t="str">
        <f>UPPER(LEFT(TRIM(Data!B39),1)) &amp; MID(TRIM(Data!B39),2,50)</f>
        <v>Hodžkino limfomos</v>
      </c>
      <c r="C38" s="125" t="str">
        <f>UPPER(LEFT(TRIM(Data!C39),1)) &amp; MID(TRIM(Data!C39),2,50)</f>
        <v>C81</v>
      </c>
      <c r="D38" s="138">
        <f>Data!BR39</f>
        <v>5</v>
      </c>
      <c r="E38" s="139">
        <f t="shared" si="5"/>
        <v>0.3162073333539922</v>
      </c>
      <c r="F38" s="129">
        <f t="shared" si="6"/>
        <v>0.21400794502705581</v>
      </c>
      <c r="G38" s="129">
        <f t="shared" si="7"/>
        <v>0.16349651114814495</v>
      </c>
      <c r="H38" s="70"/>
      <c r="I38" s="70"/>
      <c r="J38" s="70"/>
      <c r="K38" s="70"/>
      <c r="L38" s="70"/>
      <c r="M38" s="70"/>
      <c r="N38" s="70"/>
      <c r="O38" s="70"/>
      <c r="P38" s="70"/>
      <c r="Q38" s="311"/>
      <c r="R38" s="327" t="s">
        <v>353</v>
      </c>
      <c r="S38" s="319">
        <f t="shared" si="3"/>
        <v>21400.794502705579</v>
      </c>
      <c r="T38" s="319">
        <f>Data!DA39/T$4*100000*T$3</f>
        <v>0</v>
      </c>
      <c r="U38" s="319">
        <f>Data!DB39/U$4*100000*U$3</f>
        <v>0</v>
      </c>
      <c r="V38" s="319">
        <f>Data!DC39/V$4*100000*V$3</f>
        <v>0</v>
      </c>
      <c r="W38" s="319">
        <f>Data!DD39/W$4*100000*W$3</f>
        <v>0</v>
      </c>
      <c r="X38" s="319">
        <f>Data!DE39/X$4*100000*X$3</f>
        <v>0</v>
      </c>
      <c r="Y38" s="319">
        <f>Data!DF39/Y$4*100000*Y$3</f>
        <v>0</v>
      </c>
      <c r="Z38" s="319">
        <f>Data!DG39/Z$4*100000*Z$3</f>
        <v>0</v>
      </c>
      <c r="AA38" s="319">
        <f>Data!DH39/AA$4*100000*AA$3</f>
        <v>7579.7771545516553</v>
      </c>
      <c r="AB38" s="319">
        <f>Data!DI39/AB$4*100000*AB$3</f>
        <v>6629.9179784432945</v>
      </c>
      <c r="AC38" s="319">
        <f>Data!DJ39/AC$4*100000*AC$3</f>
        <v>0</v>
      </c>
      <c r="AD38" s="319">
        <f>Data!DK39/AD$4*100000*AD$3</f>
        <v>0</v>
      </c>
      <c r="AE38" s="319">
        <f>Data!DL39/AE$4*100000*AE$3</f>
        <v>0</v>
      </c>
      <c r="AF38" s="319">
        <f>Data!DM39/AF$4*100000*AF$3</f>
        <v>0</v>
      </c>
      <c r="AG38" s="319">
        <f>Data!DN39/AG$4*100000*AG$3</f>
        <v>0</v>
      </c>
      <c r="AH38" s="319">
        <f>Data!DO39/AH$4*100000*AH$3</f>
        <v>3446.176467209631</v>
      </c>
      <c r="AI38" s="319">
        <f>Data!DP39/AI$4*100000*AI$3</f>
        <v>0</v>
      </c>
      <c r="AJ38" s="319">
        <f>Data!DQ39/AJ$4*100000*AJ$3</f>
        <v>1646.1989266782998</v>
      </c>
      <c r="AK38" s="319">
        <f>Data!DR39/AK$4*100000*AK$3</f>
        <v>2098.7239758227001</v>
      </c>
      <c r="AL38" s="327" t="s">
        <v>353</v>
      </c>
      <c r="AM38" s="319">
        <f t="shared" si="4"/>
        <v>16349.651114814496</v>
      </c>
      <c r="AN38" s="319">
        <f>Data!DA39/AN$4*100000*AN$3</f>
        <v>0</v>
      </c>
      <c r="AO38" s="319">
        <f>Data!DB39/AO$4*100000*AO$3</f>
        <v>0</v>
      </c>
      <c r="AP38" s="319">
        <f>Data!DC39/AP$4*100000*AP$3</f>
        <v>0</v>
      </c>
      <c r="AQ38" s="319">
        <f>Data!DD39/AQ$4*100000*AQ$3</f>
        <v>0</v>
      </c>
      <c r="AR38" s="319">
        <f>Data!DE39/AR$4*100000*AR$3</f>
        <v>0</v>
      </c>
      <c r="AS38" s="319">
        <f>Data!DF39/AS$4*100000*AS$3</f>
        <v>0</v>
      </c>
      <c r="AT38" s="319">
        <f>Data!DG39/AT$4*100000*AT$3</f>
        <v>0</v>
      </c>
      <c r="AU38" s="319">
        <f>Data!DH39/AU$4*100000*AU$3</f>
        <v>6496.9518467585613</v>
      </c>
      <c r="AV38" s="319">
        <f>Data!DI39/AV$4*100000*AV$3</f>
        <v>5682.786838665681</v>
      </c>
      <c r="AW38" s="319">
        <f>Data!DJ39/AW$4*100000*AW$3</f>
        <v>0</v>
      </c>
      <c r="AX38" s="319">
        <f>Data!DK39/AX$4*100000*AX$3</f>
        <v>0</v>
      </c>
      <c r="AY38" s="319">
        <f>Data!DL39/AY$4*100000*AY$3</f>
        <v>0</v>
      </c>
      <c r="AZ38" s="319">
        <f>Data!DM39/AZ$4*100000*AZ$3</f>
        <v>0</v>
      </c>
      <c r="BA38" s="319">
        <f>Data!DN39/BA$4*100000*BA$3</f>
        <v>0</v>
      </c>
      <c r="BB38" s="319">
        <f>Data!DO39/BB$4*100000*BB$3</f>
        <v>2297.4509781397542</v>
      </c>
      <c r="BC38" s="319">
        <f>Data!DP39/BC$4*100000*BC$3</f>
        <v>0</v>
      </c>
      <c r="BD38" s="319">
        <f>Data!DQ39/BD$4*100000*BD$3</f>
        <v>823.09946333914991</v>
      </c>
      <c r="BE38" s="319">
        <f>Data!DR39/BE$4*100000*BE$3</f>
        <v>1049.3619879113501</v>
      </c>
    </row>
    <row r="39" spans="1:57" ht="12" customHeight="1">
      <c r="A39" s="66"/>
      <c r="B39" s="147" t="str">
        <f>UPPER(LEFT(TRIM(Data!B40),1)) &amp; MID(TRIM(Data!B40),2,50)</f>
        <v>Ne Hodžkino limfomos</v>
      </c>
      <c r="C39" s="141" t="str">
        <f>UPPER(LEFT(TRIM(Data!C40),1)) &amp; MID(TRIM(Data!C40),2,50)</f>
        <v>C82-C85</v>
      </c>
      <c r="D39" s="148">
        <f>Data!BR40</f>
        <v>69</v>
      </c>
      <c r="E39" s="149">
        <f t="shared" si="5"/>
        <v>4.3636612002850921</v>
      </c>
      <c r="F39" s="150">
        <f t="shared" si="6"/>
        <v>2.1605182707258619</v>
      </c>
      <c r="G39" s="150">
        <f t="shared" si="7"/>
        <v>1.4182292405432073</v>
      </c>
      <c r="H39" s="70"/>
      <c r="I39" s="70"/>
      <c r="J39" s="70"/>
      <c r="K39" s="70"/>
      <c r="L39" s="70"/>
      <c r="M39" s="70"/>
      <c r="N39" s="70"/>
      <c r="O39" s="70"/>
      <c r="P39" s="70"/>
      <c r="Q39" s="311"/>
      <c r="R39" s="327" t="s">
        <v>353</v>
      </c>
      <c r="S39" s="319">
        <f t="shared" si="3"/>
        <v>216051.82707258619</v>
      </c>
      <c r="T39" s="319">
        <f>Data!DA40/T$4*100000*T$3</f>
        <v>0</v>
      </c>
      <c r="U39" s="319">
        <f>Data!DB40/U$4*100000*U$3</f>
        <v>0</v>
      </c>
      <c r="V39" s="319">
        <f>Data!DC40/V$4*100000*V$3</f>
        <v>0</v>
      </c>
      <c r="W39" s="319">
        <f>Data!DD40/W$4*100000*W$3</f>
        <v>0</v>
      </c>
      <c r="X39" s="319">
        <f>Data!DE40/X$4*100000*X$3</f>
        <v>0</v>
      </c>
      <c r="Y39" s="319">
        <f>Data!DF40/Y$4*100000*Y$3</f>
        <v>0</v>
      </c>
      <c r="Z39" s="319">
        <f>Data!DG40/Z$4*100000*Z$3</f>
        <v>0</v>
      </c>
      <c r="AA39" s="319">
        <f>Data!DH40/AA$4*100000*AA$3</f>
        <v>7579.7771545516553</v>
      </c>
      <c r="AB39" s="319">
        <f>Data!DI40/AB$4*100000*AB$3</f>
        <v>6629.9179784432945</v>
      </c>
      <c r="AC39" s="319">
        <f>Data!DJ40/AC$4*100000*AC$3</f>
        <v>6349.2639389019405</v>
      </c>
      <c r="AD39" s="319">
        <f>Data!DK40/AD$4*100000*AD$3</f>
        <v>5676.6115494716696</v>
      </c>
      <c r="AE39" s="319">
        <f>Data!DL40/AE$4*100000*AE$3</f>
        <v>10642.732344150489</v>
      </c>
      <c r="AF39" s="319">
        <f>Data!DM40/AF$4*100000*AF$3</f>
        <v>35692.069222218823</v>
      </c>
      <c r="AG39" s="319">
        <f>Data!DN40/AG$4*100000*AG$3</f>
        <v>23457.38379798501</v>
      </c>
      <c r="AH39" s="319">
        <f>Data!DO40/AH$4*100000*AH$3</f>
        <v>41354.117606515574</v>
      </c>
      <c r="AI39" s="319">
        <f>Data!DP40/AI$4*100000*AI$3</f>
        <v>27146.082943622521</v>
      </c>
      <c r="AJ39" s="319">
        <f>Data!DQ40/AJ$4*100000*AJ$3</f>
        <v>26339.182826852797</v>
      </c>
      <c r="AK39" s="319">
        <f>Data!DR40/AK$4*100000*AK$3</f>
        <v>25184.687709872396</v>
      </c>
      <c r="AL39" s="327" t="s">
        <v>353</v>
      </c>
      <c r="AM39" s="319">
        <f t="shared" si="4"/>
        <v>141822.92405432073</v>
      </c>
      <c r="AN39" s="319">
        <f>Data!DA40/AN$4*100000*AN$3</f>
        <v>0</v>
      </c>
      <c r="AO39" s="319">
        <f>Data!DB40/AO$4*100000*AO$3</f>
        <v>0</v>
      </c>
      <c r="AP39" s="319">
        <f>Data!DC40/AP$4*100000*AP$3</f>
        <v>0</v>
      </c>
      <c r="AQ39" s="319">
        <f>Data!DD40/AQ$4*100000*AQ$3</f>
        <v>0</v>
      </c>
      <c r="AR39" s="319">
        <f>Data!DE40/AR$4*100000*AR$3</f>
        <v>0</v>
      </c>
      <c r="AS39" s="319">
        <f>Data!DF40/AS$4*100000*AS$3</f>
        <v>0</v>
      </c>
      <c r="AT39" s="319">
        <f>Data!DG40/AT$4*100000*AT$3</f>
        <v>0</v>
      </c>
      <c r="AU39" s="319">
        <f>Data!DH40/AU$4*100000*AU$3</f>
        <v>6496.9518467585613</v>
      </c>
      <c r="AV39" s="319">
        <f>Data!DI40/AV$4*100000*AV$3</f>
        <v>5682.786838665681</v>
      </c>
      <c r="AW39" s="319">
        <f>Data!DJ40/AW$4*100000*AW$3</f>
        <v>5442.2262333445206</v>
      </c>
      <c r="AX39" s="319">
        <f>Data!DK40/AX$4*100000*AX$3</f>
        <v>4054.7225353369072</v>
      </c>
      <c r="AY39" s="319">
        <f>Data!DL40/AY$4*100000*AY$3</f>
        <v>7095.1548961003264</v>
      </c>
      <c r="AZ39" s="319">
        <f>Data!DM40/AZ$4*100000*AZ$3</f>
        <v>28553.65537777506</v>
      </c>
      <c r="BA39" s="319">
        <f>Data!DN40/BA$4*100000*BA$3</f>
        <v>17593.037848488759</v>
      </c>
      <c r="BB39" s="319">
        <f>Data!DO40/BB$4*100000*BB$3</f>
        <v>27569.411737677048</v>
      </c>
      <c r="BC39" s="319">
        <f>Data!DP40/BC$4*100000*BC$3</f>
        <v>13573.041471811261</v>
      </c>
      <c r="BD39" s="319">
        <f>Data!DQ40/BD$4*100000*BD$3</f>
        <v>13169.591413426399</v>
      </c>
      <c r="BE39" s="319">
        <f>Data!DR40/BE$4*100000*BE$3</f>
        <v>12592.343854936198</v>
      </c>
    </row>
    <row r="40" spans="1:57" ht="12" customHeight="1">
      <c r="A40" s="66"/>
      <c r="B40" s="125" t="str">
        <f>UPPER(LEFT(TRIM(Data!B41),1)) &amp; MID(TRIM(Data!B41),2,50)</f>
        <v>Mielominės ligos</v>
      </c>
      <c r="C40" s="125" t="str">
        <f>UPPER(LEFT(TRIM(Data!C41),1)) &amp; MID(TRIM(Data!C41),2,50)</f>
        <v>C90</v>
      </c>
      <c r="D40" s="138">
        <f>Data!BR41</f>
        <v>49</v>
      </c>
      <c r="E40" s="139">
        <f t="shared" si="5"/>
        <v>3.0988318668691237</v>
      </c>
      <c r="F40" s="129">
        <f t="shared" si="6"/>
        <v>1.6934610686932849</v>
      </c>
      <c r="G40" s="129">
        <f t="shared" si="7"/>
        <v>1.1494110473274237</v>
      </c>
      <c r="H40" s="70"/>
      <c r="I40" s="70"/>
      <c r="J40" s="70"/>
      <c r="K40" s="70"/>
      <c r="L40" s="70"/>
      <c r="M40" s="70"/>
      <c r="N40" s="70"/>
      <c r="O40" s="70"/>
      <c r="P40" s="70"/>
      <c r="Q40" s="311"/>
      <c r="R40" s="327" t="s">
        <v>353</v>
      </c>
      <c r="S40" s="319">
        <f t="shared" si="3"/>
        <v>169346.10686932851</v>
      </c>
      <c r="T40" s="319">
        <f>Data!DA41/T$4*100000*T$3</f>
        <v>0</v>
      </c>
      <c r="U40" s="319">
        <f>Data!DB41/U$4*100000*U$3</f>
        <v>0</v>
      </c>
      <c r="V40" s="319">
        <f>Data!DC41/V$4*100000*V$3</f>
        <v>0</v>
      </c>
      <c r="W40" s="319">
        <f>Data!DD41/W$4*100000*W$3</f>
        <v>0</v>
      </c>
      <c r="X40" s="319">
        <f>Data!DE41/X$4*100000*X$3</f>
        <v>0</v>
      </c>
      <c r="Y40" s="319">
        <f>Data!DF41/Y$4*100000*Y$3</f>
        <v>7370.5934380659555</v>
      </c>
      <c r="Z40" s="319">
        <f>Data!DG41/Z$4*100000*Z$3</f>
        <v>0</v>
      </c>
      <c r="AA40" s="319">
        <f>Data!DH41/AA$4*100000*AA$3</f>
        <v>0</v>
      </c>
      <c r="AB40" s="319">
        <f>Data!DI41/AB$4*100000*AB$3</f>
        <v>0</v>
      </c>
      <c r="AC40" s="319">
        <f>Data!DJ41/AC$4*100000*AC$3</f>
        <v>0</v>
      </c>
      <c r="AD40" s="319">
        <f>Data!DK41/AD$4*100000*AD$3</f>
        <v>5676.6115494716696</v>
      </c>
      <c r="AE40" s="319">
        <f>Data!DL41/AE$4*100000*AE$3</f>
        <v>26606.83086037622</v>
      </c>
      <c r="AF40" s="319">
        <f>Data!DM41/AF$4*100000*AF$3</f>
        <v>25494.335158727728</v>
      </c>
      <c r="AG40" s="319">
        <f>Data!DN41/AG$4*100000*AG$3</f>
        <v>32840.337317179015</v>
      </c>
      <c r="AH40" s="319">
        <f>Data!DO41/AH$4*100000*AH$3</f>
        <v>24123.235270467419</v>
      </c>
      <c r="AI40" s="319">
        <f>Data!DP41/AI$4*100000*AI$3</f>
        <v>17274.780055032516</v>
      </c>
      <c r="AJ40" s="319">
        <f>Data!DQ41/AJ$4*100000*AJ$3</f>
        <v>13169.591413426399</v>
      </c>
      <c r="AK40" s="319">
        <f>Data!DR41/AK$4*100000*AK$3</f>
        <v>16789.791806581601</v>
      </c>
      <c r="AL40" s="327" t="s">
        <v>353</v>
      </c>
      <c r="AM40" s="319">
        <f t="shared" si="4"/>
        <v>114941.10473274237</v>
      </c>
      <c r="AN40" s="319">
        <f>Data!DA41/AN$4*100000*AN$3</f>
        <v>0</v>
      </c>
      <c r="AO40" s="319">
        <f>Data!DB41/AO$4*100000*AO$3</f>
        <v>0</v>
      </c>
      <c r="AP40" s="319">
        <f>Data!DC41/AP$4*100000*AP$3</f>
        <v>0</v>
      </c>
      <c r="AQ40" s="319">
        <f>Data!DD41/AQ$4*100000*AQ$3</f>
        <v>0</v>
      </c>
      <c r="AR40" s="319">
        <f>Data!DE41/AR$4*100000*AR$3</f>
        <v>0</v>
      </c>
      <c r="AS40" s="319">
        <f>Data!DF41/AS$4*100000*AS$3</f>
        <v>8423.535357789664</v>
      </c>
      <c r="AT40" s="319">
        <f>Data!DG41/AT$4*100000*AT$3</f>
        <v>0</v>
      </c>
      <c r="AU40" s="319">
        <f>Data!DH41/AU$4*100000*AU$3</f>
        <v>0</v>
      </c>
      <c r="AV40" s="319">
        <f>Data!DI41/AV$4*100000*AV$3</f>
        <v>0</v>
      </c>
      <c r="AW40" s="319">
        <f>Data!DJ41/AW$4*100000*AW$3</f>
        <v>0</v>
      </c>
      <c r="AX40" s="319">
        <f>Data!DK41/AX$4*100000*AX$3</f>
        <v>4054.7225353369072</v>
      </c>
      <c r="AY40" s="319">
        <f>Data!DL41/AY$4*100000*AY$3</f>
        <v>17737.887240250813</v>
      </c>
      <c r="AZ40" s="319">
        <f>Data!DM41/AZ$4*100000*AZ$3</f>
        <v>20395.468126982185</v>
      </c>
      <c r="BA40" s="319">
        <f>Data!DN41/BA$4*100000*BA$3</f>
        <v>24630.252987884262</v>
      </c>
      <c r="BB40" s="319">
        <f>Data!DO41/BB$4*100000*BB$3</f>
        <v>16082.15684697828</v>
      </c>
      <c r="BC40" s="319">
        <f>Data!DP41/BC$4*100000*BC$3</f>
        <v>8637.3900275162578</v>
      </c>
      <c r="BD40" s="319">
        <f>Data!DQ41/BD$4*100000*BD$3</f>
        <v>6584.7957067131993</v>
      </c>
      <c r="BE40" s="319">
        <f>Data!DR41/BE$4*100000*BE$3</f>
        <v>8394.8959032908006</v>
      </c>
    </row>
    <row r="41" spans="1:57" ht="12" customHeight="1">
      <c r="A41" s="66"/>
      <c r="B41" s="147" t="str">
        <f>UPPER(LEFT(TRIM(Data!B42),1)) &amp; MID(TRIM(Data!B42),2,50)</f>
        <v>Leukemijos</v>
      </c>
      <c r="C41" s="141" t="str">
        <f>UPPER(LEFT(TRIM(Data!C42),1)) &amp; MID(TRIM(Data!C42),2,50)</f>
        <v>C91-C95</v>
      </c>
      <c r="D41" s="148">
        <f>Data!BR42</f>
        <v>143</v>
      </c>
      <c r="E41" s="149">
        <f t="shared" si="5"/>
        <v>9.043529733924176</v>
      </c>
      <c r="F41" s="150">
        <f t="shared" si="6"/>
        <v>4.4243821393456377</v>
      </c>
      <c r="G41" s="150">
        <f t="shared" si="7"/>
        <v>2.9890636598497968</v>
      </c>
      <c r="H41" s="70"/>
      <c r="I41" s="70"/>
      <c r="J41" s="70"/>
      <c r="K41" s="70"/>
      <c r="L41" s="70"/>
      <c r="M41" s="70"/>
      <c r="N41" s="70"/>
      <c r="O41" s="70"/>
      <c r="P41" s="70"/>
      <c r="Q41" s="311"/>
      <c r="R41" s="327" t="s">
        <v>353</v>
      </c>
      <c r="S41" s="319">
        <f t="shared" si="3"/>
        <v>442438.2139345638</v>
      </c>
      <c r="T41" s="319">
        <f>Data!DA42/T$4*100000*T$3</f>
        <v>10878.285582192246</v>
      </c>
      <c r="U41" s="319">
        <f>Data!DB42/U$4*100000*U$3</f>
        <v>0</v>
      </c>
      <c r="V41" s="319">
        <f>Data!DC42/V$4*100000*V$3</f>
        <v>0</v>
      </c>
      <c r="W41" s="319">
        <f>Data!DD42/W$4*100000*W$3</f>
        <v>0</v>
      </c>
      <c r="X41" s="319">
        <f>Data!DE42/X$4*100000*X$3</f>
        <v>0</v>
      </c>
      <c r="Y41" s="319">
        <f>Data!DF42/Y$4*100000*Y$3</f>
        <v>14741.186876131911</v>
      </c>
      <c r="Z41" s="319">
        <f>Data!DG42/Z$4*100000*Z$3</f>
        <v>0</v>
      </c>
      <c r="AA41" s="319">
        <f>Data!DH42/AA$4*100000*AA$3</f>
        <v>0</v>
      </c>
      <c r="AB41" s="319">
        <f>Data!DI42/AB$4*100000*AB$3</f>
        <v>13259.835956886589</v>
      </c>
      <c r="AC41" s="319">
        <f>Data!DJ42/AC$4*100000*AC$3</f>
        <v>19047.79181670582</v>
      </c>
      <c r="AD41" s="319">
        <f>Data!DK42/AD$4*100000*AD$3</f>
        <v>28383.057747358343</v>
      </c>
      <c r="AE41" s="319">
        <f>Data!DL42/AE$4*100000*AE$3</f>
        <v>10642.732344150489</v>
      </c>
      <c r="AF41" s="319">
        <f>Data!DM42/AF$4*100000*AF$3</f>
        <v>50988.670317455457</v>
      </c>
      <c r="AG41" s="319">
        <f>Data!DN42/AG$4*100000*AG$3</f>
        <v>46914.767595970021</v>
      </c>
      <c r="AH41" s="319">
        <f>Data!DO42/AH$4*100000*AH$3</f>
        <v>65477.352876982994</v>
      </c>
      <c r="AI41" s="319">
        <f>Data!DP42/AI$4*100000*AI$3</f>
        <v>71566.945942277554</v>
      </c>
      <c r="AJ41" s="319">
        <f>Data!DQ42/AJ$4*100000*AJ$3</f>
        <v>55970.763507062198</v>
      </c>
      <c r="AK41" s="319">
        <f>Data!DR42/AK$4*100000*AK$3</f>
        <v>54566.823371390201</v>
      </c>
      <c r="AL41" s="327" t="s">
        <v>353</v>
      </c>
      <c r="AM41" s="319">
        <f t="shared" si="4"/>
        <v>298906.36598497967</v>
      </c>
      <c r="AN41" s="319">
        <f>Data!DA42/AN$4*100000*AN$3</f>
        <v>16317.42837328837</v>
      </c>
      <c r="AO41" s="319">
        <f>Data!DB42/AO$4*100000*AO$3</f>
        <v>0</v>
      </c>
      <c r="AP41" s="319">
        <f>Data!DC42/AP$4*100000*AP$3</f>
        <v>0</v>
      </c>
      <c r="AQ41" s="319">
        <f>Data!DD42/AQ$4*100000*AQ$3</f>
        <v>0</v>
      </c>
      <c r="AR41" s="319">
        <f>Data!DE42/AR$4*100000*AR$3</f>
        <v>0</v>
      </c>
      <c r="AS41" s="319">
        <f>Data!DF42/AS$4*100000*AS$3</f>
        <v>16847.070715579328</v>
      </c>
      <c r="AT41" s="319">
        <f>Data!DG42/AT$4*100000*AT$3</f>
        <v>0</v>
      </c>
      <c r="AU41" s="319">
        <f>Data!DH42/AU$4*100000*AU$3</f>
        <v>0</v>
      </c>
      <c r="AV41" s="319">
        <f>Data!DI42/AV$4*100000*AV$3</f>
        <v>11365.573677331362</v>
      </c>
      <c r="AW41" s="319">
        <f>Data!DJ42/AW$4*100000*AW$3</f>
        <v>16326.678700033561</v>
      </c>
      <c r="AX41" s="319">
        <f>Data!DK42/AX$4*100000*AX$3</f>
        <v>20273.61267668453</v>
      </c>
      <c r="AY41" s="319">
        <f>Data!DL42/AY$4*100000*AY$3</f>
        <v>7095.1548961003264</v>
      </c>
      <c r="AZ41" s="319">
        <f>Data!DM42/AZ$4*100000*AZ$3</f>
        <v>40790.93625396437</v>
      </c>
      <c r="BA41" s="319">
        <f>Data!DN42/BA$4*100000*BA$3</f>
        <v>35186.075696977518</v>
      </c>
      <c r="BB41" s="319">
        <f>Data!DO42/BB$4*100000*BB$3</f>
        <v>43651.568584655332</v>
      </c>
      <c r="BC41" s="319">
        <f>Data!DP42/BC$4*100000*BC$3</f>
        <v>35783.472971138777</v>
      </c>
      <c r="BD41" s="319">
        <f>Data!DQ42/BD$4*100000*BD$3</f>
        <v>27985.381753531099</v>
      </c>
      <c r="BE41" s="319">
        <f>Data!DR42/BE$4*100000*BE$3</f>
        <v>27283.4116856951</v>
      </c>
    </row>
    <row r="42" spans="1:57" ht="12" customHeight="1">
      <c r="A42" s="66"/>
      <c r="B42" s="125" t="str">
        <f>UPPER(LEFT(TRIM(Data!B43),1)) &amp; MID(TRIM(Data!B43),2,50)</f>
        <v>Kiti limfinio, kraujodaros audinių</v>
      </c>
      <c r="C42" s="125" t="str">
        <f>UPPER(LEFT(TRIM(Data!C43),1)) &amp; MID(TRIM(Data!C43),2,50)</f>
        <v>C88, C96</v>
      </c>
      <c r="D42" s="138">
        <f>Data!BR43</f>
        <v>0</v>
      </c>
      <c r="E42" s="139">
        <f t="shared" si="5"/>
        <v>0</v>
      </c>
      <c r="F42" s="129">
        <f t="shared" si="6"/>
        <v>0</v>
      </c>
      <c r="G42" s="129">
        <f t="shared" si="7"/>
        <v>0</v>
      </c>
      <c r="H42" s="70"/>
      <c r="I42" s="70"/>
      <c r="J42" s="70"/>
      <c r="K42" s="70"/>
      <c r="L42" s="70"/>
      <c r="M42" s="70"/>
      <c r="N42" s="70"/>
      <c r="O42" s="70"/>
      <c r="P42" s="70"/>
      <c r="Q42" s="311"/>
      <c r="R42" s="327" t="s">
        <v>353</v>
      </c>
      <c r="S42" s="319">
        <f t="shared" si="3"/>
        <v>0</v>
      </c>
      <c r="T42" s="319">
        <f>Data!DA43/T$4*100000*T$3</f>
        <v>0</v>
      </c>
      <c r="U42" s="319">
        <f>Data!DB43/U$4*100000*U$3</f>
        <v>0</v>
      </c>
      <c r="V42" s="319">
        <f>Data!DC43/V$4*100000*V$3</f>
        <v>0</v>
      </c>
      <c r="W42" s="319">
        <f>Data!DD43/W$4*100000*W$3</f>
        <v>0</v>
      </c>
      <c r="X42" s="319">
        <f>Data!DE43/X$4*100000*X$3</f>
        <v>0</v>
      </c>
      <c r="Y42" s="319">
        <f>Data!DF43/Y$4*100000*Y$3</f>
        <v>0</v>
      </c>
      <c r="Z42" s="319">
        <f>Data!DG43/Z$4*100000*Z$3</f>
        <v>0</v>
      </c>
      <c r="AA42" s="319">
        <f>Data!DH43/AA$4*100000*AA$3</f>
        <v>0</v>
      </c>
      <c r="AB42" s="319">
        <f>Data!DI43/AB$4*100000*AB$3</f>
        <v>0</v>
      </c>
      <c r="AC42" s="319">
        <f>Data!DJ43/AC$4*100000*AC$3</f>
        <v>0</v>
      </c>
      <c r="AD42" s="319">
        <f>Data!DK43/AD$4*100000*AD$3</f>
        <v>0</v>
      </c>
      <c r="AE42" s="319">
        <f>Data!DL43/AE$4*100000*AE$3</f>
        <v>0</v>
      </c>
      <c r="AF42" s="319">
        <f>Data!DM43/AF$4*100000*AF$3</f>
        <v>0</v>
      </c>
      <c r="AG42" s="319">
        <f>Data!DN43/AG$4*100000*AG$3</f>
        <v>0</v>
      </c>
      <c r="AH42" s="319">
        <f>Data!DO43/AH$4*100000*AH$3</f>
        <v>0</v>
      </c>
      <c r="AI42" s="319">
        <f>Data!DP43/AI$4*100000*AI$3</f>
        <v>0</v>
      </c>
      <c r="AJ42" s="319">
        <f>Data!DQ43/AJ$4*100000*AJ$3</f>
        <v>0</v>
      </c>
      <c r="AK42" s="319">
        <f>Data!DR43/AK$4*100000*AK$3</f>
        <v>0</v>
      </c>
      <c r="AL42" s="327" t="s">
        <v>353</v>
      </c>
      <c r="AM42" s="319">
        <f t="shared" si="4"/>
        <v>0</v>
      </c>
      <c r="AN42" s="319">
        <f>Data!DA43/AN$4*100000*AN$3</f>
        <v>0</v>
      </c>
      <c r="AO42" s="319">
        <f>Data!DB43/AO$4*100000*AO$3</f>
        <v>0</v>
      </c>
      <c r="AP42" s="319">
        <f>Data!DC43/AP$4*100000*AP$3</f>
        <v>0</v>
      </c>
      <c r="AQ42" s="319">
        <f>Data!DD43/AQ$4*100000*AQ$3</f>
        <v>0</v>
      </c>
      <c r="AR42" s="319">
        <f>Data!DE43/AR$4*100000*AR$3</f>
        <v>0</v>
      </c>
      <c r="AS42" s="319">
        <f>Data!DF43/AS$4*100000*AS$3</f>
        <v>0</v>
      </c>
      <c r="AT42" s="319">
        <f>Data!DG43/AT$4*100000*AT$3</f>
        <v>0</v>
      </c>
      <c r="AU42" s="319">
        <f>Data!DH43/AU$4*100000*AU$3</f>
        <v>0</v>
      </c>
      <c r="AV42" s="319">
        <f>Data!DI43/AV$4*100000*AV$3</f>
        <v>0</v>
      </c>
      <c r="AW42" s="319">
        <f>Data!DJ43/AW$4*100000*AW$3</f>
        <v>0</v>
      </c>
      <c r="AX42" s="319">
        <f>Data!DK43/AX$4*100000*AX$3</f>
        <v>0</v>
      </c>
      <c r="AY42" s="319">
        <f>Data!DL43/AY$4*100000*AY$3</f>
        <v>0</v>
      </c>
      <c r="AZ42" s="319">
        <f>Data!DM43/AZ$4*100000*AZ$3</f>
        <v>0</v>
      </c>
      <c r="BA42" s="319">
        <f>Data!DN43/BA$4*100000*BA$3</f>
        <v>0</v>
      </c>
      <c r="BB42" s="319">
        <f>Data!DO43/BB$4*100000*BB$3</f>
        <v>0</v>
      </c>
      <c r="BC42" s="319">
        <f>Data!DP43/BC$4*100000*BC$3</f>
        <v>0</v>
      </c>
      <c r="BD42" s="319">
        <f>Data!DQ43/BD$4*100000*BD$3</f>
        <v>0</v>
      </c>
      <c r="BE42" s="319">
        <f>Data!DR43/BE$4*100000*BE$3</f>
        <v>0</v>
      </c>
    </row>
    <row r="43" spans="1:57" ht="11.25" customHeight="1">
      <c r="A43" s="66"/>
      <c r="B43" s="106"/>
      <c r="C43" s="106"/>
      <c r="D43" s="107"/>
      <c r="E43" s="108"/>
      <c r="F43" s="109"/>
      <c r="G43" s="109"/>
      <c r="H43" s="70"/>
      <c r="I43" s="70"/>
      <c r="J43" s="70"/>
      <c r="K43" s="70"/>
      <c r="L43" s="70"/>
      <c r="M43" s="70"/>
      <c r="N43" s="70"/>
      <c r="O43" s="70"/>
      <c r="P43" s="70"/>
      <c r="Q43" s="311"/>
      <c r="R43" s="327"/>
      <c r="S43" s="319"/>
      <c r="T43" s="319"/>
      <c r="U43" s="319"/>
      <c r="V43" s="319"/>
      <c r="W43" s="319"/>
      <c r="X43" s="319"/>
      <c r="Y43" s="319"/>
      <c r="Z43" s="319"/>
      <c r="AA43" s="319"/>
      <c r="AB43" s="319"/>
      <c r="AC43" s="319"/>
      <c r="AD43" s="319"/>
      <c r="AE43" s="319"/>
      <c r="AF43" s="319"/>
      <c r="AG43" s="319"/>
      <c r="AH43" s="319"/>
      <c r="AI43" s="319"/>
      <c r="AJ43" s="319"/>
      <c r="AK43" s="319"/>
      <c r="AL43" s="327"/>
      <c r="AM43" s="319"/>
      <c r="AN43" s="319"/>
      <c r="AO43" s="319"/>
      <c r="AP43" s="319"/>
      <c r="AQ43" s="319"/>
      <c r="AR43" s="319"/>
      <c r="AS43" s="319"/>
      <c r="AT43" s="319"/>
      <c r="AU43" s="319"/>
      <c r="AV43" s="319"/>
      <c r="AW43" s="319"/>
      <c r="AX43" s="319"/>
      <c r="AY43" s="319"/>
      <c r="AZ43" s="319"/>
      <c r="BA43" s="319"/>
      <c r="BB43" s="319"/>
      <c r="BC43" s="319"/>
      <c r="BD43" s="319"/>
      <c r="BE43" s="319"/>
    </row>
    <row r="44" spans="1:57" ht="11.25" customHeight="1">
      <c r="A44" s="66"/>
      <c r="B44" s="93" t="str">
        <f>UPPER(LEFT(TRIM(Data!B44),1)) &amp; MID(TRIM(Data!B44),2,50)</f>
        <v>Melanoma in situ</v>
      </c>
      <c r="C44" s="93" t="str">
        <f>UPPER(LEFT(TRIM(Data!C44),1)) &amp; MID(TRIM(Data!C44),2,50)</f>
        <v>D03</v>
      </c>
      <c r="D44" s="97">
        <f>Data!BR44</f>
        <v>0</v>
      </c>
      <c r="E44" s="98">
        <f t="shared" si="5"/>
        <v>0</v>
      </c>
      <c r="F44" s="94">
        <f t="shared" si="6"/>
        <v>0</v>
      </c>
      <c r="G44" s="94">
        <f t="shared" si="7"/>
        <v>0</v>
      </c>
      <c r="H44" s="70"/>
      <c r="I44" s="70"/>
      <c r="J44" s="70"/>
      <c r="K44" s="70"/>
      <c r="L44" s="70"/>
      <c r="M44" s="70"/>
      <c r="N44" s="70"/>
      <c r="O44" s="70"/>
      <c r="P44" s="70"/>
      <c r="Q44" s="311"/>
      <c r="R44" s="327" t="s">
        <v>353</v>
      </c>
      <c r="S44" s="319">
        <f t="shared" si="3"/>
        <v>0</v>
      </c>
      <c r="T44" s="319">
        <f>Data!DA44/T$4*100000*T$3</f>
        <v>0</v>
      </c>
      <c r="U44" s="319">
        <f>Data!DB44/U$4*100000*U$3</f>
        <v>0</v>
      </c>
      <c r="V44" s="319">
        <f>Data!DC44/V$4*100000*V$3</f>
        <v>0</v>
      </c>
      <c r="W44" s="319">
        <f>Data!DD44/W$4*100000*W$3</f>
        <v>0</v>
      </c>
      <c r="X44" s="319">
        <f>Data!DE44/X$4*100000*X$3</f>
        <v>0</v>
      </c>
      <c r="Y44" s="319">
        <f>Data!DF44/Y$4*100000*Y$3</f>
        <v>0</v>
      </c>
      <c r="Z44" s="319">
        <f>Data!DG44/Z$4*100000*Z$3</f>
        <v>0</v>
      </c>
      <c r="AA44" s="319">
        <f>Data!DH44/AA$4*100000*AA$3</f>
        <v>0</v>
      </c>
      <c r="AB44" s="319">
        <f>Data!DI44/AB$4*100000*AB$3</f>
        <v>0</v>
      </c>
      <c r="AC44" s="319">
        <f>Data!DJ44/AC$4*100000*AC$3</f>
        <v>0</v>
      </c>
      <c r="AD44" s="319">
        <f>Data!DK44/AD$4*100000*AD$3</f>
        <v>0</v>
      </c>
      <c r="AE44" s="319">
        <f>Data!DL44/AE$4*100000*AE$3</f>
        <v>0</v>
      </c>
      <c r="AF44" s="319">
        <f>Data!DM44/AF$4*100000*AF$3</f>
        <v>0</v>
      </c>
      <c r="AG44" s="319">
        <f>Data!DN44/AG$4*100000*AG$3</f>
        <v>0</v>
      </c>
      <c r="AH44" s="319">
        <f>Data!DO44/AH$4*100000*AH$3</f>
        <v>0</v>
      </c>
      <c r="AI44" s="319">
        <f>Data!DP44/AI$4*100000*AI$3</f>
        <v>0</v>
      </c>
      <c r="AJ44" s="319">
        <f>Data!DQ44/AJ$4*100000*AJ$3</f>
        <v>0</v>
      </c>
      <c r="AK44" s="319">
        <f>Data!DR44/AK$4*100000*AK$3</f>
        <v>0</v>
      </c>
      <c r="AL44" s="327" t="s">
        <v>353</v>
      </c>
      <c r="AM44" s="319">
        <f t="shared" si="4"/>
        <v>0</v>
      </c>
      <c r="AN44" s="319">
        <f>Data!DA44/AN$4*100000*AN$3</f>
        <v>0</v>
      </c>
      <c r="AO44" s="319">
        <f>Data!DB44/AO$4*100000*AO$3</f>
        <v>0</v>
      </c>
      <c r="AP44" s="319">
        <f>Data!DC44/AP$4*100000*AP$3</f>
        <v>0</v>
      </c>
      <c r="AQ44" s="319">
        <f>Data!DD44/AQ$4*100000*AQ$3</f>
        <v>0</v>
      </c>
      <c r="AR44" s="319">
        <f>Data!DE44/AR$4*100000*AR$3</f>
        <v>0</v>
      </c>
      <c r="AS44" s="319">
        <f>Data!DF44/AS$4*100000*AS$3</f>
        <v>0</v>
      </c>
      <c r="AT44" s="319">
        <f>Data!DG44/AT$4*100000*AT$3</f>
        <v>0</v>
      </c>
      <c r="AU44" s="319">
        <f>Data!DH44/AU$4*100000*AU$3</f>
        <v>0</v>
      </c>
      <c r="AV44" s="319">
        <f>Data!DI44/AV$4*100000*AV$3</f>
        <v>0</v>
      </c>
      <c r="AW44" s="319">
        <f>Data!DJ44/AW$4*100000*AW$3</f>
        <v>0</v>
      </c>
      <c r="AX44" s="319">
        <f>Data!DK44/AX$4*100000*AX$3</f>
        <v>0</v>
      </c>
      <c r="AY44" s="319">
        <f>Data!DL44/AY$4*100000*AY$3</f>
        <v>0</v>
      </c>
      <c r="AZ44" s="319">
        <f>Data!DM44/AZ$4*100000*AZ$3</f>
        <v>0</v>
      </c>
      <c r="BA44" s="319">
        <f>Data!DN44/BA$4*100000*BA$3</f>
        <v>0</v>
      </c>
      <c r="BB44" s="319">
        <f>Data!DO44/BB$4*100000*BB$3</f>
        <v>0</v>
      </c>
      <c r="BC44" s="319">
        <f>Data!DP44/BC$4*100000*BC$3</f>
        <v>0</v>
      </c>
      <c r="BD44" s="319">
        <f>Data!DQ44/BD$4*100000*BD$3</f>
        <v>0</v>
      </c>
      <c r="BE44" s="319">
        <f>Data!DR44/BE$4*100000*BE$3</f>
        <v>0</v>
      </c>
    </row>
    <row r="45" spans="1:57" ht="11.25" customHeight="1">
      <c r="A45" s="66"/>
      <c r="B45" s="100" t="str">
        <f>UPPER(LEFT(TRIM(Data!B45),1)) &amp; MID(TRIM(Data!B45),2,50)</f>
        <v>Krūties navikai in situ</v>
      </c>
      <c r="C45" s="101" t="str">
        <f>UPPER(LEFT(TRIM(Data!C45),1)) &amp; MID(TRIM(Data!C45),2,50)</f>
        <v>D05</v>
      </c>
      <c r="D45" s="102">
        <f>Data!BR45</f>
        <v>0</v>
      </c>
      <c r="E45" s="103">
        <f t="shared" si="5"/>
        <v>0</v>
      </c>
      <c r="F45" s="104">
        <f t="shared" si="6"/>
        <v>0</v>
      </c>
      <c r="G45" s="104">
        <f t="shared" si="7"/>
        <v>0</v>
      </c>
      <c r="H45" s="70"/>
      <c r="I45" s="70"/>
      <c r="J45" s="70"/>
      <c r="K45" s="70"/>
      <c r="L45" s="70"/>
      <c r="M45" s="70"/>
      <c r="N45" s="70"/>
      <c r="O45" s="70"/>
      <c r="P45" s="70"/>
      <c r="Q45" s="311"/>
      <c r="R45" s="327" t="s">
        <v>353</v>
      </c>
      <c r="S45" s="319">
        <f t="shared" si="3"/>
        <v>0</v>
      </c>
      <c r="T45" s="319">
        <f>Data!DA45/T$4*100000*T$3</f>
        <v>0</v>
      </c>
      <c r="U45" s="319">
        <f>Data!DB45/U$4*100000*U$3</f>
        <v>0</v>
      </c>
      <c r="V45" s="319">
        <f>Data!DC45/V$4*100000*V$3</f>
        <v>0</v>
      </c>
      <c r="W45" s="319">
        <f>Data!DD45/W$4*100000*W$3</f>
        <v>0</v>
      </c>
      <c r="X45" s="319">
        <f>Data!DE45/X$4*100000*X$3</f>
        <v>0</v>
      </c>
      <c r="Y45" s="319">
        <f>Data!DF45/Y$4*100000*Y$3</f>
        <v>0</v>
      </c>
      <c r="Z45" s="319">
        <f>Data!DG45/Z$4*100000*Z$3</f>
        <v>0</v>
      </c>
      <c r="AA45" s="319">
        <f>Data!DH45/AA$4*100000*AA$3</f>
        <v>0</v>
      </c>
      <c r="AB45" s="319">
        <f>Data!DI45/AB$4*100000*AB$3</f>
        <v>0</v>
      </c>
      <c r="AC45" s="319">
        <f>Data!DJ45/AC$4*100000*AC$3</f>
        <v>0</v>
      </c>
      <c r="AD45" s="319">
        <f>Data!DK45/AD$4*100000*AD$3</f>
        <v>0</v>
      </c>
      <c r="AE45" s="319">
        <f>Data!DL45/AE$4*100000*AE$3</f>
        <v>0</v>
      </c>
      <c r="AF45" s="319">
        <f>Data!DM45/AF$4*100000*AF$3</f>
        <v>0</v>
      </c>
      <c r="AG45" s="319">
        <f>Data!DN45/AG$4*100000*AG$3</f>
        <v>0</v>
      </c>
      <c r="AH45" s="319">
        <f>Data!DO45/AH$4*100000*AH$3</f>
        <v>0</v>
      </c>
      <c r="AI45" s="319">
        <f>Data!DP45/AI$4*100000*AI$3</f>
        <v>0</v>
      </c>
      <c r="AJ45" s="319">
        <f>Data!DQ45/AJ$4*100000*AJ$3</f>
        <v>0</v>
      </c>
      <c r="AK45" s="319">
        <f>Data!DR45/AK$4*100000*AK$3</f>
        <v>0</v>
      </c>
      <c r="AL45" s="327" t="s">
        <v>353</v>
      </c>
      <c r="AM45" s="319">
        <f t="shared" si="4"/>
        <v>0</v>
      </c>
      <c r="AN45" s="319">
        <f>Data!DA45/AN$4*100000*AN$3</f>
        <v>0</v>
      </c>
      <c r="AO45" s="319">
        <f>Data!DB45/AO$4*100000*AO$3</f>
        <v>0</v>
      </c>
      <c r="AP45" s="319">
        <f>Data!DC45/AP$4*100000*AP$3</f>
        <v>0</v>
      </c>
      <c r="AQ45" s="319">
        <f>Data!DD45/AQ$4*100000*AQ$3</f>
        <v>0</v>
      </c>
      <c r="AR45" s="319">
        <f>Data!DE45/AR$4*100000*AR$3</f>
        <v>0</v>
      </c>
      <c r="AS45" s="319">
        <f>Data!DF45/AS$4*100000*AS$3</f>
        <v>0</v>
      </c>
      <c r="AT45" s="319">
        <f>Data!DG45/AT$4*100000*AT$3</f>
        <v>0</v>
      </c>
      <c r="AU45" s="319">
        <f>Data!DH45/AU$4*100000*AU$3</f>
        <v>0</v>
      </c>
      <c r="AV45" s="319">
        <f>Data!DI45/AV$4*100000*AV$3</f>
        <v>0</v>
      </c>
      <c r="AW45" s="319">
        <f>Data!DJ45/AW$4*100000*AW$3</f>
        <v>0</v>
      </c>
      <c r="AX45" s="319">
        <f>Data!DK45/AX$4*100000*AX$3</f>
        <v>0</v>
      </c>
      <c r="AY45" s="319">
        <f>Data!DL45/AY$4*100000*AY$3</f>
        <v>0</v>
      </c>
      <c r="AZ45" s="319">
        <f>Data!DM45/AZ$4*100000*AZ$3</f>
        <v>0</v>
      </c>
      <c r="BA45" s="319">
        <f>Data!DN45/BA$4*100000*BA$3</f>
        <v>0</v>
      </c>
      <c r="BB45" s="319">
        <f>Data!DO45/BB$4*100000*BB$3</f>
        <v>0</v>
      </c>
      <c r="BC45" s="319">
        <f>Data!DP45/BC$4*100000*BC$3</f>
        <v>0</v>
      </c>
      <c r="BD45" s="319">
        <f>Data!DQ45/BD$4*100000*BD$3</f>
        <v>0</v>
      </c>
      <c r="BE45" s="319">
        <f>Data!DR45/BE$4*100000*BE$3</f>
        <v>0</v>
      </c>
    </row>
    <row r="46" spans="1:57" ht="11.25" customHeight="1">
      <c r="A46" s="66"/>
      <c r="B46" s="99" t="str">
        <f>UPPER(LEFT(TRIM(Data!B46),1)) &amp; MID(TRIM(Data!B46),2,50)</f>
        <v>Gimdos kaklelio in situ</v>
      </c>
      <c r="C46" s="93" t="str">
        <f>UPPER(LEFT(TRIM(Data!C46),1)) &amp; MID(TRIM(Data!C46),2,50)</f>
        <v>D06</v>
      </c>
      <c r="D46" s="97">
        <f>Data!BR46</f>
        <v>0</v>
      </c>
      <c r="E46" s="98">
        <f t="shared" si="5"/>
        <v>0</v>
      </c>
      <c r="F46" s="94">
        <f t="shared" si="6"/>
        <v>0</v>
      </c>
      <c r="G46" s="94">
        <f t="shared" si="7"/>
        <v>0</v>
      </c>
      <c r="H46" s="70"/>
      <c r="I46" s="70"/>
      <c r="J46" s="70"/>
      <c r="K46" s="70"/>
      <c r="L46" s="70"/>
      <c r="M46" s="70"/>
      <c r="N46" s="70"/>
      <c r="O46" s="70"/>
      <c r="P46" s="70"/>
      <c r="Q46" s="311"/>
      <c r="R46" s="327" t="s">
        <v>353</v>
      </c>
      <c r="S46" s="319">
        <f t="shared" si="3"/>
        <v>0</v>
      </c>
      <c r="T46" s="319">
        <f>Data!DA46/T$4*100000*T$3</f>
        <v>0</v>
      </c>
      <c r="U46" s="319">
        <f>Data!DB46/U$4*100000*U$3</f>
        <v>0</v>
      </c>
      <c r="V46" s="319">
        <f>Data!DC46/V$4*100000*V$3</f>
        <v>0</v>
      </c>
      <c r="W46" s="319">
        <f>Data!DD46/W$4*100000*W$3</f>
        <v>0</v>
      </c>
      <c r="X46" s="319">
        <f>Data!DE46/X$4*100000*X$3</f>
        <v>0</v>
      </c>
      <c r="Y46" s="319">
        <f>Data!DF46/Y$4*100000*Y$3</f>
        <v>0</v>
      </c>
      <c r="Z46" s="319">
        <f>Data!DG46/Z$4*100000*Z$3</f>
        <v>0</v>
      </c>
      <c r="AA46" s="319">
        <f>Data!DH46/AA$4*100000*AA$3</f>
        <v>0</v>
      </c>
      <c r="AB46" s="319">
        <f>Data!DI46/AB$4*100000*AB$3</f>
        <v>0</v>
      </c>
      <c r="AC46" s="319">
        <f>Data!DJ46/AC$4*100000*AC$3</f>
        <v>0</v>
      </c>
      <c r="AD46" s="319">
        <f>Data!DK46/AD$4*100000*AD$3</f>
        <v>0</v>
      </c>
      <c r="AE46" s="319">
        <f>Data!DL46/AE$4*100000*AE$3</f>
        <v>0</v>
      </c>
      <c r="AF46" s="319">
        <f>Data!DM46/AF$4*100000*AF$3</f>
        <v>0</v>
      </c>
      <c r="AG46" s="319">
        <f>Data!DN46/AG$4*100000*AG$3</f>
        <v>0</v>
      </c>
      <c r="AH46" s="319">
        <f>Data!DO46/AH$4*100000*AH$3</f>
        <v>0</v>
      </c>
      <c r="AI46" s="319">
        <f>Data!DP46/AI$4*100000*AI$3</f>
        <v>0</v>
      </c>
      <c r="AJ46" s="319">
        <f>Data!DQ46/AJ$4*100000*AJ$3</f>
        <v>0</v>
      </c>
      <c r="AK46" s="319">
        <f>Data!DR46/AK$4*100000*AK$3</f>
        <v>0</v>
      </c>
      <c r="AL46" s="327" t="s">
        <v>353</v>
      </c>
      <c r="AM46" s="319">
        <f t="shared" si="4"/>
        <v>0</v>
      </c>
      <c r="AN46" s="319">
        <f>Data!DA46/AN$4*100000*AN$3</f>
        <v>0</v>
      </c>
      <c r="AO46" s="319">
        <f>Data!DB46/AO$4*100000*AO$3</f>
        <v>0</v>
      </c>
      <c r="AP46" s="319">
        <f>Data!DC46/AP$4*100000*AP$3</f>
        <v>0</v>
      </c>
      <c r="AQ46" s="319">
        <f>Data!DD46/AQ$4*100000*AQ$3</f>
        <v>0</v>
      </c>
      <c r="AR46" s="319">
        <f>Data!DE46/AR$4*100000*AR$3</f>
        <v>0</v>
      </c>
      <c r="AS46" s="319">
        <f>Data!DF46/AS$4*100000*AS$3</f>
        <v>0</v>
      </c>
      <c r="AT46" s="319">
        <f>Data!DG46/AT$4*100000*AT$3</f>
        <v>0</v>
      </c>
      <c r="AU46" s="319">
        <f>Data!DH46/AU$4*100000*AU$3</f>
        <v>0</v>
      </c>
      <c r="AV46" s="319">
        <f>Data!DI46/AV$4*100000*AV$3</f>
        <v>0</v>
      </c>
      <c r="AW46" s="319">
        <f>Data!DJ46/AW$4*100000*AW$3</f>
        <v>0</v>
      </c>
      <c r="AX46" s="319">
        <f>Data!DK46/AX$4*100000*AX$3</f>
        <v>0</v>
      </c>
      <c r="AY46" s="319">
        <f>Data!DL46/AY$4*100000*AY$3</f>
        <v>0</v>
      </c>
      <c r="AZ46" s="319">
        <f>Data!DM46/AZ$4*100000*AZ$3</f>
        <v>0</v>
      </c>
      <c r="BA46" s="319">
        <f>Data!DN46/BA$4*100000*BA$3</f>
        <v>0</v>
      </c>
      <c r="BB46" s="319">
        <f>Data!DO46/BB$4*100000*BB$3</f>
        <v>0</v>
      </c>
      <c r="BC46" s="319">
        <f>Data!DP46/BC$4*100000*BC$3</f>
        <v>0</v>
      </c>
      <c r="BD46" s="319">
        <f>Data!DQ46/BD$4*100000*BD$3</f>
        <v>0</v>
      </c>
      <c r="BE46" s="319">
        <f>Data!DR46/BE$4*100000*BE$3</f>
        <v>0</v>
      </c>
    </row>
    <row r="47" spans="1:57" ht="11.25" customHeight="1">
      <c r="A47" s="66"/>
      <c r="B47" s="100" t="str">
        <f>UPPER(LEFT(TRIM(Data!B47),1)) &amp; MID(TRIM(Data!B47),2,50)</f>
        <v>Šlapimo pūslės in situ</v>
      </c>
      <c r="C47" s="101" t="str">
        <f>UPPER(LEFT(TRIM(Data!C47),1)) &amp; MID(TRIM(Data!C47),2,50)</f>
        <v>D09.0</v>
      </c>
      <c r="D47" s="102">
        <f>Data!BR47</f>
        <v>0</v>
      </c>
      <c r="E47" s="103">
        <f t="shared" si="5"/>
        <v>0</v>
      </c>
      <c r="F47" s="104">
        <f t="shared" si="6"/>
        <v>0</v>
      </c>
      <c r="G47" s="104">
        <f t="shared" si="7"/>
        <v>0</v>
      </c>
      <c r="H47" s="70"/>
      <c r="I47" s="70"/>
      <c r="J47" s="70"/>
      <c r="K47" s="70"/>
      <c r="L47" s="70"/>
      <c r="M47" s="70"/>
      <c r="N47" s="70"/>
      <c r="O47" s="70"/>
      <c r="P47" s="70"/>
      <c r="Q47" s="311"/>
      <c r="R47" s="327" t="s">
        <v>353</v>
      </c>
      <c r="S47" s="319">
        <f t="shared" si="3"/>
        <v>0</v>
      </c>
      <c r="T47" s="319">
        <f>Data!DA47/T$4*100000*T$3</f>
        <v>0</v>
      </c>
      <c r="U47" s="319">
        <f>Data!DB47/U$4*100000*U$3</f>
        <v>0</v>
      </c>
      <c r="V47" s="319">
        <f>Data!DC47/V$4*100000*V$3</f>
        <v>0</v>
      </c>
      <c r="W47" s="319">
        <f>Data!DD47/W$4*100000*W$3</f>
        <v>0</v>
      </c>
      <c r="X47" s="319">
        <f>Data!DE47/X$4*100000*X$3</f>
        <v>0</v>
      </c>
      <c r="Y47" s="319">
        <f>Data!DF47/Y$4*100000*Y$3</f>
        <v>0</v>
      </c>
      <c r="Z47" s="319">
        <f>Data!DG47/Z$4*100000*Z$3</f>
        <v>0</v>
      </c>
      <c r="AA47" s="319">
        <f>Data!DH47/AA$4*100000*AA$3</f>
        <v>0</v>
      </c>
      <c r="AB47" s="319">
        <f>Data!DI47/AB$4*100000*AB$3</f>
        <v>0</v>
      </c>
      <c r="AC47" s="319">
        <f>Data!DJ47/AC$4*100000*AC$3</f>
        <v>0</v>
      </c>
      <c r="AD47" s="319">
        <f>Data!DK47/AD$4*100000*AD$3</f>
        <v>0</v>
      </c>
      <c r="AE47" s="319">
        <f>Data!DL47/AE$4*100000*AE$3</f>
        <v>0</v>
      </c>
      <c r="AF47" s="319">
        <f>Data!DM47/AF$4*100000*AF$3</f>
        <v>0</v>
      </c>
      <c r="AG47" s="319">
        <f>Data!DN47/AG$4*100000*AG$3</f>
        <v>0</v>
      </c>
      <c r="AH47" s="319">
        <f>Data!DO47/AH$4*100000*AH$3</f>
        <v>0</v>
      </c>
      <c r="AI47" s="319">
        <f>Data!DP47/AI$4*100000*AI$3</f>
        <v>0</v>
      </c>
      <c r="AJ47" s="319">
        <f>Data!DQ47/AJ$4*100000*AJ$3</f>
        <v>0</v>
      </c>
      <c r="AK47" s="319">
        <f>Data!DR47/AK$4*100000*AK$3</f>
        <v>0</v>
      </c>
      <c r="AL47" s="327" t="s">
        <v>353</v>
      </c>
      <c r="AM47" s="319">
        <f t="shared" si="4"/>
        <v>0</v>
      </c>
      <c r="AN47" s="319">
        <f>Data!DA47/AN$4*100000*AN$3</f>
        <v>0</v>
      </c>
      <c r="AO47" s="319">
        <f>Data!DB47/AO$4*100000*AO$3</f>
        <v>0</v>
      </c>
      <c r="AP47" s="319">
        <f>Data!DC47/AP$4*100000*AP$3</f>
        <v>0</v>
      </c>
      <c r="AQ47" s="319">
        <f>Data!DD47/AQ$4*100000*AQ$3</f>
        <v>0</v>
      </c>
      <c r="AR47" s="319">
        <f>Data!DE47/AR$4*100000*AR$3</f>
        <v>0</v>
      </c>
      <c r="AS47" s="319">
        <f>Data!DF47/AS$4*100000*AS$3</f>
        <v>0</v>
      </c>
      <c r="AT47" s="319">
        <f>Data!DG47/AT$4*100000*AT$3</f>
        <v>0</v>
      </c>
      <c r="AU47" s="319">
        <f>Data!DH47/AU$4*100000*AU$3</f>
        <v>0</v>
      </c>
      <c r="AV47" s="319">
        <f>Data!DI47/AV$4*100000*AV$3</f>
        <v>0</v>
      </c>
      <c r="AW47" s="319">
        <f>Data!DJ47/AW$4*100000*AW$3</f>
        <v>0</v>
      </c>
      <c r="AX47" s="319">
        <f>Data!DK47/AX$4*100000*AX$3</f>
        <v>0</v>
      </c>
      <c r="AY47" s="319">
        <f>Data!DL47/AY$4*100000*AY$3</f>
        <v>0</v>
      </c>
      <c r="AZ47" s="319">
        <f>Data!DM47/AZ$4*100000*AZ$3</f>
        <v>0</v>
      </c>
      <c r="BA47" s="319">
        <f>Data!DN47/BA$4*100000*BA$3</f>
        <v>0</v>
      </c>
      <c r="BB47" s="319">
        <f>Data!DO47/BB$4*100000*BB$3</f>
        <v>0</v>
      </c>
      <c r="BC47" s="319">
        <f>Data!DP47/BC$4*100000*BC$3</f>
        <v>0</v>
      </c>
      <c r="BD47" s="319">
        <f>Data!DQ47/BD$4*100000*BD$3</f>
        <v>0</v>
      </c>
      <c r="BE47" s="319">
        <f>Data!DR47/BE$4*100000*BE$3</f>
        <v>0</v>
      </c>
    </row>
    <row r="48" spans="1:57" ht="11.25" customHeight="1">
      <c r="A48" s="66"/>
      <c r="B48" s="99" t="str">
        <f>UPPER(LEFT(TRIM(Data!B48),1)) &amp; MID(TRIM(Data!B48),2,50)</f>
        <v>Nervų sistemos gerybiniai navikai</v>
      </c>
      <c r="C48" s="93" t="str">
        <f>UPPER(LEFT(TRIM(Data!C48),1)) &amp; MID(TRIM(Data!C48),2,50)</f>
        <v>D32, D33</v>
      </c>
      <c r="D48" s="97">
        <f>Data!BR48</f>
        <v>20</v>
      </c>
      <c r="E48" s="98">
        <f t="shared" si="5"/>
        <v>1.2648293334159688</v>
      </c>
      <c r="F48" s="94">
        <f t="shared" si="6"/>
        <v>0.61237171419781389</v>
      </c>
      <c r="G48" s="94">
        <f t="shared" si="7"/>
        <v>0.38990417823978285</v>
      </c>
      <c r="H48" s="70"/>
      <c r="I48" s="70"/>
      <c r="J48" s="70"/>
      <c r="K48" s="70"/>
      <c r="L48" s="70"/>
      <c r="M48" s="70"/>
      <c r="N48" s="70"/>
      <c r="O48" s="70"/>
      <c r="P48" s="70"/>
      <c r="Q48" s="311"/>
      <c r="R48" s="327" t="s">
        <v>353</v>
      </c>
      <c r="S48" s="319">
        <f t="shared" si="3"/>
        <v>61237.171419781393</v>
      </c>
      <c r="T48" s="319">
        <f>Data!DA48/T$4*100000*T$3</f>
        <v>0</v>
      </c>
      <c r="U48" s="319">
        <f>Data!DB48/U$4*100000*U$3</f>
        <v>0</v>
      </c>
      <c r="V48" s="319">
        <f>Data!DC48/V$4*100000*V$3</f>
        <v>0</v>
      </c>
      <c r="W48" s="319">
        <f>Data!DD48/W$4*100000*W$3</f>
        <v>0</v>
      </c>
      <c r="X48" s="319">
        <f>Data!DE48/X$4*100000*X$3</f>
        <v>0</v>
      </c>
      <c r="Y48" s="319">
        <f>Data!DF48/Y$4*100000*Y$3</f>
        <v>0</v>
      </c>
      <c r="Z48" s="319">
        <f>Data!DG48/Z$4*100000*Z$3</f>
        <v>0</v>
      </c>
      <c r="AA48" s="319">
        <f>Data!DH48/AA$4*100000*AA$3</f>
        <v>0</v>
      </c>
      <c r="AB48" s="319">
        <f>Data!DI48/AB$4*100000*AB$3</f>
        <v>0</v>
      </c>
      <c r="AC48" s="319">
        <f>Data!DJ48/AC$4*100000*AC$3</f>
        <v>0</v>
      </c>
      <c r="AD48" s="319">
        <f>Data!DK48/AD$4*100000*AD$3</f>
        <v>0</v>
      </c>
      <c r="AE48" s="319">
        <f>Data!DL48/AE$4*100000*AE$3</f>
        <v>5321.3661720752443</v>
      </c>
      <c r="AF48" s="319">
        <f>Data!DM48/AF$4*100000*AF$3</f>
        <v>15296.60109523664</v>
      </c>
      <c r="AG48" s="319">
        <f>Data!DN48/AG$4*100000*AG$3</f>
        <v>4691.4767595970015</v>
      </c>
      <c r="AH48" s="319">
        <f>Data!DO48/AH$4*100000*AH$3</f>
        <v>10338.529401628894</v>
      </c>
      <c r="AI48" s="319">
        <f>Data!DP48/AI$4*100000*AI$3</f>
        <v>14806.95433288501</v>
      </c>
      <c r="AJ48" s="319">
        <f>Data!DQ48/AJ$4*100000*AJ$3</f>
        <v>6584.7957067131993</v>
      </c>
      <c r="AK48" s="319">
        <f>Data!DR48/AK$4*100000*AK$3</f>
        <v>4197.4479516454003</v>
      </c>
      <c r="AL48" s="327" t="s">
        <v>353</v>
      </c>
      <c r="AM48" s="319">
        <f t="shared" si="4"/>
        <v>38990.417823978285</v>
      </c>
      <c r="AN48" s="319">
        <f>Data!DA48/AN$4*100000*AN$3</f>
        <v>0</v>
      </c>
      <c r="AO48" s="319">
        <f>Data!DB48/AO$4*100000*AO$3</f>
        <v>0</v>
      </c>
      <c r="AP48" s="319">
        <f>Data!DC48/AP$4*100000*AP$3</f>
        <v>0</v>
      </c>
      <c r="AQ48" s="319">
        <f>Data!DD48/AQ$4*100000*AQ$3</f>
        <v>0</v>
      </c>
      <c r="AR48" s="319">
        <f>Data!DE48/AR$4*100000*AR$3</f>
        <v>0</v>
      </c>
      <c r="AS48" s="319">
        <f>Data!DF48/AS$4*100000*AS$3</f>
        <v>0</v>
      </c>
      <c r="AT48" s="319">
        <f>Data!DG48/AT$4*100000*AT$3</f>
        <v>0</v>
      </c>
      <c r="AU48" s="319">
        <f>Data!DH48/AU$4*100000*AU$3</f>
        <v>0</v>
      </c>
      <c r="AV48" s="319">
        <f>Data!DI48/AV$4*100000*AV$3</f>
        <v>0</v>
      </c>
      <c r="AW48" s="319">
        <f>Data!DJ48/AW$4*100000*AW$3</f>
        <v>0</v>
      </c>
      <c r="AX48" s="319">
        <f>Data!DK48/AX$4*100000*AX$3</f>
        <v>0</v>
      </c>
      <c r="AY48" s="319">
        <f>Data!DL48/AY$4*100000*AY$3</f>
        <v>3547.5774480501632</v>
      </c>
      <c r="AZ48" s="319">
        <f>Data!DM48/AZ$4*100000*AZ$3</f>
        <v>12237.280876189312</v>
      </c>
      <c r="BA48" s="319">
        <f>Data!DN48/BA$4*100000*BA$3</f>
        <v>3518.6075696977514</v>
      </c>
      <c r="BB48" s="319">
        <f>Data!DO48/BB$4*100000*BB$3</f>
        <v>6892.3529344192621</v>
      </c>
      <c r="BC48" s="319">
        <f>Data!DP48/BC$4*100000*BC$3</f>
        <v>7403.4771664425052</v>
      </c>
      <c r="BD48" s="319">
        <f>Data!DQ48/BD$4*100000*BD$3</f>
        <v>3292.3978533565996</v>
      </c>
      <c r="BE48" s="319">
        <f>Data!DR48/BE$4*100000*BE$3</f>
        <v>2098.7239758227001</v>
      </c>
    </row>
    <row r="49" spans="1:57" ht="11.25" customHeight="1">
      <c r="A49" s="66"/>
      <c r="B49" s="100" t="str">
        <f>UPPER(LEFT(TRIM(Data!B49),1)) &amp; MID(TRIM(Data!B49),2,50)</f>
        <v>Kiaušidžių</v>
      </c>
      <c r="C49" s="101" t="str">
        <f>UPPER(LEFT(TRIM(Data!C49),1)) &amp; MID(TRIM(Data!C49),2,50)</f>
        <v>D39.1</v>
      </c>
      <c r="D49" s="102">
        <f>Data!BR49</f>
        <v>0</v>
      </c>
      <c r="E49" s="103">
        <f t="shared" si="5"/>
        <v>0</v>
      </c>
      <c r="F49" s="104">
        <f t="shared" si="6"/>
        <v>0</v>
      </c>
      <c r="G49" s="104">
        <f t="shared" si="7"/>
        <v>0</v>
      </c>
      <c r="H49" s="70"/>
      <c r="I49" s="70"/>
      <c r="J49" s="70"/>
      <c r="K49" s="70"/>
      <c r="L49" s="70"/>
      <c r="M49" s="70"/>
      <c r="N49" s="70"/>
      <c r="O49" s="70"/>
      <c r="P49" s="70"/>
      <c r="Q49" s="311"/>
      <c r="R49" s="327" t="s">
        <v>353</v>
      </c>
      <c r="S49" s="319">
        <f t="shared" si="3"/>
        <v>0</v>
      </c>
      <c r="T49" s="319">
        <f>Data!DA49/T$4*100000*T$3</f>
        <v>0</v>
      </c>
      <c r="U49" s="319">
        <f>Data!DB49/U$4*100000*U$3</f>
        <v>0</v>
      </c>
      <c r="V49" s="319">
        <f>Data!DC49/V$4*100000*V$3</f>
        <v>0</v>
      </c>
      <c r="W49" s="319">
        <f>Data!DD49/W$4*100000*W$3</f>
        <v>0</v>
      </c>
      <c r="X49" s="319">
        <f>Data!DE49/X$4*100000*X$3</f>
        <v>0</v>
      </c>
      <c r="Y49" s="319">
        <f>Data!DF49/Y$4*100000*Y$3</f>
        <v>0</v>
      </c>
      <c r="Z49" s="319">
        <f>Data!DG49/Z$4*100000*Z$3</f>
        <v>0</v>
      </c>
      <c r="AA49" s="319">
        <f>Data!DH49/AA$4*100000*AA$3</f>
        <v>0</v>
      </c>
      <c r="AB49" s="319">
        <f>Data!DI49/AB$4*100000*AB$3</f>
        <v>0</v>
      </c>
      <c r="AC49" s="319">
        <f>Data!DJ49/AC$4*100000*AC$3</f>
        <v>0</v>
      </c>
      <c r="AD49" s="319">
        <f>Data!DK49/AD$4*100000*AD$3</f>
        <v>0</v>
      </c>
      <c r="AE49" s="319">
        <f>Data!DL49/AE$4*100000*AE$3</f>
        <v>0</v>
      </c>
      <c r="AF49" s="319">
        <f>Data!DM49/AF$4*100000*AF$3</f>
        <v>0</v>
      </c>
      <c r="AG49" s="319">
        <f>Data!DN49/AG$4*100000*AG$3</f>
        <v>0</v>
      </c>
      <c r="AH49" s="319">
        <f>Data!DO49/AH$4*100000*AH$3</f>
        <v>0</v>
      </c>
      <c r="AI49" s="319">
        <f>Data!DP49/AI$4*100000*AI$3</f>
        <v>0</v>
      </c>
      <c r="AJ49" s="319">
        <f>Data!DQ49/AJ$4*100000*AJ$3</f>
        <v>0</v>
      </c>
      <c r="AK49" s="319">
        <f>Data!DR49/AK$4*100000*AK$3</f>
        <v>0</v>
      </c>
      <c r="AL49" s="327" t="s">
        <v>353</v>
      </c>
      <c r="AM49" s="319">
        <f t="shared" si="4"/>
        <v>0</v>
      </c>
      <c r="AN49" s="319">
        <f>Data!DA49/AN$4*100000*AN$3</f>
        <v>0</v>
      </c>
      <c r="AO49" s="319">
        <f>Data!DB49/AO$4*100000*AO$3</f>
        <v>0</v>
      </c>
      <c r="AP49" s="319">
        <f>Data!DC49/AP$4*100000*AP$3</f>
        <v>0</v>
      </c>
      <c r="AQ49" s="319">
        <f>Data!DD49/AQ$4*100000*AQ$3</f>
        <v>0</v>
      </c>
      <c r="AR49" s="319">
        <f>Data!DE49/AR$4*100000*AR$3</f>
        <v>0</v>
      </c>
      <c r="AS49" s="319">
        <f>Data!DF49/AS$4*100000*AS$3</f>
        <v>0</v>
      </c>
      <c r="AT49" s="319">
        <f>Data!DG49/AT$4*100000*AT$3</f>
        <v>0</v>
      </c>
      <c r="AU49" s="319">
        <f>Data!DH49/AU$4*100000*AU$3</f>
        <v>0</v>
      </c>
      <c r="AV49" s="319">
        <f>Data!DI49/AV$4*100000*AV$3</f>
        <v>0</v>
      </c>
      <c r="AW49" s="319">
        <f>Data!DJ49/AW$4*100000*AW$3</f>
        <v>0</v>
      </c>
      <c r="AX49" s="319">
        <f>Data!DK49/AX$4*100000*AX$3</f>
        <v>0</v>
      </c>
      <c r="AY49" s="319">
        <f>Data!DL49/AY$4*100000*AY$3</f>
        <v>0</v>
      </c>
      <c r="AZ49" s="319">
        <f>Data!DM49/AZ$4*100000*AZ$3</f>
        <v>0</v>
      </c>
      <c r="BA49" s="319">
        <f>Data!DN49/BA$4*100000*BA$3</f>
        <v>0</v>
      </c>
      <c r="BB49" s="319">
        <f>Data!DO49/BB$4*100000*BB$3</f>
        <v>0</v>
      </c>
      <c r="BC49" s="319">
        <f>Data!DP49/BC$4*100000*BC$3</f>
        <v>0</v>
      </c>
      <c r="BD49" s="319">
        <f>Data!DQ49/BD$4*100000*BD$3</f>
        <v>0</v>
      </c>
      <c r="BE49" s="319">
        <f>Data!DR49/BE$4*100000*BE$3</f>
        <v>0</v>
      </c>
    </row>
    <row r="50" spans="1:57" ht="11.25" customHeight="1">
      <c r="A50" s="66"/>
      <c r="B50" s="99" t="str">
        <f>UPPER(LEFT(TRIM(Data!B50),1)) &amp; MID(TRIM(Data!B50),2,50)</f>
        <v>Kiti nervų sistemos</v>
      </c>
      <c r="C50" s="93" t="str">
        <f>UPPER(LEFT(TRIM(Data!C50),1)) &amp; MID(TRIM(Data!C50),2,50)</f>
        <v>D42, D43</v>
      </c>
      <c r="D50" s="97">
        <f>Data!BR50</f>
        <v>7</v>
      </c>
      <c r="E50" s="98">
        <f t="shared" si="5"/>
        <v>0.44269026669558914</v>
      </c>
      <c r="F50" s="94">
        <f t="shared" si="6"/>
        <v>0.24540609146461226</v>
      </c>
      <c r="G50" s="94">
        <f t="shared" si="7"/>
        <v>0.15791325231689884</v>
      </c>
      <c r="H50" s="70"/>
      <c r="I50" s="70"/>
      <c r="J50" s="70"/>
      <c r="K50" s="70"/>
      <c r="L50" s="70"/>
      <c r="M50" s="70"/>
      <c r="N50" s="70"/>
      <c r="O50" s="70"/>
      <c r="P50" s="70"/>
      <c r="Q50" s="311"/>
      <c r="R50" s="327" t="s">
        <v>353</v>
      </c>
      <c r="S50" s="319">
        <f t="shared" si="3"/>
        <v>24540.609146461225</v>
      </c>
      <c r="T50" s="319">
        <f>Data!DA50/T$4*100000*T$3</f>
        <v>0</v>
      </c>
      <c r="U50" s="319">
        <f>Data!DB50/U$4*100000*U$3</f>
        <v>0</v>
      </c>
      <c r="V50" s="319">
        <f>Data!DC50/V$4*100000*V$3</f>
        <v>0</v>
      </c>
      <c r="W50" s="319">
        <f>Data!DD50/W$4*100000*W$3</f>
        <v>0</v>
      </c>
      <c r="X50" s="319">
        <f>Data!DE50/X$4*100000*X$3</f>
        <v>0</v>
      </c>
      <c r="Y50" s="319">
        <f>Data!DF50/Y$4*100000*Y$3</f>
        <v>0</v>
      </c>
      <c r="Z50" s="319">
        <f>Data!DG50/Z$4*100000*Z$3</f>
        <v>0</v>
      </c>
      <c r="AA50" s="319">
        <f>Data!DH50/AA$4*100000*AA$3</f>
        <v>0</v>
      </c>
      <c r="AB50" s="319">
        <f>Data!DI50/AB$4*100000*AB$3</f>
        <v>0</v>
      </c>
      <c r="AC50" s="319">
        <f>Data!DJ50/AC$4*100000*AC$3</f>
        <v>0</v>
      </c>
      <c r="AD50" s="319">
        <f>Data!DK50/AD$4*100000*AD$3</f>
        <v>0</v>
      </c>
      <c r="AE50" s="319">
        <f>Data!DL50/AE$4*100000*AE$3</f>
        <v>10642.732344150489</v>
      </c>
      <c r="AF50" s="319">
        <f>Data!DM50/AF$4*100000*AF$3</f>
        <v>0</v>
      </c>
      <c r="AG50" s="319">
        <f>Data!DN50/AG$4*100000*AG$3</f>
        <v>4691.4767595970015</v>
      </c>
      <c r="AH50" s="319">
        <f>Data!DO50/AH$4*100000*AH$3</f>
        <v>3446.176467209631</v>
      </c>
      <c r="AI50" s="319">
        <f>Data!DP50/AI$4*100000*AI$3</f>
        <v>2467.8257221475019</v>
      </c>
      <c r="AJ50" s="319">
        <f>Data!DQ50/AJ$4*100000*AJ$3</f>
        <v>3292.3978533565996</v>
      </c>
      <c r="AK50" s="319">
        <f>Data!DR50/AK$4*100000*AK$3</f>
        <v>0</v>
      </c>
      <c r="AL50" s="327" t="s">
        <v>353</v>
      </c>
      <c r="AM50" s="319">
        <f t="shared" si="4"/>
        <v>15791.325231689883</v>
      </c>
      <c r="AN50" s="319">
        <f>Data!DA50/AN$4*100000*AN$3</f>
        <v>0</v>
      </c>
      <c r="AO50" s="319">
        <f>Data!DB50/AO$4*100000*AO$3</f>
        <v>0</v>
      </c>
      <c r="AP50" s="319">
        <f>Data!DC50/AP$4*100000*AP$3</f>
        <v>0</v>
      </c>
      <c r="AQ50" s="319">
        <f>Data!DD50/AQ$4*100000*AQ$3</f>
        <v>0</v>
      </c>
      <c r="AR50" s="319">
        <f>Data!DE50/AR$4*100000*AR$3</f>
        <v>0</v>
      </c>
      <c r="AS50" s="319">
        <f>Data!DF50/AS$4*100000*AS$3</f>
        <v>0</v>
      </c>
      <c r="AT50" s="319">
        <f>Data!DG50/AT$4*100000*AT$3</f>
        <v>0</v>
      </c>
      <c r="AU50" s="319">
        <f>Data!DH50/AU$4*100000*AU$3</f>
        <v>0</v>
      </c>
      <c r="AV50" s="319">
        <f>Data!DI50/AV$4*100000*AV$3</f>
        <v>0</v>
      </c>
      <c r="AW50" s="319">
        <f>Data!DJ50/AW$4*100000*AW$3</f>
        <v>0</v>
      </c>
      <c r="AX50" s="319">
        <f>Data!DK50/AX$4*100000*AX$3</f>
        <v>0</v>
      </c>
      <c r="AY50" s="319">
        <f>Data!DL50/AY$4*100000*AY$3</f>
        <v>7095.1548961003264</v>
      </c>
      <c r="AZ50" s="319">
        <f>Data!DM50/AZ$4*100000*AZ$3</f>
        <v>0</v>
      </c>
      <c r="BA50" s="319">
        <f>Data!DN50/BA$4*100000*BA$3</f>
        <v>3518.6075696977514</v>
      </c>
      <c r="BB50" s="319">
        <f>Data!DO50/BB$4*100000*BB$3</f>
        <v>2297.4509781397542</v>
      </c>
      <c r="BC50" s="319">
        <f>Data!DP50/BC$4*100000*BC$3</f>
        <v>1233.9128610737509</v>
      </c>
      <c r="BD50" s="319">
        <f>Data!DQ50/BD$4*100000*BD$3</f>
        <v>1646.1989266782998</v>
      </c>
      <c r="BE50" s="319">
        <f>Data!DR50/BE$4*100000*BE$3</f>
        <v>0</v>
      </c>
    </row>
    <row r="51" spans="1:57" ht="11.25" customHeight="1">
      <c r="A51" s="66"/>
      <c r="B51" s="100" t="str">
        <f>UPPER(LEFT(TRIM(Data!B51),1)) &amp; MID(TRIM(Data!B51),2,50)</f>
        <v>Limfinio ir kraujodaros audinių</v>
      </c>
      <c r="C51" s="101" t="str">
        <f>UPPER(LEFT(TRIM(Data!C51),1)) &amp; MID(TRIM(Data!C51),2,50)</f>
        <v>D45-D47</v>
      </c>
      <c r="D51" s="102">
        <f>Data!BR51</f>
        <v>25</v>
      </c>
      <c r="E51" s="103">
        <f t="shared" si="5"/>
        <v>1.5810366667699609</v>
      </c>
      <c r="F51" s="104">
        <f t="shared" si="6"/>
        <v>0.71090670599979566</v>
      </c>
      <c r="G51" s="104">
        <f t="shared" si="7"/>
        <v>0.46491329937571735</v>
      </c>
      <c r="H51" s="70"/>
      <c r="I51" s="70"/>
      <c r="J51" s="70"/>
      <c r="K51" s="70"/>
      <c r="L51" s="70"/>
      <c r="M51" s="70"/>
      <c r="N51" s="70"/>
      <c r="O51" s="70"/>
      <c r="P51" s="70"/>
      <c r="Q51" s="311"/>
      <c r="R51" s="327" t="s">
        <v>353</v>
      </c>
      <c r="S51" s="319">
        <f t="shared" si="3"/>
        <v>71090.670599979567</v>
      </c>
      <c r="T51" s="319">
        <f>Data!DA51/T$4*100000*T$3</f>
        <v>0</v>
      </c>
      <c r="U51" s="319">
        <f>Data!DB51/U$4*100000*U$3</f>
        <v>0</v>
      </c>
      <c r="V51" s="319">
        <f>Data!DC51/V$4*100000*V$3</f>
        <v>0</v>
      </c>
      <c r="W51" s="319">
        <f>Data!DD51/W$4*100000*W$3</f>
        <v>0</v>
      </c>
      <c r="X51" s="319">
        <f>Data!DE51/X$4*100000*X$3</f>
        <v>6869.8843896598428</v>
      </c>
      <c r="Y51" s="319">
        <f>Data!DF51/Y$4*100000*Y$3</f>
        <v>0</v>
      </c>
      <c r="Z51" s="319">
        <f>Data!DG51/Z$4*100000*Z$3</f>
        <v>0</v>
      </c>
      <c r="AA51" s="319">
        <f>Data!DH51/AA$4*100000*AA$3</f>
        <v>0</v>
      </c>
      <c r="AB51" s="319">
        <f>Data!DI51/AB$4*100000*AB$3</f>
        <v>0</v>
      </c>
      <c r="AC51" s="319">
        <f>Data!DJ51/AC$4*100000*AC$3</f>
        <v>0</v>
      </c>
      <c r="AD51" s="319">
        <f>Data!DK51/AD$4*100000*AD$3</f>
        <v>0</v>
      </c>
      <c r="AE51" s="319">
        <f>Data!DL51/AE$4*100000*AE$3</f>
        <v>0</v>
      </c>
      <c r="AF51" s="319">
        <f>Data!DM51/AF$4*100000*AF$3</f>
        <v>10197.734063491092</v>
      </c>
      <c r="AG51" s="319">
        <f>Data!DN51/AG$4*100000*AG$3</f>
        <v>4691.4767595970015</v>
      </c>
      <c r="AH51" s="319">
        <f>Data!DO51/AH$4*100000*AH$3</f>
        <v>13784.705868838524</v>
      </c>
      <c r="AI51" s="319">
        <f>Data!DP51/AI$4*100000*AI$3</f>
        <v>17274.780055032516</v>
      </c>
      <c r="AJ51" s="319">
        <f>Data!DQ51/AJ$4*100000*AJ$3</f>
        <v>9877.193560069798</v>
      </c>
      <c r="AK51" s="319">
        <f>Data!DR51/AK$4*100000*AK$3</f>
        <v>8394.8959032908006</v>
      </c>
      <c r="AL51" s="327" t="s">
        <v>353</v>
      </c>
      <c r="AM51" s="319">
        <f t="shared" si="4"/>
        <v>46491.329937571732</v>
      </c>
      <c r="AN51" s="319">
        <f>Data!DA51/AN$4*100000*AN$3</f>
        <v>0</v>
      </c>
      <c r="AO51" s="319">
        <f>Data!DB51/AO$4*100000*AO$3</f>
        <v>0</v>
      </c>
      <c r="AP51" s="319">
        <f>Data!DC51/AP$4*100000*AP$3</f>
        <v>0</v>
      </c>
      <c r="AQ51" s="319">
        <f>Data!DD51/AQ$4*100000*AQ$3</f>
        <v>0</v>
      </c>
      <c r="AR51" s="319">
        <f>Data!DE51/AR$4*100000*AR$3</f>
        <v>7851.2964453255345</v>
      </c>
      <c r="AS51" s="319">
        <f>Data!DF51/AS$4*100000*AS$3</f>
        <v>0</v>
      </c>
      <c r="AT51" s="319">
        <f>Data!DG51/AT$4*100000*AT$3</f>
        <v>0</v>
      </c>
      <c r="AU51" s="319">
        <f>Data!DH51/AU$4*100000*AU$3</f>
        <v>0</v>
      </c>
      <c r="AV51" s="319">
        <f>Data!DI51/AV$4*100000*AV$3</f>
        <v>0</v>
      </c>
      <c r="AW51" s="319">
        <f>Data!DJ51/AW$4*100000*AW$3</f>
        <v>0</v>
      </c>
      <c r="AX51" s="319">
        <f>Data!DK51/AX$4*100000*AX$3</f>
        <v>0</v>
      </c>
      <c r="AY51" s="319">
        <f>Data!DL51/AY$4*100000*AY$3</f>
        <v>0</v>
      </c>
      <c r="AZ51" s="319">
        <f>Data!DM51/AZ$4*100000*AZ$3</f>
        <v>8158.1872507928747</v>
      </c>
      <c r="BA51" s="319">
        <f>Data!DN51/BA$4*100000*BA$3</f>
        <v>3518.6075696977514</v>
      </c>
      <c r="BB51" s="319">
        <f>Data!DO51/BB$4*100000*BB$3</f>
        <v>9189.8039125590167</v>
      </c>
      <c r="BC51" s="319">
        <f>Data!DP51/BC$4*100000*BC$3</f>
        <v>8637.3900275162578</v>
      </c>
      <c r="BD51" s="319">
        <f>Data!DQ51/BD$4*100000*BD$3</f>
        <v>4938.596780034899</v>
      </c>
      <c r="BE51" s="319">
        <f>Data!DR51/BE$4*100000*BE$3</f>
        <v>4197.4479516454003</v>
      </c>
    </row>
    <row r="52" spans="1:57">
      <c r="A52" s="66"/>
      <c r="B52" s="66"/>
      <c r="C52" s="66"/>
      <c r="D52" s="66"/>
      <c r="E52" s="66"/>
      <c r="F52" s="66"/>
      <c r="G52" s="66"/>
      <c r="H52" s="70"/>
      <c r="I52" s="70"/>
      <c r="J52" s="70"/>
      <c r="K52" s="70"/>
      <c r="L52" s="70"/>
      <c r="M52" s="70"/>
      <c r="N52" s="70"/>
      <c r="O52" s="70"/>
      <c r="P52" s="70"/>
      <c r="Q52" s="311"/>
      <c r="R52" s="312"/>
      <c r="S52" s="312"/>
      <c r="T52" s="312"/>
      <c r="U52" s="312"/>
      <c r="V52" s="312"/>
      <c r="W52" s="312"/>
      <c r="X52" s="312"/>
      <c r="Y52" s="312"/>
      <c r="Z52" s="312"/>
      <c r="AA52" s="312"/>
      <c r="AB52" s="312"/>
      <c r="AC52" s="312"/>
      <c r="AD52" s="312"/>
      <c r="AE52" s="312"/>
      <c r="AF52" s="312"/>
      <c r="AG52" s="312"/>
      <c r="AH52" s="312"/>
      <c r="AI52" s="312"/>
      <c r="AJ52" s="312"/>
      <c r="AK52" s="312"/>
      <c r="AL52" s="312"/>
      <c r="AM52" s="312"/>
      <c r="AN52" s="312"/>
      <c r="AO52" s="312"/>
      <c r="AP52" s="312"/>
      <c r="AQ52" s="312"/>
      <c r="AR52" s="312"/>
      <c r="AS52" s="312"/>
      <c r="AT52" s="312"/>
      <c r="AU52" s="312"/>
      <c r="AV52" s="312"/>
      <c r="AW52" s="312"/>
      <c r="AX52" s="312"/>
      <c r="AY52" s="312"/>
      <c r="AZ52" s="312"/>
      <c r="BA52" s="312"/>
      <c r="BB52" s="312"/>
      <c r="BC52" s="312"/>
      <c r="BD52" s="312"/>
      <c r="BE52" s="312"/>
    </row>
    <row r="53" spans="1:57">
      <c r="A53" s="66"/>
      <c r="B53" s="66"/>
      <c r="C53" s="66"/>
      <c r="D53" s="66"/>
      <c r="E53" s="66"/>
      <c r="F53" s="66"/>
      <c r="G53" s="66"/>
      <c r="H53" s="70"/>
      <c r="I53" s="70"/>
      <c r="J53" s="70"/>
      <c r="K53" s="70"/>
      <c r="L53" s="70"/>
      <c r="M53" s="70"/>
      <c r="N53" s="70"/>
      <c r="O53" s="70"/>
      <c r="P53" s="70"/>
      <c r="Q53" s="311"/>
      <c r="R53" s="312"/>
      <c r="S53" s="319"/>
      <c r="T53" s="320"/>
      <c r="U53" s="320"/>
      <c r="V53" s="320"/>
      <c r="W53" s="320"/>
      <c r="X53" s="320"/>
      <c r="Y53" s="320"/>
      <c r="Z53" s="320"/>
      <c r="AA53" s="320"/>
      <c r="AB53" s="320"/>
      <c r="AC53" s="320"/>
      <c r="AD53" s="320"/>
      <c r="AE53" s="320"/>
      <c r="AF53" s="320"/>
      <c r="AG53" s="320"/>
      <c r="AH53" s="320"/>
      <c r="AI53" s="320"/>
      <c r="AJ53" s="320"/>
      <c r="AK53" s="320"/>
      <c r="AL53" s="312"/>
      <c r="AM53" s="312"/>
      <c r="AN53" s="312"/>
      <c r="AO53" s="312"/>
      <c r="AP53" s="312"/>
      <c r="AQ53" s="312"/>
      <c r="AR53" s="312"/>
      <c r="AS53" s="312"/>
      <c r="AT53" s="312"/>
      <c r="AU53" s="312"/>
      <c r="AV53" s="312"/>
      <c r="AW53" s="312"/>
      <c r="AX53" s="312"/>
      <c r="AY53" s="312"/>
      <c r="AZ53" s="312"/>
      <c r="BA53" s="312"/>
      <c r="BB53" s="312"/>
      <c r="BC53" s="312"/>
      <c r="BD53" s="312"/>
      <c r="BE53" s="312"/>
    </row>
    <row r="54" spans="1:57">
      <c r="Q54" s="311"/>
      <c r="R54" s="312" t="s">
        <v>408</v>
      </c>
      <c r="S54" s="319">
        <f>SUM(T54:AK54)</f>
        <v>100000</v>
      </c>
      <c r="T54" s="320">
        <v>8000</v>
      </c>
      <c r="U54" s="320">
        <v>7000</v>
      </c>
      <c r="V54" s="320">
        <v>7000</v>
      </c>
      <c r="W54" s="320">
        <v>7000</v>
      </c>
      <c r="X54" s="320">
        <v>7000</v>
      </c>
      <c r="Y54" s="320">
        <v>7000</v>
      </c>
      <c r="Z54" s="320">
        <v>7000</v>
      </c>
      <c r="AA54" s="320">
        <v>7000</v>
      </c>
      <c r="AB54" s="320">
        <v>7000</v>
      </c>
      <c r="AC54" s="320">
        <v>7000</v>
      </c>
      <c r="AD54" s="320">
        <v>7000</v>
      </c>
      <c r="AE54" s="320">
        <v>6000</v>
      </c>
      <c r="AF54" s="320">
        <v>5000</v>
      </c>
      <c r="AG54" s="320">
        <v>4000</v>
      </c>
      <c r="AH54" s="320">
        <v>3000</v>
      </c>
      <c r="AI54" s="320">
        <v>2000</v>
      </c>
      <c r="AJ54" s="320">
        <v>1000</v>
      </c>
      <c r="AK54" s="320">
        <v>1000</v>
      </c>
      <c r="AL54" s="312"/>
      <c r="AM54" s="312"/>
      <c r="AN54" s="312"/>
      <c r="AO54" s="312"/>
      <c r="AP54" s="312"/>
      <c r="AQ54" s="312"/>
      <c r="AR54" s="312"/>
      <c r="AS54" s="312"/>
      <c r="AT54" s="312"/>
      <c r="AU54" s="312"/>
      <c r="AV54" s="312"/>
      <c r="AW54" s="312"/>
      <c r="AX54" s="312"/>
      <c r="AY54" s="312"/>
      <c r="AZ54" s="312"/>
      <c r="BA54" s="312"/>
      <c r="BB54" s="312"/>
      <c r="BC54" s="312"/>
      <c r="BD54" s="312"/>
      <c r="BE54" s="312"/>
    </row>
    <row r="55" spans="1:57">
      <c r="Q55" s="311"/>
      <c r="R55" s="312" t="s">
        <v>409</v>
      </c>
      <c r="S55" s="312">
        <v>100000</v>
      </c>
      <c r="T55" s="312">
        <v>12000</v>
      </c>
      <c r="U55" s="312">
        <v>10000</v>
      </c>
      <c r="V55" s="312">
        <v>9000</v>
      </c>
      <c r="W55" s="312">
        <v>9000</v>
      </c>
      <c r="X55" s="312">
        <v>8000</v>
      </c>
      <c r="Y55" s="312">
        <v>8000</v>
      </c>
      <c r="Z55" s="312">
        <v>6000</v>
      </c>
      <c r="AA55" s="312">
        <v>6000</v>
      </c>
      <c r="AB55" s="312">
        <v>6000</v>
      </c>
      <c r="AC55" s="312">
        <v>6000</v>
      </c>
      <c r="AD55" s="312">
        <v>5000</v>
      </c>
      <c r="AE55" s="312">
        <v>4000</v>
      </c>
      <c r="AF55" s="312">
        <v>4000</v>
      </c>
      <c r="AG55" s="312">
        <v>3000</v>
      </c>
      <c r="AH55" s="312">
        <v>2000</v>
      </c>
      <c r="AI55" s="312">
        <v>1000</v>
      </c>
      <c r="AJ55" s="312">
        <v>500</v>
      </c>
      <c r="AK55" s="312">
        <v>500</v>
      </c>
      <c r="AL55" s="312"/>
      <c r="AM55" s="312"/>
      <c r="AN55" s="312"/>
      <c r="AO55" s="312"/>
      <c r="AP55" s="312"/>
      <c r="AQ55" s="312"/>
      <c r="AR55" s="312"/>
      <c r="AS55" s="312"/>
      <c r="AT55" s="312"/>
      <c r="AU55" s="312"/>
      <c r="AV55" s="312"/>
      <c r="AW55" s="312"/>
      <c r="AX55" s="312"/>
      <c r="AY55" s="312"/>
      <c r="AZ55" s="312"/>
      <c r="BA55" s="312"/>
      <c r="BB55" s="312"/>
      <c r="BC55" s="312"/>
      <c r="BD55" s="312"/>
      <c r="BE55" s="312"/>
    </row>
  </sheetData>
  <mergeCells count="9">
    <mergeCell ref="B1:C1"/>
    <mergeCell ref="AN2:AP2"/>
    <mergeCell ref="T2:V2"/>
    <mergeCell ref="B4:B5"/>
    <mergeCell ref="C4:C5"/>
    <mergeCell ref="D4:D5"/>
    <mergeCell ref="E4:E5"/>
    <mergeCell ref="F4:G4"/>
    <mergeCell ref="R1:R2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tabColor theme="9" tint="0.39997558519241921"/>
  </sheetPr>
  <dimension ref="A1:W49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2" width="6" customWidth="1"/>
    <col min="23" max="33" width="0.85546875" customWidth="1"/>
  </cols>
  <sheetData>
    <row r="1" spans="1:23" ht="15">
      <c r="A1" s="29"/>
      <c r="B1" s="519" t="s">
        <v>403</v>
      </c>
      <c r="C1" s="518"/>
      <c r="D1" s="518"/>
      <c r="E1" s="518"/>
      <c r="F1" s="518"/>
      <c r="G1" s="518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30"/>
    </row>
    <row r="2" spans="1:23">
      <c r="A2" s="29"/>
      <c r="B2" s="516" t="str">
        <f>"Mirčių dėl piktybinių navikų, atvejų skaičius pagal amžiaus grupes  " &amp; GrafikaiSerg!A1 &amp; " metais. Vyrai."</f>
        <v>Mirčių dėl piktybinių navikų, atvejų skaičius pagal amžiaus grupes  2014 metais. Vyrai.</v>
      </c>
      <c r="C2" s="516"/>
      <c r="D2" s="516"/>
      <c r="E2" s="517"/>
      <c r="F2" s="516"/>
      <c r="G2" s="518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  <c r="S2" s="29"/>
      <c r="T2" s="29"/>
      <c r="U2" s="29"/>
      <c r="V2" s="29"/>
      <c r="W2" s="30"/>
    </row>
    <row r="3" spans="1:23">
      <c r="A3" s="29"/>
      <c r="B3" s="63" t="s">
        <v>630</v>
      </c>
      <c r="C3" s="57"/>
      <c r="D3" s="57"/>
      <c r="E3" s="57"/>
      <c r="F3" s="57"/>
      <c r="G3" s="29"/>
      <c r="H3" s="29"/>
      <c r="I3" s="29"/>
      <c r="J3" s="29"/>
      <c r="K3" s="29"/>
      <c r="L3" s="29"/>
      <c r="M3" s="29"/>
      <c r="N3" s="29"/>
      <c r="O3" s="29"/>
      <c r="P3" s="29"/>
      <c r="Q3" s="29"/>
      <c r="R3" s="29"/>
      <c r="S3" s="29"/>
      <c r="T3" s="29"/>
      <c r="U3" s="29"/>
      <c r="V3" s="29"/>
      <c r="W3" s="30"/>
    </row>
    <row r="4" spans="1:23" ht="12.95" customHeight="1">
      <c r="A4" s="29"/>
      <c r="B4" s="425" t="s">
        <v>243</v>
      </c>
      <c r="C4" s="425" t="s">
        <v>244</v>
      </c>
      <c r="D4" s="430" t="s">
        <v>419</v>
      </c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29"/>
      <c r="V4" s="435" t="s">
        <v>429</v>
      </c>
      <c r="W4" s="30"/>
    </row>
    <row r="5" spans="1:23" ht="12.95" customHeight="1" thickBot="1">
      <c r="A5" s="29"/>
      <c r="B5" s="426"/>
      <c r="C5" s="426"/>
      <c r="D5" s="169" t="s">
        <v>13</v>
      </c>
      <c r="E5" s="169" t="s">
        <v>11</v>
      </c>
      <c r="F5" s="169" t="s">
        <v>12</v>
      </c>
      <c r="G5" s="169" t="s">
        <v>14</v>
      </c>
      <c r="H5" s="169" t="s">
        <v>15</v>
      </c>
      <c r="I5" s="169" t="s">
        <v>16</v>
      </c>
      <c r="J5" s="169" t="s">
        <v>158</v>
      </c>
      <c r="K5" s="169" t="s">
        <v>17</v>
      </c>
      <c r="L5" s="169" t="s">
        <v>18</v>
      </c>
      <c r="M5" s="169" t="s">
        <v>19</v>
      </c>
      <c r="N5" s="169" t="s">
        <v>20</v>
      </c>
      <c r="O5" s="169" t="s">
        <v>21</v>
      </c>
      <c r="P5" s="169" t="s">
        <v>159</v>
      </c>
      <c r="Q5" s="169" t="s">
        <v>160</v>
      </c>
      <c r="R5" s="169" t="s">
        <v>161</v>
      </c>
      <c r="S5" s="169" t="s">
        <v>162</v>
      </c>
      <c r="T5" s="169" t="s">
        <v>22</v>
      </c>
      <c r="U5" s="169" t="s">
        <v>23</v>
      </c>
      <c r="V5" s="436"/>
      <c r="W5" s="30"/>
    </row>
    <row r="6" spans="1:23" ht="12" customHeight="1" thickTop="1">
      <c r="A6" s="29"/>
      <c r="B6" s="146" t="str">
        <f>UPPER(LEFT(TRIM(Data!B5),1)) &amp; MID(TRIM(Data!B5),2,50)</f>
        <v>Piktybiniai navikai</v>
      </c>
      <c r="C6" s="146" t="str">
        <f>Data!C5</f>
        <v>C00-C96</v>
      </c>
      <c r="D6" s="165">
        <f>Data!AN5</f>
        <v>1</v>
      </c>
      <c r="E6" s="165">
        <f>Data!AO5</f>
        <v>4</v>
      </c>
      <c r="F6" s="165">
        <f>Data!AP5</f>
        <v>2</v>
      </c>
      <c r="G6" s="165">
        <f>Data!AQ5</f>
        <v>5</v>
      </c>
      <c r="H6" s="165">
        <f>Data!AR5</f>
        <v>6</v>
      </c>
      <c r="I6" s="165">
        <f>Data!AS5</f>
        <v>3</v>
      </c>
      <c r="J6" s="165">
        <f>Data!AT5</f>
        <v>14</v>
      </c>
      <c r="K6" s="165">
        <f>Data!AU5</f>
        <v>25</v>
      </c>
      <c r="L6" s="165">
        <f>Data!AV5</f>
        <v>58</v>
      </c>
      <c r="M6" s="165">
        <f>Data!AW5</f>
        <v>129</v>
      </c>
      <c r="N6" s="165">
        <f>Data!AX5</f>
        <v>254</v>
      </c>
      <c r="O6" s="165">
        <f>Data!AY5</f>
        <v>421</v>
      </c>
      <c r="P6" s="165">
        <f>Data!AZ5</f>
        <v>568</v>
      </c>
      <c r="Q6" s="165">
        <f>Data!BA5</f>
        <v>610</v>
      </c>
      <c r="R6" s="165">
        <f>Data!BB5</f>
        <v>741</v>
      </c>
      <c r="S6" s="165">
        <f>Data!BC5</f>
        <v>778</v>
      </c>
      <c r="T6" s="165">
        <f>Data!BD5</f>
        <v>531</v>
      </c>
      <c r="U6" s="165">
        <f>Data!BE5</f>
        <v>369</v>
      </c>
      <c r="V6" s="165">
        <f>SUM(D6:U6)</f>
        <v>4519</v>
      </c>
      <c r="W6" s="30"/>
    </row>
    <row r="7" spans="1:23" ht="12" customHeight="1">
      <c r="A7" s="29"/>
      <c r="B7" s="141" t="str">
        <f>UPPER(LEFT(TRIM(Data!B6),1)) &amp; MID(TRIM(Data!B6),2,50)</f>
        <v>Lūpos</v>
      </c>
      <c r="C7" s="170" t="str">
        <f>Data!C6</f>
        <v>C00</v>
      </c>
      <c r="D7" s="171">
        <f>Data!AN6</f>
        <v>0</v>
      </c>
      <c r="E7" s="171">
        <f>Data!AO6</f>
        <v>0</v>
      </c>
      <c r="F7" s="171">
        <f>Data!AP6</f>
        <v>0</v>
      </c>
      <c r="G7" s="171">
        <f>Data!AQ6</f>
        <v>0</v>
      </c>
      <c r="H7" s="171">
        <f>Data!AR6</f>
        <v>0</v>
      </c>
      <c r="I7" s="171">
        <f>Data!AS6</f>
        <v>0</v>
      </c>
      <c r="J7" s="171">
        <f>Data!AT6</f>
        <v>0</v>
      </c>
      <c r="K7" s="171">
        <f>Data!AU6</f>
        <v>0</v>
      </c>
      <c r="L7" s="171">
        <f>Data!AV6</f>
        <v>0</v>
      </c>
      <c r="M7" s="171">
        <f>Data!AW6</f>
        <v>0</v>
      </c>
      <c r="N7" s="171">
        <f>Data!AX6</f>
        <v>0</v>
      </c>
      <c r="O7" s="171">
        <f>Data!AY6</f>
        <v>0</v>
      </c>
      <c r="P7" s="171">
        <f>Data!AZ6</f>
        <v>0</v>
      </c>
      <c r="Q7" s="171">
        <f>Data!BA6</f>
        <v>0</v>
      </c>
      <c r="R7" s="171">
        <f>Data!BB6</f>
        <v>0</v>
      </c>
      <c r="S7" s="171">
        <f>Data!BC6</f>
        <v>1</v>
      </c>
      <c r="T7" s="171">
        <f>Data!BD6</f>
        <v>0</v>
      </c>
      <c r="U7" s="171">
        <f>Data!BE6</f>
        <v>0</v>
      </c>
      <c r="V7" s="167">
        <f>SUM(D7:U7)</f>
        <v>1</v>
      </c>
      <c r="W7" s="30"/>
    </row>
    <row r="8" spans="1:23" ht="12" customHeight="1">
      <c r="A8" s="29"/>
      <c r="B8" s="146" t="str">
        <f>UPPER(LEFT(TRIM(Data!B7),1)) &amp; MID(TRIM(Data!B7),2,50)</f>
        <v>Burnos ertmės ir ryklės</v>
      </c>
      <c r="C8" s="146" t="str">
        <f>Data!C7</f>
        <v>C01-C14</v>
      </c>
      <c r="D8" s="165">
        <f>Data!AN7</f>
        <v>0</v>
      </c>
      <c r="E8" s="165">
        <f>Data!AO7</f>
        <v>0</v>
      </c>
      <c r="F8" s="165">
        <f>Data!AP7</f>
        <v>0</v>
      </c>
      <c r="G8" s="165">
        <f>Data!AQ7</f>
        <v>1</v>
      </c>
      <c r="H8" s="165">
        <f>Data!AR7</f>
        <v>0</v>
      </c>
      <c r="I8" s="165">
        <f>Data!AS7</f>
        <v>0</v>
      </c>
      <c r="J8" s="165">
        <f>Data!AT7</f>
        <v>3</v>
      </c>
      <c r="K8" s="165">
        <f>Data!AU7</f>
        <v>2</v>
      </c>
      <c r="L8" s="165">
        <f>Data!AV7</f>
        <v>8</v>
      </c>
      <c r="M8" s="165">
        <f>Data!AW7</f>
        <v>22</v>
      </c>
      <c r="N8" s="165">
        <f>Data!AX7</f>
        <v>18</v>
      </c>
      <c r="O8" s="165">
        <f>Data!AY7</f>
        <v>36</v>
      </c>
      <c r="P8" s="165">
        <f>Data!AZ7</f>
        <v>42</v>
      </c>
      <c r="Q8" s="165">
        <f>Data!BA7</f>
        <v>36</v>
      </c>
      <c r="R8" s="165">
        <f>Data!BB7</f>
        <v>20</v>
      </c>
      <c r="S8" s="165">
        <f>Data!BC7</f>
        <v>20</v>
      </c>
      <c r="T8" s="165">
        <f>Data!BD7</f>
        <v>4</v>
      </c>
      <c r="U8" s="165">
        <f>Data!BE7</f>
        <v>5</v>
      </c>
      <c r="V8" s="165">
        <f t="shared" ref="V8:V47" si="0">SUM(D8:U8)</f>
        <v>217</v>
      </c>
      <c r="W8" s="30"/>
    </row>
    <row r="9" spans="1:23" ht="12" customHeight="1">
      <c r="A9" s="29"/>
      <c r="B9" s="141" t="str">
        <f>UPPER(LEFT(TRIM(Data!B8),1)) &amp; MID(TRIM(Data!B8),2,50)</f>
        <v>Stemplės</v>
      </c>
      <c r="C9" s="170" t="str">
        <f>Data!C8</f>
        <v>C15</v>
      </c>
      <c r="D9" s="171">
        <f>Data!AN8</f>
        <v>0</v>
      </c>
      <c r="E9" s="171">
        <f>Data!AO8</f>
        <v>0</v>
      </c>
      <c r="F9" s="171">
        <f>Data!AP8</f>
        <v>0</v>
      </c>
      <c r="G9" s="171">
        <f>Data!AQ8</f>
        <v>0</v>
      </c>
      <c r="H9" s="171">
        <f>Data!AR8</f>
        <v>0</v>
      </c>
      <c r="I9" s="171">
        <f>Data!AS8</f>
        <v>0</v>
      </c>
      <c r="J9" s="171">
        <f>Data!AT8</f>
        <v>0</v>
      </c>
      <c r="K9" s="171">
        <f>Data!AU8</f>
        <v>1</v>
      </c>
      <c r="L9" s="171">
        <f>Data!AV8</f>
        <v>4</v>
      </c>
      <c r="M9" s="171">
        <f>Data!AW8</f>
        <v>9</v>
      </c>
      <c r="N9" s="171">
        <f>Data!AX8</f>
        <v>17</v>
      </c>
      <c r="O9" s="171">
        <f>Data!AY8</f>
        <v>27</v>
      </c>
      <c r="P9" s="171">
        <f>Data!AZ8</f>
        <v>39</v>
      </c>
      <c r="Q9" s="171">
        <f>Data!BA8</f>
        <v>24</v>
      </c>
      <c r="R9" s="171">
        <f>Data!BB8</f>
        <v>20</v>
      </c>
      <c r="S9" s="171">
        <f>Data!BC8</f>
        <v>18</v>
      </c>
      <c r="T9" s="171">
        <f>Data!BD8</f>
        <v>10</v>
      </c>
      <c r="U9" s="171">
        <f>Data!BE8</f>
        <v>4</v>
      </c>
      <c r="V9" s="167">
        <f t="shared" si="0"/>
        <v>173</v>
      </c>
      <c r="W9" s="30"/>
    </row>
    <row r="10" spans="1:23" ht="12" customHeight="1">
      <c r="A10" s="29"/>
      <c r="B10" s="146" t="str">
        <f>UPPER(LEFT(TRIM(Data!B9),1)) &amp; MID(TRIM(Data!B9),2,50)</f>
        <v>Skrandžio</v>
      </c>
      <c r="C10" s="146" t="str">
        <f>Data!C9</f>
        <v>C16</v>
      </c>
      <c r="D10" s="165">
        <f>Data!AN9</f>
        <v>0</v>
      </c>
      <c r="E10" s="165">
        <f>Data!AO9</f>
        <v>0</v>
      </c>
      <c r="F10" s="165">
        <f>Data!AP9</f>
        <v>0</v>
      </c>
      <c r="G10" s="165">
        <f>Data!AQ9</f>
        <v>0</v>
      </c>
      <c r="H10" s="165">
        <f>Data!AR9</f>
        <v>1</v>
      </c>
      <c r="I10" s="165">
        <f>Data!AS9</f>
        <v>0</v>
      </c>
      <c r="J10" s="165">
        <f>Data!AT9</f>
        <v>2</v>
      </c>
      <c r="K10" s="165">
        <f>Data!AU9</f>
        <v>4</v>
      </c>
      <c r="L10" s="165">
        <f>Data!AV9</f>
        <v>6</v>
      </c>
      <c r="M10" s="165">
        <f>Data!AW9</f>
        <v>12</v>
      </c>
      <c r="N10" s="165">
        <f>Data!AX9</f>
        <v>30</v>
      </c>
      <c r="O10" s="165">
        <f>Data!AY9</f>
        <v>36</v>
      </c>
      <c r="P10" s="165">
        <f>Data!AZ9</f>
        <v>53</v>
      </c>
      <c r="Q10" s="165">
        <f>Data!BA9</f>
        <v>45</v>
      </c>
      <c r="R10" s="165">
        <f>Data!BB9</f>
        <v>78</v>
      </c>
      <c r="S10" s="165">
        <f>Data!BC9</f>
        <v>62</v>
      </c>
      <c r="T10" s="165">
        <f>Data!BD9</f>
        <v>47</v>
      </c>
      <c r="U10" s="165">
        <f>Data!BE9</f>
        <v>37</v>
      </c>
      <c r="V10" s="165">
        <f t="shared" si="0"/>
        <v>413</v>
      </c>
      <c r="W10" s="30"/>
    </row>
    <row r="11" spans="1:23" ht="12" customHeight="1">
      <c r="A11" s="29"/>
      <c r="B11" s="141" t="str">
        <f>UPPER(LEFT(TRIM(Data!B10),1)) &amp; MID(TRIM(Data!B10),2,50)</f>
        <v>Gaubtinės žarnos</v>
      </c>
      <c r="C11" s="170" t="str">
        <f>Data!C10</f>
        <v>C18</v>
      </c>
      <c r="D11" s="171">
        <f>Data!AN10</f>
        <v>0</v>
      </c>
      <c r="E11" s="171">
        <f>Data!AO10</f>
        <v>0</v>
      </c>
      <c r="F11" s="171">
        <f>Data!AP10</f>
        <v>0</v>
      </c>
      <c r="G11" s="171">
        <f>Data!AQ10</f>
        <v>0</v>
      </c>
      <c r="H11" s="171">
        <f>Data!AR10</f>
        <v>0</v>
      </c>
      <c r="I11" s="171">
        <f>Data!AS10</f>
        <v>0</v>
      </c>
      <c r="J11" s="171">
        <f>Data!AT10</f>
        <v>1</v>
      </c>
      <c r="K11" s="171">
        <f>Data!AU10</f>
        <v>0</v>
      </c>
      <c r="L11" s="171">
        <f>Data!AV10</f>
        <v>2</v>
      </c>
      <c r="M11" s="171">
        <f>Data!AW10</f>
        <v>4</v>
      </c>
      <c r="N11" s="171">
        <f>Data!AX10</f>
        <v>5</v>
      </c>
      <c r="O11" s="171">
        <f>Data!AY10</f>
        <v>18</v>
      </c>
      <c r="P11" s="171">
        <f>Data!AZ10</f>
        <v>26</v>
      </c>
      <c r="Q11" s="171">
        <f>Data!BA10</f>
        <v>30</v>
      </c>
      <c r="R11" s="171">
        <f>Data!BB10</f>
        <v>46</v>
      </c>
      <c r="S11" s="171">
        <f>Data!BC10</f>
        <v>36</v>
      </c>
      <c r="T11" s="171">
        <f>Data!BD10</f>
        <v>46</v>
      </c>
      <c r="U11" s="171">
        <f>Data!BE10</f>
        <v>34</v>
      </c>
      <c r="V11" s="167">
        <f t="shared" si="0"/>
        <v>248</v>
      </c>
      <c r="W11" s="30"/>
    </row>
    <row r="12" spans="1:23" ht="12" customHeight="1">
      <c r="A12" s="29"/>
      <c r="B12" s="146" t="str">
        <f>UPPER(LEFT(TRIM(Data!B11),1)) &amp; MID(TRIM(Data!B11),2,50)</f>
        <v>Tiesiosios žarnos, išangės</v>
      </c>
      <c r="C12" s="146" t="str">
        <f>Data!C11</f>
        <v>C19-C21</v>
      </c>
      <c r="D12" s="165">
        <f>Data!AN11</f>
        <v>0</v>
      </c>
      <c r="E12" s="165">
        <f>Data!AO11</f>
        <v>0</v>
      </c>
      <c r="F12" s="165">
        <f>Data!AP11</f>
        <v>0</v>
      </c>
      <c r="G12" s="165">
        <f>Data!AQ11</f>
        <v>0</v>
      </c>
      <c r="H12" s="165">
        <f>Data!AR11</f>
        <v>0</v>
      </c>
      <c r="I12" s="165">
        <f>Data!AS11</f>
        <v>0</v>
      </c>
      <c r="J12" s="165">
        <f>Data!AT11</f>
        <v>0</v>
      </c>
      <c r="K12" s="165">
        <f>Data!AU11</f>
        <v>1</v>
      </c>
      <c r="L12" s="165">
        <f>Data!AV11</f>
        <v>2</v>
      </c>
      <c r="M12" s="165">
        <f>Data!AW11</f>
        <v>6</v>
      </c>
      <c r="N12" s="165">
        <f>Data!AX11</f>
        <v>9</v>
      </c>
      <c r="O12" s="165">
        <f>Data!AY11</f>
        <v>20</v>
      </c>
      <c r="P12" s="165">
        <f>Data!AZ11</f>
        <v>15</v>
      </c>
      <c r="Q12" s="165">
        <f>Data!BA11</f>
        <v>37</v>
      </c>
      <c r="R12" s="165">
        <f>Data!BB11</f>
        <v>45</v>
      </c>
      <c r="S12" s="165">
        <f>Data!BC11</f>
        <v>52</v>
      </c>
      <c r="T12" s="165">
        <f>Data!BD11</f>
        <v>34</v>
      </c>
      <c r="U12" s="165">
        <f>Data!BE11</f>
        <v>26</v>
      </c>
      <c r="V12" s="165">
        <f t="shared" si="0"/>
        <v>247</v>
      </c>
      <c r="W12" s="30"/>
    </row>
    <row r="13" spans="1:23" ht="12" customHeight="1">
      <c r="A13" s="29"/>
      <c r="B13" s="141" t="str">
        <f>UPPER(LEFT(TRIM(Data!B12),1)) &amp; MID(TRIM(Data!B12),2,50)</f>
        <v>Kepenų</v>
      </c>
      <c r="C13" s="170" t="str">
        <f>Data!C12</f>
        <v>C22</v>
      </c>
      <c r="D13" s="171">
        <f>Data!AN12</f>
        <v>0</v>
      </c>
      <c r="E13" s="171">
        <f>Data!AO12</f>
        <v>0</v>
      </c>
      <c r="F13" s="171">
        <f>Data!AP12</f>
        <v>0</v>
      </c>
      <c r="G13" s="171">
        <f>Data!AQ12</f>
        <v>0</v>
      </c>
      <c r="H13" s="171">
        <f>Data!AR12</f>
        <v>0</v>
      </c>
      <c r="I13" s="171">
        <f>Data!AS12</f>
        <v>0</v>
      </c>
      <c r="J13" s="171">
        <f>Data!AT12</f>
        <v>0</v>
      </c>
      <c r="K13" s="171">
        <f>Data!AU12</f>
        <v>1</v>
      </c>
      <c r="L13" s="171">
        <f>Data!AV12</f>
        <v>2</v>
      </c>
      <c r="M13" s="171">
        <f>Data!AW12</f>
        <v>4</v>
      </c>
      <c r="N13" s="171">
        <f>Data!AX12</f>
        <v>9</v>
      </c>
      <c r="O13" s="171">
        <f>Data!AY12</f>
        <v>16</v>
      </c>
      <c r="P13" s="171">
        <f>Data!AZ12</f>
        <v>9</v>
      </c>
      <c r="Q13" s="171">
        <f>Data!BA12</f>
        <v>17</v>
      </c>
      <c r="R13" s="171">
        <f>Data!BB12</f>
        <v>22</v>
      </c>
      <c r="S13" s="171">
        <f>Data!BC12</f>
        <v>15</v>
      </c>
      <c r="T13" s="171">
        <f>Data!BD12</f>
        <v>12</v>
      </c>
      <c r="U13" s="171">
        <f>Data!BE12</f>
        <v>6</v>
      </c>
      <c r="V13" s="167">
        <f t="shared" si="0"/>
        <v>113</v>
      </c>
      <c r="W13" s="30"/>
    </row>
    <row r="14" spans="1:23" ht="12" customHeight="1">
      <c r="A14" s="29"/>
      <c r="B14" s="146" t="str">
        <f>UPPER(LEFT(TRIM(Data!B13),1)) &amp; MID(TRIM(Data!B13),2,50)</f>
        <v>Tulžies pūslės, ekstrahepatinių takų</v>
      </c>
      <c r="C14" s="146" t="str">
        <f>Data!C13</f>
        <v>C23, C24</v>
      </c>
      <c r="D14" s="165">
        <f>Data!AN13</f>
        <v>0</v>
      </c>
      <c r="E14" s="165">
        <f>Data!AO13</f>
        <v>0</v>
      </c>
      <c r="F14" s="165">
        <f>Data!AP13</f>
        <v>0</v>
      </c>
      <c r="G14" s="165">
        <f>Data!AQ13</f>
        <v>0</v>
      </c>
      <c r="H14" s="165">
        <f>Data!AR13</f>
        <v>0</v>
      </c>
      <c r="I14" s="165">
        <f>Data!AS13</f>
        <v>0</v>
      </c>
      <c r="J14" s="165">
        <f>Data!AT13</f>
        <v>0</v>
      </c>
      <c r="K14" s="165">
        <f>Data!AU13</f>
        <v>0</v>
      </c>
      <c r="L14" s="165">
        <f>Data!AV13</f>
        <v>0</v>
      </c>
      <c r="M14" s="165">
        <f>Data!AW13</f>
        <v>0</v>
      </c>
      <c r="N14" s="165">
        <f>Data!AX13</f>
        <v>1</v>
      </c>
      <c r="O14" s="165">
        <f>Data!AY13</f>
        <v>2</v>
      </c>
      <c r="P14" s="165">
        <f>Data!AZ13</f>
        <v>5</v>
      </c>
      <c r="Q14" s="165">
        <f>Data!BA13</f>
        <v>4</v>
      </c>
      <c r="R14" s="165">
        <f>Data!BB13</f>
        <v>8</v>
      </c>
      <c r="S14" s="165">
        <f>Data!BC13</f>
        <v>6</v>
      </c>
      <c r="T14" s="165">
        <f>Data!BD13</f>
        <v>7</v>
      </c>
      <c r="U14" s="165">
        <f>Data!BE13</f>
        <v>3</v>
      </c>
      <c r="V14" s="165">
        <f t="shared" si="0"/>
        <v>36</v>
      </c>
      <c r="W14" s="30"/>
    </row>
    <row r="15" spans="1:23" ht="12" customHeight="1">
      <c r="A15" s="29"/>
      <c r="B15" s="141" t="str">
        <f>UPPER(LEFT(TRIM(Data!B14),1)) &amp; MID(TRIM(Data!B14),2,50)</f>
        <v>Kasos</v>
      </c>
      <c r="C15" s="170" t="str">
        <f>Data!C14</f>
        <v>C25</v>
      </c>
      <c r="D15" s="171">
        <f>Data!AN14</f>
        <v>0</v>
      </c>
      <c r="E15" s="171">
        <f>Data!AO14</f>
        <v>0</v>
      </c>
      <c r="F15" s="171">
        <f>Data!AP14</f>
        <v>0</v>
      </c>
      <c r="G15" s="171">
        <f>Data!AQ14</f>
        <v>0</v>
      </c>
      <c r="H15" s="171">
        <f>Data!AR14</f>
        <v>0</v>
      </c>
      <c r="I15" s="171">
        <f>Data!AS14</f>
        <v>0</v>
      </c>
      <c r="J15" s="171">
        <f>Data!AT14</f>
        <v>1</v>
      </c>
      <c r="K15" s="171">
        <f>Data!AU14</f>
        <v>1</v>
      </c>
      <c r="L15" s="171">
        <f>Data!AV14</f>
        <v>3</v>
      </c>
      <c r="M15" s="171">
        <f>Data!AW14</f>
        <v>11</v>
      </c>
      <c r="N15" s="171">
        <f>Data!AX14</f>
        <v>25</v>
      </c>
      <c r="O15" s="171">
        <f>Data!AY14</f>
        <v>24</v>
      </c>
      <c r="P15" s="171">
        <f>Data!AZ14</f>
        <v>30</v>
      </c>
      <c r="Q15" s="171">
        <f>Data!BA14</f>
        <v>34</v>
      </c>
      <c r="R15" s="171">
        <f>Data!BB14</f>
        <v>40</v>
      </c>
      <c r="S15" s="171">
        <f>Data!BC14</f>
        <v>32</v>
      </c>
      <c r="T15" s="171">
        <f>Data!BD14</f>
        <v>19</v>
      </c>
      <c r="U15" s="171">
        <f>Data!BE14</f>
        <v>15</v>
      </c>
      <c r="V15" s="167">
        <f t="shared" si="0"/>
        <v>235</v>
      </c>
      <c r="W15" s="30"/>
    </row>
    <row r="16" spans="1:23" ht="12" customHeight="1">
      <c r="A16" s="29"/>
      <c r="B16" s="146" t="str">
        <f>UPPER(LEFT(TRIM(Data!B15),1)) &amp; MID(TRIM(Data!B15),2,50)</f>
        <v>Kitų virškinimo sistemos organų</v>
      </c>
      <c r="C16" s="146" t="str">
        <f>Data!C15</f>
        <v>C17, C26, C48</v>
      </c>
      <c r="D16" s="165">
        <f>Data!AN15</f>
        <v>0</v>
      </c>
      <c r="E16" s="165">
        <f>Data!AO15</f>
        <v>0</v>
      </c>
      <c r="F16" s="165">
        <f>Data!AP15</f>
        <v>0</v>
      </c>
      <c r="G16" s="165">
        <f>Data!AQ15</f>
        <v>1</v>
      </c>
      <c r="H16" s="165">
        <f>Data!AR15</f>
        <v>0</v>
      </c>
      <c r="I16" s="165">
        <f>Data!AS15</f>
        <v>0</v>
      </c>
      <c r="J16" s="165">
        <f>Data!AT15</f>
        <v>0</v>
      </c>
      <c r="K16" s="165">
        <f>Data!AU15</f>
        <v>2</v>
      </c>
      <c r="L16" s="165">
        <f>Data!AV15</f>
        <v>0</v>
      </c>
      <c r="M16" s="165">
        <f>Data!AW15</f>
        <v>0</v>
      </c>
      <c r="N16" s="165">
        <f>Data!AX15</f>
        <v>1</v>
      </c>
      <c r="O16" s="165">
        <f>Data!AY15</f>
        <v>2</v>
      </c>
      <c r="P16" s="165">
        <f>Data!AZ15</f>
        <v>4</v>
      </c>
      <c r="Q16" s="165">
        <f>Data!BA15</f>
        <v>2</v>
      </c>
      <c r="R16" s="165">
        <f>Data!BB15</f>
        <v>3</v>
      </c>
      <c r="S16" s="165">
        <f>Data!BC15</f>
        <v>4</v>
      </c>
      <c r="T16" s="165">
        <f>Data!BD15</f>
        <v>3</v>
      </c>
      <c r="U16" s="165">
        <f>Data!BE15</f>
        <v>3</v>
      </c>
      <c r="V16" s="165">
        <f t="shared" si="0"/>
        <v>25</v>
      </c>
      <c r="W16" s="30"/>
    </row>
    <row r="17" spans="1:23" ht="12" customHeight="1">
      <c r="A17" s="29"/>
      <c r="B17" s="141" t="str">
        <f>UPPER(LEFT(TRIM(Data!B16),1)) &amp; MID(TRIM(Data!B16),2,50)</f>
        <v>Nosies ertmės, vid.ausies ir ančių</v>
      </c>
      <c r="C17" s="170" t="str">
        <f>Data!C16</f>
        <v>C30, C31</v>
      </c>
      <c r="D17" s="171">
        <f>Data!AN16</f>
        <v>0</v>
      </c>
      <c r="E17" s="171">
        <f>Data!AO16</f>
        <v>0</v>
      </c>
      <c r="F17" s="171">
        <f>Data!AP16</f>
        <v>0</v>
      </c>
      <c r="G17" s="171">
        <f>Data!AQ16</f>
        <v>0</v>
      </c>
      <c r="H17" s="171">
        <f>Data!AR16</f>
        <v>0</v>
      </c>
      <c r="I17" s="171">
        <f>Data!AS16</f>
        <v>0</v>
      </c>
      <c r="J17" s="171">
        <f>Data!AT16</f>
        <v>0</v>
      </c>
      <c r="K17" s="171">
        <f>Data!AU16</f>
        <v>0</v>
      </c>
      <c r="L17" s="171">
        <f>Data!AV16</f>
        <v>1</v>
      </c>
      <c r="M17" s="171">
        <f>Data!AW16</f>
        <v>3</v>
      </c>
      <c r="N17" s="171">
        <f>Data!AX16</f>
        <v>0</v>
      </c>
      <c r="O17" s="171">
        <f>Data!AY16</f>
        <v>3</v>
      </c>
      <c r="P17" s="171">
        <f>Data!AZ16</f>
        <v>2</v>
      </c>
      <c r="Q17" s="171">
        <f>Data!BA16</f>
        <v>2</v>
      </c>
      <c r="R17" s="171">
        <f>Data!BB16</f>
        <v>1</v>
      </c>
      <c r="S17" s="171">
        <f>Data!BC16</f>
        <v>0</v>
      </c>
      <c r="T17" s="171">
        <f>Data!BD16</f>
        <v>0</v>
      </c>
      <c r="U17" s="171">
        <f>Data!BE16</f>
        <v>0</v>
      </c>
      <c r="V17" s="167">
        <f t="shared" si="0"/>
        <v>12</v>
      </c>
      <c r="W17" s="30"/>
    </row>
    <row r="18" spans="1:23" ht="12" customHeight="1">
      <c r="A18" s="29"/>
      <c r="B18" s="146" t="str">
        <f>UPPER(LEFT(TRIM(Data!B17),1)) &amp; MID(TRIM(Data!B17),2,50)</f>
        <v>Gerklų</v>
      </c>
      <c r="C18" s="146" t="str">
        <f>Data!C17</f>
        <v>C32</v>
      </c>
      <c r="D18" s="165">
        <f>Data!AN17</f>
        <v>0</v>
      </c>
      <c r="E18" s="165">
        <f>Data!AO17</f>
        <v>0</v>
      </c>
      <c r="F18" s="165">
        <f>Data!AP17</f>
        <v>0</v>
      </c>
      <c r="G18" s="165">
        <f>Data!AQ17</f>
        <v>0</v>
      </c>
      <c r="H18" s="165">
        <f>Data!AR17</f>
        <v>0</v>
      </c>
      <c r="I18" s="165">
        <f>Data!AS17</f>
        <v>0</v>
      </c>
      <c r="J18" s="165">
        <f>Data!AT17</f>
        <v>0</v>
      </c>
      <c r="K18" s="165">
        <f>Data!AU17</f>
        <v>0</v>
      </c>
      <c r="L18" s="165">
        <f>Data!AV17</f>
        <v>2</v>
      </c>
      <c r="M18" s="165">
        <f>Data!AW17</f>
        <v>8</v>
      </c>
      <c r="N18" s="165">
        <f>Data!AX17</f>
        <v>4</v>
      </c>
      <c r="O18" s="165">
        <f>Data!AY17</f>
        <v>15</v>
      </c>
      <c r="P18" s="165">
        <f>Data!AZ17</f>
        <v>15</v>
      </c>
      <c r="Q18" s="165">
        <f>Data!BA17</f>
        <v>19</v>
      </c>
      <c r="R18" s="165">
        <f>Data!BB17</f>
        <v>15</v>
      </c>
      <c r="S18" s="165">
        <f>Data!BC17</f>
        <v>17</v>
      </c>
      <c r="T18" s="165">
        <f>Data!BD17</f>
        <v>9</v>
      </c>
      <c r="U18" s="165">
        <f>Data!BE17</f>
        <v>5</v>
      </c>
      <c r="V18" s="165">
        <f t="shared" si="0"/>
        <v>109</v>
      </c>
      <c r="W18" s="30"/>
    </row>
    <row r="19" spans="1:23" ht="12" customHeight="1">
      <c r="A19" s="29"/>
      <c r="B19" s="141" t="str">
        <f>UPPER(LEFT(TRIM(Data!B18),1)) &amp; MID(TRIM(Data!B18),2,50)</f>
        <v>Plaučių, trachėjos, bronchų</v>
      </c>
      <c r="C19" s="170" t="str">
        <f>Data!C18</f>
        <v>C33, C34</v>
      </c>
      <c r="D19" s="171">
        <f>Data!AN18</f>
        <v>0</v>
      </c>
      <c r="E19" s="171">
        <f>Data!AO18</f>
        <v>0</v>
      </c>
      <c r="F19" s="171">
        <f>Data!AP18</f>
        <v>0</v>
      </c>
      <c r="G19" s="171">
        <f>Data!AQ18</f>
        <v>0</v>
      </c>
      <c r="H19" s="171">
        <f>Data!AR18</f>
        <v>0</v>
      </c>
      <c r="I19" s="171">
        <f>Data!AS18</f>
        <v>0</v>
      </c>
      <c r="J19" s="171">
        <f>Data!AT18</f>
        <v>1</v>
      </c>
      <c r="K19" s="171">
        <f>Data!AU18</f>
        <v>1</v>
      </c>
      <c r="L19" s="171">
        <f>Data!AV18</f>
        <v>12</v>
      </c>
      <c r="M19" s="171">
        <f>Data!AW18</f>
        <v>16</v>
      </c>
      <c r="N19" s="171">
        <f>Data!AX18</f>
        <v>65</v>
      </c>
      <c r="O19" s="171">
        <f>Data!AY18</f>
        <v>129</v>
      </c>
      <c r="P19" s="171">
        <f>Data!AZ18</f>
        <v>184</v>
      </c>
      <c r="Q19" s="171">
        <f>Data!BA18</f>
        <v>177</v>
      </c>
      <c r="R19" s="171">
        <f>Data!BB18</f>
        <v>181</v>
      </c>
      <c r="S19" s="171">
        <f>Data!BC18</f>
        <v>188</v>
      </c>
      <c r="T19" s="171">
        <f>Data!BD18</f>
        <v>82</v>
      </c>
      <c r="U19" s="171">
        <f>Data!BE18</f>
        <v>39</v>
      </c>
      <c r="V19" s="167">
        <f t="shared" si="0"/>
        <v>1075</v>
      </c>
      <c r="W19" s="30"/>
    </row>
    <row r="20" spans="1:23" ht="12" customHeight="1">
      <c r="A20" s="29"/>
      <c r="B20" s="146" t="str">
        <f>UPPER(LEFT(TRIM(Data!B19),1)) &amp; MID(TRIM(Data!B19),2,50)</f>
        <v>Kitų kvėpavimo sistemos organų</v>
      </c>
      <c r="C20" s="146" t="str">
        <f>Data!C19</f>
        <v>C37-C39</v>
      </c>
      <c r="D20" s="165">
        <f>Data!AN19</f>
        <v>0</v>
      </c>
      <c r="E20" s="165">
        <f>Data!AO19</f>
        <v>0</v>
      </c>
      <c r="F20" s="165">
        <f>Data!AP19</f>
        <v>0</v>
      </c>
      <c r="G20" s="165">
        <f>Data!AQ19</f>
        <v>0</v>
      </c>
      <c r="H20" s="165">
        <f>Data!AR19</f>
        <v>0</v>
      </c>
      <c r="I20" s="165">
        <f>Data!AS19</f>
        <v>0</v>
      </c>
      <c r="J20" s="165">
        <f>Data!AT19</f>
        <v>0</v>
      </c>
      <c r="K20" s="165">
        <f>Data!AU19</f>
        <v>0</v>
      </c>
      <c r="L20" s="165">
        <f>Data!AV19</f>
        <v>0</v>
      </c>
      <c r="M20" s="165">
        <f>Data!AW19</f>
        <v>0</v>
      </c>
      <c r="N20" s="165">
        <f>Data!AX19</f>
        <v>2</v>
      </c>
      <c r="O20" s="165">
        <f>Data!AY19</f>
        <v>1</v>
      </c>
      <c r="P20" s="165">
        <f>Data!AZ19</f>
        <v>2</v>
      </c>
      <c r="Q20" s="165">
        <f>Data!BA19</f>
        <v>1</v>
      </c>
      <c r="R20" s="165">
        <f>Data!BB19</f>
        <v>1</v>
      </c>
      <c r="S20" s="165">
        <f>Data!BC19</f>
        <v>3</v>
      </c>
      <c r="T20" s="165">
        <f>Data!BD19</f>
        <v>0</v>
      </c>
      <c r="U20" s="165">
        <f>Data!BE19</f>
        <v>1</v>
      </c>
      <c r="V20" s="165">
        <f t="shared" si="0"/>
        <v>11</v>
      </c>
      <c r="W20" s="30"/>
    </row>
    <row r="21" spans="1:23" ht="12" customHeight="1">
      <c r="A21" s="29"/>
      <c r="B21" s="141" t="str">
        <f>UPPER(LEFT(TRIM(Data!B20),1)) &amp; MID(TRIM(Data!B20),2,50)</f>
        <v>Kaulų ir jungiamojo audinio</v>
      </c>
      <c r="C21" s="170" t="str">
        <f>Data!C20</f>
        <v>C40-C41, C45-C47, C49</v>
      </c>
      <c r="D21" s="171">
        <f>Data!AN20</f>
        <v>0</v>
      </c>
      <c r="E21" s="171">
        <f>Data!AO20</f>
        <v>1</v>
      </c>
      <c r="F21" s="171">
        <f>Data!AP20</f>
        <v>0</v>
      </c>
      <c r="G21" s="171">
        <f>Data!AQ20</f>
        <v>0</v>
      </c>
      <c r="H21" s="171">
        <f>Data!AR20</f>
        <v>1</v>
      </c>
      <c r="I21" s="171">
        <f>Data!AS20</f>
        <v>1</v>
      </c>
      <c r="J21" s="171">
        <f>Data!AT20</f>
        <v>0</v>
      </c>
      <c r="K21" s="171">
        <f>Data!AU20</f>
        <v>0</v>
      </c>
      <c r="L21" s="171">
        <f>Data!AV20</f>
        <v>4</v>
      </c>
      <c r="M21" s="171">
        <f>Data!AW20</f>
        <v>2</v>
      </c>
      <c r="N21" s="171">
        <f>Data!AX20</f>
        <v>2</v>
      </c>
      <c r="O21" s="171">
        <f>Data!AY20</f>
        <v>2</v>
      </c>
      <c r="P21" s="171">
        <f>Data!AZ20</f>
        <v>3</v>
      </c>
      <c r="Q21" s="171">
        <f>Data!BA20</f>
        <v>3</v>
      </c>
      <c r="R21" s="171">
        <f>Data!BB20</f>
        <v>2</v>
      </c>
      <c r="S21" s="171">
        <f>Data!BC20</f>
        <v>3</v>
      </c>
      <c r="T21" s="171">
        <f>Data!BD20</f>
        <v>7</v>
      </c>
      <c r="U21" s="171">
        <f>Data!BE20</f>
        <v>1</v>
      </c>
      <c r="V21" s="167">
        <f t="shared" si="0"/>
        <v>32</v>
      </c>
      <c r="W21" s="30"/>
    </row>
    <row r="22" spans="1:23" ht="12" customHeight="1">
      <c r="A22" s="29"/>
      <c r="B22" s="146" t="str">
        <f>UPPER(LEFT(TRIM(Data!B21),1)) &amp; MID(TRIM(Data!B21),2,50)</f>
        <v>Odos melanoma</v>
      </c>
      <c r="C22" s="146" t="str">
        <f>Data!C21</f>
        <v>C43</v>
      </c>
      <c r="D22" s="165">
        <f>Data!AN21</f>
        <v>0</v>
      </c>
      <c r="E22" s="165">
        <f>Data!AO21</f>
        <v>0</v>
      </c>
      <c r="F22" s="165">
        <f>Data!AP21</f>
        <v>0</v>
      </c>
      <c r="G22" s="165">
        <f>Data!AQ21</f>
        <v>0</v>
      </c>
      <c r="H22" s="165">
        <f>Data!AR21</f>
        <v>0</v>
      </c>
      <c r="I22" s="165">
        <f>Data!AS21</f>
        <v>1</v>
      </c>
      <c r="J22" s="165">
        <f>Data!AT21</f>
        <v>0</v>
      </c>
      <c r="K22" s="165">
        <f>Data!AU21</f>
        <v>3</v>
      </c>
      <c r="L22" s="165">
        <f>Data!AV21</f>
        <v>1</v>
      </c>
      <c r="M22" s="165">
        <f>Data!AW21</f>
        <v>4</v>
      </c>
      <c r="N22" s="165">
        <f>Data!AX21</f>
        <v>3</v>
      </c>
      <c r="O22" s="165">
        <f>Data!AY21</f>
        <v>3</v>
      </c>
      <c r="P22" s="165">
        <f>Data!AZ21</f>
        <v>3</v>
      </c>
      <c r="Q22" s="165">
        <f>Data!BA21</f>
        <v>3</v>
      </c>
      <c r="R22" s="165">
        <f>Data!BB21</f>
        <v>7</v>
      </c>
      <c r="S22" s="165">
        <f>Data!BC21</f>
        <v>6</v>
      </c>
      <c r="T22" s="165">
        <f>Data!BD21</f>
        <v>4</v>
      </c>
      <c r="U22" s="165">
        <f>Data!BE21</f>
        <v>4</v>
      </c>
      <c r="V22" s="165">
        <f t="shared" si="0"/>
        <v>42</v>
      </c>
      <c r="W22" s="30"/>
    </row>
    <row r="23" spans="1:23" ht="12" customHeight="1">
      <c r="A23" s="29"/>
      <c r="B23" s="141" t="str">
        <f>UPPER(LEFT(TRIM(Data!B22),1)) &amp; MID(TRIM(Data!B22),2,50)</f>
        <v>Kiti odos piktybiniai navikai</v>
      </c>
      <c r="C23" s="170" t="str">
        <f>Data!C22</f>
        <v>C44</v>
      </c>
      <c r="D23" s="171">
        <f>Data!AN22</f>
        <v>0</v>
      </c>
      <c r="E23" s="171">
        <f>Data!AO22</f>
        <v>0</v>
      </c>
      <c r="F23" s="171">
        <f>Data!AP22</f>
        <v>0</v>
      </c>
      <c r="G23" s="171">
        <f>Data!AQ22</f>
        <v>0</v>
      </c>
      <c r="H23" s="171">
        <f>Data!AR22</f>
        <v>0</v>
      </c>
      <c r="I23" s="171">
        <f>Data!AS22</f>
        <v>0</v>
      </c>
      <c r="J23" s="171">
        <f>Data!AT22</f>
        <v>0</v>
      </c>
      <c r="K23" s="171">
        <f>Data!AU22</f>
        <v>0</v>
      </c>
      <c r="L23" s="171">
        <f>Data!AV22</f>
        <v>0</v>
      </c>
      <c r="M23" s="171">
        <f>Data!AW22</f>
        <v>0</v>
      </c>
      <c r="N23" s="171">
        <f>Data!AX22</f>
        <v>0</v>
      </c>
      <c r="O23" s="171">
        <f>Data!AY22</f>
        <v>2</v>
      </c>
      <c r="P23" s="171">
        <f>Data!AZ22</f>
        <v>2</v>
      </c>
      <c r="Q23" s="171">
        <f>Data!BA22</f>
        <v>1</v>
      </c>
      <c r="R23" s="171">
        <f>Data!BB22</f>
        <v>2</v>
      </c>
      <c r="S23" s="171">
        <f>Data!BC22</f>
        <v>5</v>
      </c>
      <c r="T23" s="171">
        <f>Data!BD22</f>
        <v>4</v>
      </c>
      <c r="U23" s="171">
        <f>Data!BE22</f>
        <v>6</v>
      </c>
      <c r="V23" s="167">
        <f t="shared" si="0"/>
        <v>22</v>
      </c>
      <c r="W23" s="30"/>
    </row>
    <row r="24" spans="1:23" ht="12" customHeight="1">
      <c r="A24" s="29"/>
      <c r="B24" s="146" t="str">
        <f>UPPER(LEFT(TRIM(Data!B23),1)) &amp; MID(TRIM(Data!B23),2,50)</f>
        <v>Krūties</v>
      </c>
      <c r="C24" s="146" t="str">
        <f>Data!C23</f>
        <v>C50</v>
      </c>
      <c r="D24" s="165">
        <f>Data!AN23</f>
        <v>0</v>
      </c>
      <c r="E24" s="165">
        <f>Data!AO23</f>
        <v>0</v>
      </c>
      <c r="F24" s="165">
        <f>Data!AP23</f>
        <v>0</v>
      </c>
      <c r="G24" s="165">
        <f>Data!AQ23</f>
        <v>0</v>
      </c>
      <c r="H24" s="165">
        <f>Data!AR23</f>
        <v>0</v>
      </c>
      <c r="I24" s="165">
        <f>Data!AS23</f>
        <v>0</v>
      </c>
      <c r="J24" s="165">
        <f>Data!AT23</f>
        <v>0</v>
      </c>
      <c r="K24" s="165">
        <f>Data!AU23</f>
        <v>0</v>
      </c>
      <c r="L24" s="165">
        <f>Data!AV23</f>
        <v>0</v>
      </c>
      <c r="M24" s="165">
        <f>Data!AW23</f>
        <v>1</v>
      </c>
      <c r="N24" s="165">
        <f>Data!AX23</f>
        <v>0</v>
      </c>
      <c r="O24" s="165">
        <f>Data!AY23</f>
        <v>2</v>
      </c>
      <c r="P24" s="165">
        <f>Data!AZ23</f>
        <v>1</v>
      </c>
      <c r="Q24" s="165">
        <f>Data!BA23</f>
        <v>1</v>
      </c>
      <c r="R24" s="165">
        <f>Data!BB23</f>
        <v>1</v>
      </c>
      <c r="S24" s="165">
        <f>Data!BC23</f>
        <v>1</v>
      </c>
      <c r="T24" s="165">
        <f>Data!BD23</f>
        <v>1</v>
      </c>
      <c r="U24" s="165">
        <f>Data!BE23</f>
        <v>0</v>
      </c>
      <c r="V24" s="165">
        <f t="shared" si="0"/>
        <v>8</v>
      </c>
      <c r="W24" s="30"/>
    </row>
    <row r="25" spans="1:23" ht="12" customHeight="1">
      <c r="A25" s="29"/>
      <c r="B25" s="141" t="str">
        <f>UPPER(LEFT(TRIM(Data!B28),1)) &amp; MID(TRIM(Data!B28),2,50)</f>
        <v>Priešinės liaukos</v>
      </c>
      <c r="C25" s="170" t="str">
        <f>Data!C28</f>
        <v>C61</v>
      </c>
      <c r="D25" s="171">
        <f>Data!AN28</f>
        <v>0</v>
      </c>
      <c r="E25" s="171">
        <f>Data!AO28</f>
        <v>0</v>
      </c>
      <c r="F25" s="171">
        <f>Data!AP28</f>
        <v>0</v>
      </c>
      <c r="G25" s="171">
        <f>Data!AQ28</f>
        <v>0</v>
      </c>
      <c r="H25" s="171">
        <f>Data!AR28</f>
        <v>0</v>
      </c>
      <c r="I25" s="171">
        <f>Data!AS28</f>
        <v>0</v>
      </c>
      <c r="J25" s="171">
        <f>Data!AT28</f>
        <v>0</v>
      </c>
      <c r="K25" s="171">
        <f>Data!AU28</f>
        <v>0</v>
      </c>
      <c r="L25" s="171">
        <f>Data!AV28</f>
        <v>0</v>
      </c>
      <c r="M25" s="171">
        <f>Data!AW28</f>
        <v>1</v>
      </c>
      <c r="N25" s="171">
        <f>Data!AX28</f>
        <v>5</v>
      </c>
      <c r="O25" s="171">
        <f>Data!AY28</f>
        <v>16</v>
      </c>
      <c r="P25" s="171">
        <f>Data!AZ28</f>
        <v>30</v>
      </c>
      <c r="Q25" s="171">
        <f>Data!BA28</f>
        <v>46</v>
      </c>
      <c r="R25" s="171">
        <f>Data!BB28</f>
        <v>88</v>
      </c>
      <c r="S25" s="171">
        <f>Data!BC28</f>
        <v>118</v>
      </c>
      <c r="T25" s="171">
        <f>Data!BD28</f>
        <v>120</v>
      </c>
      <c r="U25" s="171">
        <f>Data!BE28</f>
        <v>96</v>
      </c>
      <c r="V25" s="167">
        <f t="shared" si="0"/>
        <v>520</v>
      </c>
      <c r="W25" s="30"/>
    </row>
    <row r="26" spans="1:23" ht="12" customHeight="1">
      <c r="A26" s="29"/>
      <c r="B26" s="146" t="str">
        <f>UPPER(LEFT(TRIM(Data!B29),1)) &amp; MID(TRIM(Data!B29),2,50)</f>
        <v>Sėklidžių</v>
      </c>
      <c r="C26" s="146" t="str">
        <f>Data!C29</f>
        <v>C62</v>
      </c>
      <c r="D26" s="165">
        <f>Data!AN29</f>
        <v>0</v>
      </c>
      <c r="E26" s="165">
        <f>Data!AO29</f>
        <v>0</v>
      </c>
      <c r="F26" s="165">
        <f>Data!AP29</f>
        <v>0</v>
      </c>
      <c r="G26" s="165">
        <f>Data!AQ29</f>
        <v>0</v>
      </c>
      <c r="H26" s="165">
        <f>Data!AR29</f>
        <v>0</v>
      </c>
      <c r="I26" s="165">
        <f>Data!AS29</f>
        <v>0</v>
      </c>
      <c r="J26" s="165">
        <f>Data!AT29</f>
        <v>1</v>
      </c>
      <c r="K26" s="165">
        <f>Data!AU29</f>
        <v>0</v>
      </c>
      <c r="L26" s="165">
        <f>Data!AV29</f>
        <v>1</v>
      </c>
      <c r="M26" s="165">
        <f>Data!AW29</f>
        <v>0</v>
      </c>
      <c r="N26" s="165">
        <f>Data!AX29</f>
        <v>0</v>
      </c>
      <c r="O26" s="165">
        <f>Data!AY29</f>
        <v>0</v>
      </c>
      <c r="P26" s="165">
        <f>Data!AZ29</f>
        <v>0</v>
      </c>
      <c r="Q26" s="165">
        <f>Data!BA29</f>
        <v>0</v>
      </c>
      <c r="R26" s="165">
        <f>Data!BB29</f>
        <v>0</v>
      </c>
      <c r="S26" s="165">
        <f>Data!BC29</f>
        <v>0</v>
      </c>
      <c r="T26" s="165">
        <f>Data!BD29</f>
        <v>0</v>
      </c>
      <c r="U26" s="165">
        <f>Data!BE29</f>
        <v>0</v>
      </c>
      <c r="V26" s="165">
        <f t="shared" si="0"/>
        <v>2</v>
      </c>
      <c r="W26" s="30"/>
    </row>
    <row r="27" spans="1:23" ht="12" customHeight="1">
      <c r="A27" s="29"/>
      <c r="B27" s="141" t="str">
        <f>UPPER(LEFT(TRIM(Data!B30),1)) &amp; MID(TRIM(Data!B30),2,50)</f>
        <v>Kitų lyties organų</v>
      </c>
      <c r="C27" s="170" t="s">
        <v>417</v>
      </c>
      <c r="D27" s="171">
        <f>Data!AN30</f>
        <v>0</v>
      </c>
      <c r="E27" s="171">
        <f>Data!AO30</f>
        <v>0</v>
      </c>
      <c r="F27" s="171">
        <f>Data!AP30</f>
        <v>0</v>
      </c>
      <c r="G27" s="171">
        <f>Data!AQ30</f>
        <v>0</v>
      </c>
      <c r="H27" s="171">
        <f>Data!AR30</f>
        <v>0</v>
      </c>
      <c r="I27" s="171">
        <f>Data!AS30</f>
        <v>0</v>
      </c>
      <c r="J27" s="171">
        <f>Data!AT30</f>
        <v>0</v>
      </c>
      <c r="K27" s="171">
        <f>Data!AU30</f>
        <v>0</v>
      </c>
      <c r="L27" s="171">
        <f>Data!AV30</f>
        <v>1</v>
      </c>
      <c r="M27" s="171">
        <f>Data!AW30</f>
        <v>0</v>
      </c>
      <c r="N27" s="171">
        <f>Data!AX30</f>
        <v>1</v>
      </c>
      <c r="O27" s="171">
        <f>Data!AY30</f>
        <v>1</v>
      </c>
      <c r="P27" s="171">
        <f>Data!AZ30</f>
        <v>1</v>
      </c>
      <c r="Q27" s="171">
        <f>Data!BA30</f>
        <v>0</v>
      </c>
      <c r="R27" s="171">
        <f>Data!BB30</f>
        <v>4</v>
      </c>
      <c r="S27" s="171">
        <f>Data!BC30</f>
        <v>0</v>
      </c>
      <c r="T27" s="171">
        <f>Data!BD30</f>
        <v>1</v>
      </c>
      <c r="U27" s="171">
        <f>Data!BE30</f>
        <v>1</v>
      </c>
      <c r="V27" s="167">
        <f t="shared" si="0"/>
        <v>10</v>
      </c>
      <c r="W27" s="30"/>
    </row>
    <row r="28" spans="1:23" ht="12" customHeight="1">
      <c r="A28" s="29"/>
      <c r="B28" s="146" t="str">
        <f>UPPER(LEFT(TRIM(Data!B31),1)) &amp; MID(TRIM(Data!B31),2,50)</f>
        <v>Inkstų</v>
      </c>
      <c r="C28" s="146" t="str">
        <f>Data!C31</f>
        <v>C64</v>
      </c>
      <c r="D28" s="165">
        <f>Data!AN31</f>
        <v>0</v>
      </c>
      <c r="E28" s="165">
        <f>Data!AO31</f>
        <v>1</v>
      </c>
      <c r="F28" s="165">
        <f>Data!AP31</f>
        <v>0</v>
      </c>
      <c r="G28" s="165">
        <f>Data!AQ31</f>
        <v>0</v>
      </c>
      <c r="H28" s="165">
        <f>Data!AR31</f>
        <v>0</v>
      </c>
      <c r="I28" s="165">
        <f>Data!AS31</f>
        <v>0</v>
      </c>
      <c r="J28" s="165">
        <f>Data!AT31</f>
        <v>0</v>
      </c>
      <c r="K28" s="165">
        <f>Data!AU31</f>
        <v>0</v>
      </c>
      <c r="L28" s="165">
        <f>Data!AV31</f>
        <v>2</v>
      </c>
      <c r="M28" s="165">
        <f>Data!AW31</f>
        <v>9</v>
      </c>
      <c r="N28" s="165">
        <f>Data!AX31</f>
        <v>10</v>
      </c>
      <c r="O28" s="165">
        <f>Data!AY31</f>
        <v>19</v>
      </c>
      <c r="P28" s="165">
        <f>Data!AZ31</f>
        <v>20</v>
      </c>
      <c r="Q28" s="165">
        <f>Data!BA31</f>
        <v>28</v>
      </c>
      <c r="R28" s="165">
        <f>Data!BB31</f>
        <v>26</v>
      </c>
      <c r="S28" s="165">
        <f>Data!BC31</f>
        <v>29</v>
      </c>
      <c r="T28" s="165">
        <f>Data!BD31</f>
        <v>22</v>
      </c>
      <c r="U28" s="165">
        <f>Data!BE31</f>
        <v>11</v>
      </c>
      <c r="V28" s="165">
        <f t="shared" si="0"/>
        <v>177</v>
      </c>
      <c r="W28" s="30"/>
    </row>
    <row r="29" spans="1:23" ht="12" customHeight="1">
      <c r="A29" s="29"/>
      <c r="B29" s="141" t="str">
        <f>UPPER(LEFT(TRIM(Data!B32),1)) &amp; MID(TRIM(Data!B32),2,50)</f>
        <v>Šlapimo pūslės</v>
      </c>
      <c r="C29" s="170" t="str">
        <f>Data!C32</f>
        <v>C67</v>
      </c>
      <c r="D29" s="171">
        <f>Data!AN32</f>
        <v>0</v>
      </c>
      <c r="E29" s="171">
        <f>Data!AO32</f>
        <v>0</v>
      </c>
      <c r="F29" s="171">
        <f>Data!AP32</f>
        <v>0</v>
      </c>
      <c r="G29" s="171">
        <f>Data!AQ32</f>
        <v>0</v>
      </c>
      <c r="H29" s="171">
        <f>Data!AR32</f>
        <v>0</v>
      </c>
      <c r="I29" s="171">
        <f>Data!AS32</f>
        <v>0</v>
      </c>
      <c r="J29" s="171">
        <f>Data!AT32</f>
        <v>0</v>
      </c>
      <c r="K29" s="171">
        <f>Data!AU32</f>
        <v>0</v>
      </c>
      <c r="L29" s="171">
        <f>Data!AV32</f>
        <v>0</v>
      </c>
      <c r="M29" s="171">
        <f>Data!AW32</f>
        <v>1</v>
      </c>
      <c r="N29" s="171">
        <f>Data!AX32</f>
        <v>3</v>
      </c>
      <c r="O29" s="171">
        <f>Data!AY32</f>
        <v>5</v>
      </c>
      <c r="P29" s="171">
        <f>Data!AZ32</f>
        <v>14</v>
      </c>
      <c r="Q29" s="171">
        <f>Data!BA32</f>
        <v>22</v>
      </c>
      <c r="R29" s="171">
        <f>Data!BB32</f>
        <v>25</v>
      </c>
      <c r="S29" s="171">
        <f>Data!BC32</f>
        <v>44</v>
      </c>
      <c r="T29" s="171">
        <f>Data!BD32</f>
        <v>36</v>
      </c>
      <c r="U29" s="171">
        <f>Data!BE32</f>
        <v>22</v>
      </c>
      <c r="V29" s="167">
        <f t="shared" si="0"/>
        <v>172</v>
      </c>
      <c r="W29" s="30"/>
    </row>
    <row r="30" spans="1:23" ht="12" customHeight="1">
      <c r="A30" s="29"/>
      <c r="B30" s="146" t="str">
        <f>UPPER(LEFT(TRIM(Data!B33),1)) &amp; MID(TRIM(Data!B33),2,50)</f>
        <v>Kitų šlapimą išskiriančių organų</v>
      </c>
      <c r="C30" s="146" t="str">
        <f>Data!C33</f>
        <v>C65, C66, C68</v>
      </c>
      <c r="D30" s="165">
        <f>Data!AN33</f>
        <v>0</v>
      </c>
      <c r="E30" s="165">
        <f>Data!AO33</f>
        <v>0</v>
      </c>
      <c r="F30" s="165">
        <f>Data!AP33</f>
        <v>0</v>
      </c>
      <c r="G30" s="165">
        <f>Data!AQ33</f>
        <v>0</v>
      </c>
      <c r="H30" s="165">
        <f>Data!AR33</f>
        <v>0</v>
      </c>
      <c r="I30" s="165">
        <f>Data!AS33</f>
        <v>0</v>
      </c>
      <c r="J30" s="165">
        <f>Data!AT33</f>
        <v>0</v>
      </c>
      <c r="K30" s="165">
        <f>Data!AU33</f>
        <v>0</v>
      </c>
      <c r="L30" s="165">
        <f>Data!AV33</f>
        <v>0</v>
      </c>
      <c r="M30" s="165">
        <f>Data!AW33</f>
        <v>0</v>
      </c>
      <c r="N30" s="165">
        <f>Data!AX33</f>
        <v>2</v>
      </c>
      <c r="O30" s="165">
        <f>Data!AY33</f>
        <v>0</v>
      </c>
      <c r="P30" s="165">
        <f>Data!AZ33</f>
        <v>1</v>
      </c>
      <c r="Q30" s="165">
        <f>Data!BA33</f>
        <v>2</v>
      </c>
      <c r="R30" s="165">
        <f>Data!BB33</f>
        <v>1</v>
      </c>
      <c r="S30" s="165">
        <f>Data!BC33</f>
        <v>2</v>
      </c>
      <c r="T30" s="165">
        <f>Data!BD33</f>
        <v>0</v>
      </c>
      <c r="U30" s="165">
        <f>Data!BE33</f>
        <v>0</v>
      </c>
      <c r="V30" s="165">
        <f t="shared" si="0"/>
        <v>8</v>
      </c>
      <c r="W30" s="30"/>
    </row>
    <row r="31" spans="1:23" ht="12" customHeight="1">
      <c r="A31" s="29"/>
      <c r="B31" s="141" t="str">
        <f>UPPER(LEFT(TRIM(Data!B34),1)) &amp; MID(TRIM(Data!B34),2,50)</f>
        <v>Akių</v>
      </c>
      <c r="C31" s="170" t="str">
        <f>Data!C34</f>
        <v>C69</v>
      </c>
      <c r="D31" s="171">
        <f>Data!AN34</f>
        <v>0</v>
      </c>
      <c r="E31" s="171">
        <f>Data!AO34</f>
        <v>0</v>
      </c>
      <c r="F31" s="171">
        <f>Data!AP34</f>
        <v>0</v>
      </c>
      <c r="G31" s="171">
        <f>Data!AQ34</f>
        <v>0</v>
      </c>
      <c r="H31" s="171">
        <f>Data!AR34</f>
        <v>0</v>
      </c>
      <c r="I31" s="171">
        <f>Data!AS34</f>
        <v>0</v>
      </c>
      <c r="J31" s="171">
        <f>Data!AT34</f>
        <v>0</v>
      </c>
      <c r="K31" s="171">
        <f>Data!AU34</f>
        <v>0</v>
      </c>
      <c r="L31" s="171">
        <f>Data!AV34</f>
        <v>0</v>
      </c>
      <c r="M31" s="171">
        <f>Data!AW34</f>
        <v>0</v>
      </c>
      <c r="N31" s="171">
        <f>Data!AX34</f>
        <v>0</v>
      </c>
      <c r="O31" s="171">
        <f>Data!AY34</f>
        <v>0</v>
      </c>
      <c r="P31" s="171">
        <f>Data!AZ34</f>
        <v>1</v>
      </c>
      <c r="Q31" s="171">
        <f>Data!BA34</f>
        <v>1</v>
      </c>
      <c r="R31" s="171">
        <f>Data!BB34</f>
        <v>2</v>
      </c>
      <c r="S31" s="171">
        <f>Data!BC34</f>
        <v>0</v>
      </c>
      <c r="T31" s="171">
        <f>Data!BD34</f>
        <v>0</v>
      </c>
      <c r="U31" s="171">
        <f>Data!BE34</f>
        <v>0</v>
      </c>
      <c r="V31" s="167">
        <f t="shared" si="0"/>
        <v>4</v>
      </c>
      <c r="W31" s="30"/>
    </row>
    <row r="32" spans="1:23" ht="12" customHeight="1">
      <c r="A32" s="29"/>
      <c r="B32" s="146" t="str">
        <f>UPPER(LEFT(TRIM(Data!B35),1)) &amp; MID(TRIM(Data!B35),2,50)</f>
        <v>Smegenų</v>
      </c>
      <c r="C32" s="146" t="str">
        <f>Data!C35</f>
        <v>C70-C72</v>
      </c>
      <c r="D32" s="165">
        <f>Data!AN35</f>
        <v>1</v>
      </c>
      <c r="E32" s="165">
        <f>Data!AO35</f>
        <v>1</v>
      </c>
      <c r="F32" s="165">
        <f>Data!AP35</f>
        <v>1</v>
      </c>
      <c r="G32" s="165">
        <f>Data!AQ35</f>
        <v>1</v>
      </c>
      <c r="H32" s="165">
        <f>Data!AR35</f>
        <v>1</v>
      </c>
      <c r="I32" s="165">
        <f>Data!AS35</f>
        <v>1</v>
      </c>
      <c r="J32" s="165">
        <f>Data!AT35</f>
        <v>2</v>
      </c>
      <c r="K32" s="165">
        <f>Data!AU35</f>
        <v>6</v>
      </c>
      <c r="L32" s="165">
        <f>Data!AV35</f>
        <v>4</v>
      </c>
      <c r="M32" s="165">
        <f>Data!AW35</f>
        <v>4</v>
      </c>
      <c r="N32" s="165">
        <f>Data!AX35</f>
        <v>15</v>
      </c>
      <c r="O32" s="165">
        <f>Data!AY35</f>
        <v>8</v>
      </c>
      <c r="P32" s="165">
        <f>Data!AZ35</f>
        <v>14</v>
      </c>
      <c r="Q32" s="165">
        <f>Data!BA35</f>
        <v>19</v>
      </c>
      <c r="R32" s="165">
        <f>Data!BB35</f>
        <v>21</v>
      </c>
      <c r="S32" s="165">
        <f>Data!BC35</f>
        <v>16</v>
      </c>
      <c r="T32" s="165">
        <f>Data!BD35</f>
        <v>10</v>
      </c>
      <c r="U32" s="165">
        <f>Data!BE35</f>
        <v>2</v>
      </c>
      <c r="V32" s="165">
        <f t="shared" si="0"/>
        <v>127</v>
      </c>
      <c r="W32" s="30"/>
    </row>
    <row r="33" spans="1:23" ht="12" customHeight="1">
      <c r="A33" s="29"/>
      <c r="B33" s="141" t="str">
        <f>UPPER(LEFT(TRIM(Data!B36),1)) &amp; MID(TRIM(Data!B36),2,50)</f>
        <v>Skydliaukės</v>
      </c>
      <c r="C33" s="170" t="str">
        <f>Data!C36</f>
        <v>C73</v>
      </c>
      <c r="D33" s="171">
        <f>Data!AN36</f>
        <v>0</v>
      </c>
      <c r="E33" s="171">
        <f>Data!AO36</f>
        <v>0</v>
      </c>
      <c r="F33" s="171">
        <f>Data!AP36</f>
        <v>0</v>
      </c>
      <c r="G33" s="171">
        <f>Data!AQ36</f>
        <v>0</v>
      </c>
      <c r="H33" s="171">
        <f>Data!AR36</f>
        <v>0</v>
      </c>
      <c r="I33" s="171">
        <f>Data!AS36</f>
        <v>0</v>
      </c>
      <c r="J33" s="171">
        <f>Data!AT36</f>
        <v>0</v>
      </c>
      <c r="K33" s="171">
        <f>Data!AU36</f>
        <v>0</v>
      </c>
      <c r="L33" s="171">
        <f>Data!AV36</f>
        <v>0</v>
      </c>
      <c r="M33" s="171">
        <f>Data!AW36</f>
        <v>0</v>
      </c>
      <c r="N33" s="171">
        <f>Data!AX36</f>
        <v>2</v>
      </c>
      <c r="O33" s="171">
        <f>Data!AY36</f>
        <v>0</v>
      </c>
      <c r="P33" s="171">
        <f>Data!AZ36</f>
        <v>1</v>
      </c>
      <c r="Q33" s="171">
        <f>Data!BA36</f>
        <v>1</v>
      </c>
      <c r="R33" s="171">
        <f>Data!BB36</f>
        <v>1</v>
      </c>
      <c r="S33" s="171">
        <f>Data!BC36</f>
        <v>2</v>
      </c>
      <c r="T33" s="171">
        <f>Data!BD36</f>
        <v>0</v>
      </c>
      <c r="U33" s="171">
        <f>Data!BE36</f>
        <v>0</v>
      </c>
      <c r="V33" s="167">
        <f t="shared" si="0"/>
        <v>7</v>
      </c>
      <c r="W33" s="30"/>
    </row>
    <row r="34" spans="1:23" ht="12" customHeight="1">
      <c r="A34" s="29"/>
      <c r="B34" s="146" t="str">
        <f>UPPER(LEFT(TRIM(Data!B37),1)) &amp; MID(TRIM(Data!B37),2,50)</f>
        <v>Kitų endokrininių liaukų</v>
      </c>
      <c r="C34" s="146" t="str">
        <f>Data!C37</f>
        <v>C74-C75</v>
      </c>
      <c r="D34" s="165">
        <f>Data!AN37</f>
        <v>0</v>
      </c>
      <c r="E34" s="165">
        <f>Data!AO37</f>
        <v>0</v>
      </c>
      <c r="F34" s="165">
        <f>Data!AP37</f>
        <v>0</v>
      </c>
      <c r="G34" s="165">
        <f>Data!AQ37</f>
        <v>0</v>
      </c>
      <c r="H34" s="165">
        <f>Data!AR37</f>
        <v>0</v>
      </c>
      <c r="I34" s="165">
        <f>Data!AS37</f>
        <v>0</v>
      </c>
      <c r="J34" s="165">
        <f>Data!AT37</f>
        <v>0</v>
      </c>
      <c r="K34" s="165">
        <f>Data!AU37</f>
        <v>0</v>
      </c>
      <c r="L34" s="165">
        <f>Data!AV37</f>
        <v>0</v>
      </c>
      <c r="M34" s="165">
        <f>Data!AW37</f>
        <v>0</v>
      </c>
      <c r="N34" s="165">
        <f>Data!AX37</f>
        <v>0</v>
      </c>
      <c r="O34" s="165">
        <f>Data!AY37</f>
        <v>0</v>
      </c>
      <c r="P34" s="165">
        <f>Data!AZ37</f>
        <v>1</v>
      </c>
      <c r="Q34" s="165">
        <f>Data!BA37</f>
        <v>0</v>
      </c>
      <c r="R34" s="165">
        <f>Data!BB37</f>
        <v>0</v>
      </c>
      <c r="S34" s="165">
        <f>Data!BC37</f>
        <v>1</v>
      </c>
      <c r="T34" s="165">
        <f>Data!BD37</f>
        <v>0</v>
      </c>
      <c r="U34" s="165">
        <f>Data!BE37</f>
        <v>0</v>
      </c>
      <c r="V34" s="165">
        <f t="shared" si="0"/>
        <v>2</v>
      </c>
      <c r="W34" s="30"/>
    </row>
    <row r="35" spans="1:23" ht="12" customHeight="1">
      <c r="A35" s="29"/>
      <c r="B35" s="141" t="str">
        <f>UPPER(LEFT(TRIM(Data!B38),1)) &amp; MID(TRIM(Data!B38),2,50)</f>
        <v>Nepatikslintos lokalizacijos</v>
      </c>
      <c r="C35" s="170" t="str">
        <f>Data!C38</f>
        <v>C76-C80</v>
      </c>
      <c r="D35" s="171">
        <f>Data!AN38</f>
        <v>0</v>
      </c>
      <c r="E35" s="171">
        <f>Data!AO38</f>
        <v>0</v>
      </c>
      <c r="F35" s="171">
        <f>Data!AP38</f>
        <v>0</v>
      </c>
      <c r="G35" s="171">
        <f>Data!AQ38</f>
        <v>0</v>
      </c>
      <c r="H35" s="171">
        <f>Data!AR38</f>
        <v>0</v>
      </c>
      <c r="I35" s="171">
        <f>Data!AS38</f>
        <v>0</v>
      </c>
      <c r="J35" s="171">
        <f>Data!AT38</f>
        <v>1</v>
      </c>
      <c r="K35" s="171">
        <f>Data!AU38</f>
        <v>1</v>
      </c>
      <c r="L35" s="171">
        <f>Data!AV38</f>
        <v>2</v>
      </c>
      <c r="M35" s="171">
        <f>Data!AW38</f>
        <v>7</v>
      </c>
      <c r="N35" s="171">
        <f>Data!AX38</f>
        <v>7</v>
      </c>
      <c r="O35" s="171">
        <f>Data!AY38</f>
        <v>18</v>
      </c>
      <c r="P35" s="171">
        <f>Data!AZ38</f>
        <v>32</v>
      </c>
      <c r="Q35" s="171">
        <f>Data!BA38</f>
        <v>30</v>
      </c>
      <c r="R35" s="171">
        <f>Data!BB38</f>
        <v>42</v>
      </c>
      <c r="S35" s="171">
        <f>Data!BC38</f>
        <v>39</v>
      </c>
      <c r="T35" s="171">
        <f>Data!BD38</f>
        <v>25</v>
      </c>
      <c r="U35" s="171">
        <f>Data!BE38</f>
        <v>23</v>
      </c>
      <c r="V35" s="167">
        <f t="shared" si="0"/>
        <v>227</v>
      </c>
      <c r="W35" s="30"/>
    </row>
    <row r="36" spans="1:23" ht="12" customHeight="1">
      <c r="A36" s="29"/>
      <c r="B36" s="146" t="str">
        <f>UPPER(LEFT(TRIM(Data!B39),1)) &amp; MID(TRIM(Data!B39),2,50)</f>
        <v>Hodžkino limfomos</v>
      </c>
      <c r="C36" s="146" t="str">
        <f>Data!C39</f>
        <v>C81</v>
      </c>
      <c r="D36" s="165">
        <f>Data!AN39</f>
        <v>0</v>
      </c>
      <c r="E36" s="165">
        <f>Data!AO39</f>
        <v>0</v>
      </c>
      <c r="F36" s="165">
        <f>Data!AP39</f>
        <v>0</v>
      </c>
      <c r="G36" s="165">
        <f>Data!AQ39</f>
        <v>0</v>
      </c>
      <c r="H36" s="165">
        <f>Data!AR39</f>
        <v>0</v>
      </c>
      <c r="I36" s="165">
        <f>Data!AS39</f>
        <v>0</v>
      </c>
      <c r="J36" s="165">
        <f>Data!AT39</f>
        <v>0</v>
      </c>
      <c r="K36" s="165">
        <f>Data!AU39</f>
        <v>0</v>
      </c>
      <c r="L36" s="165">
        <f>Data!AV39</f>
        <v>0</v>
      </c>
      <c r="M36" s="165">
        <f>Data!AW39</f>
        <v>0</v>
      </c>
      <c r="N36" s="165">
        <f>Data!AX39</f>
        <v>1</v>
      </c>
      <c r="O36" s="165">
        <f>Data!AY39</f>
        <v>1</v>
      </c>
      <c r="P36" s="165">
        <f>Data!AZ39</f>
        <v>1</v>
      </c>
      <c r="Q36" s="165">
        <f>Data!BA39</f>
        <v>0</v>
      </c>
      <c r="R36" s="165">
        <f>Data!BB39</f>
        <v>0</v>
      </c>
      <c r="S36" s="165">
        <f>Data!BC39</f>
        <v>2</v>
      </c>
      <c r="T36" s="165">
        <f>Data!BD39</f>
        <v>0</v>
      </c>
      <c r="U36" s="165">
        <f>Data!BE39</f>
        <v>1</v>
      </c>
      <c r="V36" s="165">
        <f t="shared" si="0"/>
        <v>6</v>
      </c>
      <c r="W36" s="30"/>
    </row>
    <row r="37" spans="1:23" ht="12" customHeight="1">
      <c r="A37" s="29"/>
      <c r="B37" s="141" t="str">
        <f>UPPER(LEFT(TRIM(Data!B40),1)) &amp; MID(TRIM(Data!B40),2,50)</f>
        <v>Ne Hodžkino limfomos</v>
      </c>
      <c r="C37" s="170" t="str">
        <f>Data!C40</f>
        <v>C82-C85</v>
      </c>
      <c r="D37" s="171">
        <f>Data!AN40</f>
        <v>0</v>
      </c>
      <c r="E37" s="171">
        <f>Data!AO40</f>
        <v>0</v>
      </c>
      <c r="F37" s="171">
        <f>Data!AP40</f>
        <v>0</v>
      </c>
      <c r="G37" s="171">
        <f>Data!AQ40</f>
        <v>1</v>
      </c>
      <c r="H37" s="171">
        <f>Data!AR40</f>
        <v>1</v>
      </c>
      <c r="I37" s="171">
        <f>Data!AS40</f>
        <v>0</v>
      </c>
      <c r="J37" s="171">
        <f>Data!AT40</f>
        <v>0</v>
      </c>
      <c r="K37" s="171">
        <f>Data!AU40</f>
        <v>0</v>
      </c>
      <c r="L37" s="171">
        <f>Data!AV40</f>
        <v>0</v>
      </c>
      <c r="M37" s="171">
        <f>Data!AW40</f>
        <v>2</v>
      </c>
      <c r="N37" s="171">
        <f>Data!AX40</f>
        <v>7</v>
      </c>
      <c r="O37" s="171">
        <f>Data!AY40</f>
        <v>5</v>
      </c>
      <c r="P37" s="171">
        <f>Data!AZ40</f>
        <v>6</v>
      </c>
      <c r="Q37" s="171">
        <f>Data!BA40</f>
        <v>9</v>
      </c>
      <c r="R37" s="171">
        <f>Data!BB40</f>
        <v>13</v>
      </c>
      <c r="S37" s="171">
        <f>Data!BC40</f>
        <v>18</v>
      </c>
      <c r="T37" s="171">
        <f>Data!BD40</f>
        <v>6</v>
      </c>
      <c r="U37" s="171">
        <f>Data!BE40</f>
        <v>7</v>
      </c>
      <c r="V37" s="167">
        <f t="shared" si="0"/>
        <v>75</v>
      </c>
      <c r="W37" s="30"/>
    </row>
    <row r="38" spans="1:23" ht="12" customHeight="1">
      <c r="A38" s="29"/>
      <c r="B38" s="146" t="str">
        <f>UPPER(LEFT(TRIM(Data!B41),1)) &amp; MID(TRIM(Data!B41),2,50)</f>
        <v>Mielominės ligos</v>
      </c>
      <c r="C38" s="146" t="str">
        <f>Data!C41</f>
        <v>C90</v>
      </c>
      <c r="D38" s="165">
        <f>Data!AN41</f>
        <v>0</v>
      </c>
      <c r="E38" s="165">
        <f>Data!AO41</f>
        <v>0</v>
      </c>
      <c r="F38" s="165">
        <f>Data!AP41</f>
        <v>0</v>
      </c>
      <c r="G38" s="165">
        <f>Data!AQ41</f>
        <v>0</v>
      </c>
      <c r="H38" s="165">
        <f>Data!AR41</f>
        <v>0</v>
      </c>
      <c r="I38" s="165">
        <f>Data!AS41</f>
        <v>0</v>
      </c>
      <c r="J38" s="165">
        <f>Data!AT41</f>
        <v>0</v>
      </c>
      <c r="K38" s="165">
        <f>Data!AU41</f>
        <v>0</v>
      </c>
      <c r="L38" s="165">
        <f>Data!AV41</f>
        <v>0</v>
      </c>
      <c r="M38" s="165">
        <f>Data!AW41</f>
        <v>2</v>
      </c>
      <c r="N38" s="165">
        <f>Data!AX41</f>
        <v>4</v>
      </c>
      <c r="O38" s="165">
        <f>Data!AY41</f>
        <v>6</v>
      </c>
      <c r="P38" s="165">
        <f>Data!AZ41</f>
        <v>2</v>
      </c>
      <c r="Q38" s="165">
        <f>Data!BA41</f>
        <v>1</v>
      </c>
      <c r="R38" s="165">
        <f>Data!BB41</f>
        <v>3</v>
      </c>
      <c r="S38" s="165">
        <f>Data!BC41</f>
        <v>13</v>
      </c>
      <c r="T38" s="165">
        <f>Data!BD41</f>
        <v>4</v>
      </c>
      <c r="U38" s="165">
        <f>Data!BE41</f>
        <v>3</v>
      </c>
      <c r="V38" s="165">
        <f t="shared" si="0"/>
        <v>38</v>
      </c>
      <c r="W38" s="30"/>
    </row>
    <row r="39" spans="1:23" ht="12" customHeight="1">
      <c r="A39" s="29"/>
      <c r="B39" s="141" t="str">
        <f>UPPER(LEFT(TRIM(Data!B42),1)) &amp; MID(TRIM(Data!B42),2,50)</f>
        <v>Leukemijos</v>
      </c>
      <c r="C39" s="170" t="str">
        <f>Data!C42</f>
        <v>C91-C95</v>
      </c>
      <c r="D39" s="171">
        <f>Data!AN42</f>
        <v>0</v>
      </c>
      <c r="E39" s="171">
        <f>Data!AO42</f>
        <v>1</v>
      </c>
      <c r="F39" s="171">
        <f>Data!AP42</f>
        <v>1</v>
      </c>
      <c r="G39" s="171">
        <f>Data!AQ42</f>
        <v>1</v>
      </c>
      <c r="H39" s="171">
        <f>Data!AR42</f>
        <v>2</v>
      </c>
      <c r="I39" s="171">
        <f>Data!AS42</f>
        <v>0</v>
      </c>
      <c r="J39" s="171">
        <f>Data!AT42</f>
        <v>2</v>
      </c>
      <c r="K39" s="171">
        <f>Data!AU42</f>
        <v>2</v>
      </c>
      <c r="L39" s="171">
        <f>Data!AV42</f>
        <v>1</v>
      </c>
      <c r="M39" s="171">
        <f>Data!AW42</f>
        <v>1</v>
      </c>
      <c r="N39" s="171">
        <f>Data!AX42</f>
        <v>6</v>
      </c>
      <c r="O39" s="171">
        <f>Data!AY42</f>
        <v>3</v>
      </c>
      <c r="P39" s="171">
        <f>Data!AZ42</f>
        <v>9</v>
      </c>
      <c r="Q39" s="171">
        <f>Data!BA42</f>
        <v>15</v>
      </c>
      <c r="R39" s="171">
        <f>Data!BB42</f>
        <v>23</v>
      </c>
      <c r="S39" s="171">
        <f>Data!BC42</f>
        <v>25</v>
      </c>
      <c r="T39" s="171">
        <f>Data!BD42</f>
        <v>18</v>
      </c>
      <c r="U39" s="171">
        <f>Data!BE42</f>
        <v>14</v>
      </c>
      <c r="V39" s="167">
        <f t="shared" si="0"/>
        <v>124</v>
      </c>
      <c r="W39" s="30"/>
    </row>
    <row r="40" spans="1:23" ht="12" customHeight="1">
      <c r="A40" s="29"/>
      <c r="B40" s="146" t="str">
        <f>UPPER(LEFT(TRIM(Data!B43),1)) &amp; MID(TRIM(Data!B43),2,50)</f>
        <v>Kiti limfinio, kraujodaros audinių</v>
      </c>
      <c r="C40" s="146" t="str">
        <f>Data!C43</f>
        <v>C88, C96</v>
      </c>
      <c r="D40" s="165">
        <f>Data!AN43</f>
        <v>0</v>
      </c>
      <c r="E40" s="165">
        <f>Data!AO43</f>
        <v>0</v>
      </c>
      <c r="F40" s="165">
        <f>Data!AP43</f>
        <v>0</v>
      </c>
      <c r="G40" s="165">
        <f>Data!AQ43</f>
        <v>0</v>
      </c>
      <c r="H40" s="165">
        <f>Data!AR43</f>
        <v>0</v>
      </c>
      <c r="I40" s="165">
        <f>Data!AS43</f>
        <v>0</v>
      </c>
      <c r="J40" s="165">
        <f>Data!AT43</f>
        <v>0</v>
      </c>
      <c r="K40" s="165">
        <f>Data!AU43</f>
        <v>0</v>
      </c>
      <c r="L40" s="165">
        <f>Data!AV43</f>
        <v>0</v>
      </c>
      <c r="M40" s="165">
        <f>Data!AW43</f>
        <v>0</v>
      </c>
      <c r="N40" s="165">
        <f>Data!AX43</f>
        <v>0</v>
      </c>
      <c r="O40" s="165">
        <f>Data!AY43</f>
        <v>1</v>
      </c>
      <c r="P40" s="165">
        <f>Data!AZ43</f>
        <v>0</v>
      </c>
      <c r="Q40" s="165">
        <f>Data!BA43</f>
        <v>0</v>
      </c>
      <c r="R40" s="165">
        <f>Data!BB43</f>
        <v>0</v>
      </c>
      <c r="S40" s="165">
        <f>Data!BC43</f>
        <v>0</v>
      </c>
      <c r="T40" s="165">
        <f>Data!BD43</f>
        <v>0</v>
      </c>
      <c r="U40" s="165">
        <f>Data!BE43</f>
        <v>0</v>
      </c>
      <c r="V40" s="165">
        <f t="shared" si="0"/>
        <v>1</v>
      </c>
      <c r="W40" s="30"/>
    </row>
    <row r="41" spans="1:23" ht="22.5" customHeight="1">
      <c r="A41" s="29"/>
      <c r="B41" s="96"/>
      <c r="C41" s="113"/>
      <c r="D41" s="114"/>
      <c r="E41" s="114"/>
      <c r="F41" s="114"/>
      <c r="G41" s="114"/>
      <c r="H41" s="114"/>
      <c r="I41" s="114"/>
      <c r="J41" s="114"/>
      <c r="K41" s="114"/>
      <c r="L41" s="114"/>
      <c r="M41" s="114"/>
      <c r="N41" s="114"/>
      <c r="O41" s="114"/>
      <c r="P41" s="114"/>
      <c r="Q41" s="114"/>
      <c r="R41" s="114"/>
      <c r="S41" s="114"/>
      <c r="T41" s="114"/>
      <c r="U41" s="114"/>
      <c r="V41" s="114"/>
      <c r="W41" s="30"/>
    </row>
    <row r="42" spans="1:23" ht="11.25" customHeight="1">
      <c r="A42" s="29"/>
      <c r="B42" s="93" t="str">
        <f>UPPER(LEFT(TRIM(Data!B44),1)) &amp; MID(TRIM(Data!B44),2,50)</f>
        <v>Melanoma in situ</v>
      </c>
      <c r="C42" s="93" t="str">
        <f>Data!C44</f>
        <v>D03</v>
      </c>
      <c r="D42" s="110">
        <f>Data!AN44</f>
        <v>0</v>
      </c>
      <c r="E42" s="110">
        <f>Data!AO44</f>
        <v>0</v>
      </c>
      <c r="F42" s="110">
        <f>Data!AP44</f>
        <v>0</v>
      </c>
      <c r="G42" s="110">
        <f>Data!AQ44</f>
        <v>0</v>
      </c>
      <c r="H42" s="110">
        <f>Data!AR44</f>
        <v>0</v>
      </c>
      <c r="I42" s="110">
        <f>Data!AS44</f>
        <v>0</v>
      </c>
      <c r="J42" s="110">
        <f>Data!AT44</f>
        <v>0</v>
      </c>
      <c r="K42" s="110">
        <f>Data!AU44</f>
        <v>0</v>
      </c>
      <c r="L42" s="110">
        <f>Data!AV44</f>
        <v>0</v>
      </c>
      <c r="M42" s="110">
        <f>Data!AW44</f>
        <v>0</v>
      </c>
      <c r="N42" s="110">
        <f>Data!AX44</f>
        <v>0</v>
      </c>
      <c r="O42" s="110">
        <f>Data!AY44</f>
        <v>0</v>
      </c>
      <c r="P42" s="110">
        <f>Data!AZ44</f>
        <v>0</v>
      </c>
      <c r="Q42" s="110">
        <f>Data!BA44</f>
        <v>0</v>
      </c>
      <c r="R42" s="110">
        <f>Data!BB44</f>
        <v>0</v>
      </c>
      <c r="S42" s="110">
        <f>Data!BC44</f>
        <v>0</v>
      </c>
      <c r="T42" s="110">
        <f>Data!BD44</f>
        <v>0</v>
      </c>
      <c r="U42" s="110">
        <f>Data!BE44</f>
        <v>0</v>
      </c>
      <c r="V42" s="110">
        <f t="shared" si="0"/>
        <v>0</v>
      </c>
      <c r="W42" s="30"/>
    </row>
    <row r="43" spans="1:23" ht="11.25" customHeight="1">
      <c r="A43" s="29"/>
      <c r="B43" s="95" t="str">
        <f>UPPER(LEFT(TRIM(Data!B45),1)) &amp; MID(TRIM(Data!B45),2,50)</f>
        <v>Krūties navikai in situ</v>
      </c>
      <c r="C43" s="111" t="str">
        <f>Data!C45</f>
        <v>D05</v>
      </c>
      <c r="D43" s="112">
        <f>Data!AN45</f>
        <v>0</v>
      </c>
      <c r="E43" s="112">
        <f>Data!AO45</f>
        <v>0</v>
      </c>
      <c r="F43" s="112">
        <f>Data!AP45</f>
        <v>0</v>
      </c>
      <c r="G43" s="112">
        <f>Data!AQ45</f>
        <v>0</v>
      </c>
      <c r="H43" s="112">
        <f>Data!AR45</f>
        <v>0</v>
      </c>
      <c r="I43" s="112">
        <f>Data!AS45</f>
        <v>0</v>
      </c>
      <c r="J43" s="112">
        <f>Data!AT45</f>
        <v>0</v>
      </c>
      <c r="K43" s="112">
        <f>Data!AU45</f>
        <v>0</v>
      </c>
      <c r="L43" s="112">
        <f>Data!AV45</f>
        <v>0</v>
      </c>
      <c r="M43" s="112">
        <f>Data!AW45</f>
        <v>0</v>
      </c>
      <c r="N43" s="112">
        <f>Data!AX45</f>
        <v>0</v>
      </c>
      <c r="O43" s="112">
        <f>Data!AY45</f>
        <v>0</v>
      </c>
      <c r="P43" s="112">
        <f>Data!AZ45</f>
        <v>0</v>
      </c>
      <c r="Q43" s="112">
        <f>Data!BA45</f>
        <v>0</v>
      </c>
      <c r="R43" s="112">
        <f>Data!BB45</f>
        <v>0</v>
      </c>
      <c r="S43" s="112">
        <f>Data!BC45</f>
        <v>0</v>
      </c>
      <c r="T43" s="112">
        <f>Data!BD45</f>
        <v>0</v>
      </c>
      <c r="U43" s="112">
        <f>Data!BE45</f>
        <v>0</v>
      </c>
      <c r="V43" s="119">
        <f t="shared" si="0"/>
        <v>0</v>
      </c>
      <c r="W43" s="30"/>
    </row>
    <row r="44" spans="1:23" ht="11.25" customHeight="1">
      <c r="A44" s="29"/>
      <c r="B44" s="99" t="str">
        <f>UPPER(LEFT(TRIM(Data!B47),1)) &amp; MID(TRIM(Data!B47),2,50)</f>
        <v>Šlapimo pūslės in situ</v>
      </c>
      <c r="C44" s="99" t="str">
        <f>Data!C47</f>
        <v>D09.0</v>
      </c>
      <c r="D44" s="118">
        <f>Data!AN47</f>
        <v>0</v>
      </c>
      <c r="E44" s="118">
        <f>Data!AO47</f>
        <v>0</v>
      </c>
      <c r="F44" s="118">
        <f>Data!AP47</f>
        <v>0</v>
      </c>
      <c r="G44" s="118">
        <f>Data!AQ47</f>
        <v>0</v>
      </c>
      <c r="H44" s="118">
        <f>Data!AR47</f>
        <v>0</v>
      </c>
      <c r="I44" s="118">
        <f>Data!AS47</f>
        <v>0</v>
      </c>
      <c r="J44" s="118">
        <f>Data!AT47</f>
        <v>0</v>
      </c>
      <c r="K44" s="118">
        <f>Data!AU47</f>
        <v>0</v>
      </c>
      <c r="L44" s="118">
        <f>Data!AV47</f>
        <v>0</v>
      </c>
      <c r="M44" s="118">
        <f>Data!AW47</f>
        <v>0</v>
      </c>
      <c r="N44" s="118">
        <f>Data!AX47</f>
        <v>0</v>
      </c>
      <c r="O44" s="118">
        <f>Data!AY47</f>
        <v>0</v>
      </c>
      <c r="P44" s="118">
        <f>Data!AZ47</f>
        <v>0</v>
      </c>
      <c r="Q44" s="118">
        <f>Data!BA47</f>
        <v>0</v>
      </c>
      <c r="R44" s="118">
        <f>Data!BB47</f>
        <v>0</v>
      </c>
      <c r="S44" s="118">
        <f>Data!BC47</f>
        <v>0</v>
      </c>
      <c r="T44" s="118">
        <f>Data!BD47</f>
        <v>0</v>
      </c>
      <c r="U44" s="118">
        <f>Data!BE47</f>
        <v>0</v>
      </c>
      <c r="V44" s="118">
        <f t="shared" si="0"/>
        <v>0</v>
      </c>
      <c r="W44" s="30"/>
    </row>
    <row r="45" spans="1:23" ht="11.25" customHeight="1">
      <c r="A45" s="29"/>
      <c r="B45" s="95" t="str">
        <f>UPPER(LEFT(TRIM(Data!B48),1)) &amp; MID(TRIM(Data!B48),2,50)</f>
        <v>Nervų sistemos gerybiniai navikai</v>
      </c>
      <c r="C45" s="111" t="str">
        <f>Data!C48</f>
        <v>D32, D33</v>
      </c>
      <c r="D45" s="112">
        <f>Data!AN48</f>
        <v>0</v>
      </c>
      <c r="E45" s="112">
        <f>Data!AO48</f>
        <v>0</v>
      </c>
      <c r="F45" s="112">
        <f>Data!AP48</f>
        <v>0</v>
      </c>
      <c r="G45" s="112">
        <f>Data!AQ48</f>
        <v>0</v>
      </c>
      <c r="H45" s="112">
        <f>Data!AR48</f>
        <v>0</v>
      </c>
      <c r="I45" s="112">
        <f>Data!AS48</f>
        <v>0</v>
      </c>
      <c r="J45" s="112">
        <f>Data!AT48</f>
        <v>0</v>
      </c>
      <c r="K45" s="112">
        <f>Data!AU48</f>
        <v>0</v>
      </c>
      <c r="L45" s="112">
        <f>Data!AV48</f>
        <v>0</v>
      </c>
      <c r="M45" s="112">
        <f>Data!AW48</f>
        <v>0</v>
      </c>
      <c r="N45" s="112">
        <f>Data!AX48</f>
        <v>0</v>
      </c>
      <c r="O45" s="112">
        <f>Data!AY48</f>
        <v>0</v>
      </c>
      <c r="P45" s="112">
        <f>Data!AZ48</f>
        <v>1</v>
      </c>
      <c r="Q45" s="112">
        <f>Data!BA48</f>
        <v>2</v>
      </c>
      <c r="R45" s="112">
        <f>Data!BB48</f>
        <v>2</v>
      </c>
      <c r="S45" s="112">
        <f>Data!BC48</f>
        <v>2</v>
      </c>
      <c r="T45" s="112">
        <f>Data!BD48</f>
        <v>1</v>
      </c>
      <c r="U45" s="112">
        <f>Data!BE48</f>
        <v>3</v>
      </c>
      <c r="V45" s="119">
        <f t="shared" si="0"/>
        <v>11</v>
      </c>
      <c r="W45" s="30"/>
    </row>
    <row r="46" spans="1:23" ht="11.25" customHeight="1">
      <c r="A46" s="29"/>
      <c r="B46" s="99" t="str">
        <f>UPPER(LEFT(TRIM(Data!B50),1)) &amp; MID(TRIM(Data!B50),2,50)</f>
        <v>Kiti nervų sistemos</v>
      </c>
      <c r="C46" s="99" t="str">
        <f>Data!C50</f>
        <v>D42, D43</v>
      </c>
      <c r="D46" s="118">
        <f>Data!AN50</f>
        <v>0</v>
      </c>
      <c r="E46" s="118">
        <f>Data!AO50</f>
        <v>1</v>
      </c>
      <c r="F46" s="118">
        <f>Data!AP50</f>
        <v>0</v>
      </c>
      <c r="G46" s="118">
        <f>Data!AQ50</f>
        <v>0</v>
      </c>
      <c r="H46" s="118">
        <f>Data!AR50</f>
        <v>0</v>
      </c>
      <c r="I46" s="118">
        <f>Data!AS50</f>
        <v>0</v>
      </c>
      <c r="J46" s="118">
        <f>Data!AT50</f>
        <v>0</v>
      </c>
      <c r="K46" s="118">
        <f>Data!AU50</f>
        <v>0</v>
      </c>
      <c r="L46" s="118">
        <f>Data!AV50</f>
        <v>0</v>
      </c>
      <c r="M46" s="118">
        <f>Data!AW50</f>
        <v>1</v>
      </c>
      <c r="N46" s="118">
        <f>Data!AX50</f>
        <v>0</v>
      </c>
      <c r="O46" s="118">
        <f>Data!AY50</f>
        <v>0</v>
      </c>
      <c r="P46" s="118">
        <f>Data!AZ50</f>
        <v>0</v>
      </c>
      <c r="Q46" s="118">
        <f>Data!BA50</f>
        <v>1</v>
      </c>
      <c r="R46" s="118">
        <f>Data!BB50</f>
        <v>0</v>
      </c>
      <c r="S46" s="118">
        <f>Data!BC50</f>
        <v>0</v>
      </c>
      <c r="T46" s="118">
        <f>Data!BD50</f>
        <v>0</v>
      </c>
      <c r="U46" s="118">
        <f>Data!BE50</f>
        <v>1</v>
      </c>
      <c r="V46" s="118">
        <f t="shared" si="0"/>
        <v>4</v>
      </c>
      <c r="W46" s="30"/>
    </row>
    <row r="47" spans="1:23" ht="11.25" customHeight="1">
      <c r="A47" s="29"/>
      <c r="B47" s="95" t="str">
        <f>UPPER(LEFT(TRIM(Data!B51),1)) &amp; MID(TRIM(Data!B51),2,50)</f>
        <v>Limfinio ir kraujodaros audinių</v>
      </c>
      <c r="C47" s="111" t="str">
        <f>Data!C51</f>
        <v>D45-D47</v>
      </c>
      <c r="D47" s="112">
        <f>Data!AN51</f>
        <v>0</v>
      </c>
      <c r="E47" s="112">
        <f>Data!AO51</f>
        <v>0</v>
      </c>
      <c r="F47" s="112">
        <f>Data!AP51</f>
        <v>0</v>
      </c>
      <c r="G47" s="112">
        <f>Data!AQ51</f>
        <v>0</v>
      </c>
      <c r="H47" s="112">
        <f>Data!AR51</f>
        <v>0</v>
      </c>
      <c r="I47" s="112">
        <f>Data!AS51</f>
        <v>0</v>
      </c>
      <c r="J47" s="112">
        <f>Data!AT51</f>
        <v>0</v>
      </c>
      <c r="K47" s="112">
        <f>Data!AU51</f>
        <v>0</v>
      </c>
      <c r="L47" s="112">
        <f>Data!AV51</f>
        <v>0</v>
      </c>
      <c r="M47" s="112">
        <f>Data!AW51</f>
        <v>0</v>
      </c>
      <c r="N47" s="112">
        <f>Data!AX51</f>
        <v>0</v>
      </c>
      <c r="O47" s="112">
        <f>Data!AY51</f>
        <v>3</v>
      </c>
      <c r="P47" s="112">
        <f>Data!AZ51</f>
        <v>4</v>
      </c>
      <c r="Q47" s="112">
        <f>Data!BA51</f>
        <v>4</v>
      </c>
      <c r="R47" s="112">
        <f>Data!BB51</f>
        <v>7</v>
      </c>
      <c r="S47" s="112">
        <f>Data!BC51</f>
        <v>8</v>
      </c>
      <c r="T47" s="112">
        <f>Data!BD51</f>
        <v>8</v>
      </c>
      <c r="U47" s="112">
        <f>Data!BE51</f>
        <v>1</v>
      </c>
      <c r="V47" s="119">
        <f t="shared" si="0"/>
        <v>35</v>
      </c>
      <c r="W47" s="30"/>
    </row>
    <row r="48" spans="1:23" ht="11.25" customHeight="1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</row>
    <row r="49" spans="1:23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</row>
  </sheetData>
  <mergeCells count="4">
    <mergeCell ref="B4:B5"/>
    <mergeCell ref="C4:C5"/>
    <mergeCell ref="D4:U4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tabColor theme="9" tint="0.39997558519241921"/>
  </sheetPr>
  <dimension ref="A1:W54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23.7109375" customWidth="1"/>
    <col min="4" max="22" width="6" customWidth="1"/>
    <col min="23" max="34" width="0.85546875" customWidth="1"/>
  </cols>
  <sheetData>
    <row r="1" spans="1:23" ht="15">
      <c r="A1" s="64"/>
      <c r="B1" s="507" t="s">
        <v>403</v>
      </c>
      <c r="C1" s="520"/>
      <c r="D1" s="520"/>
      <c r="E1" s="520"/>
      <c r="F1" s="520"/>
      <c r="G1" s="520"/>
      <c r="H1" s="64"/>
      <c r="I1" s="64"/>
      <c r="J1" s="64"/>
      <c r="K1" s="64"/>
      <c r="L1" s="64"/>
      <c r="M1" s="64"/>
      <c r="N1" s="64"/>
      <c r="O1" s="64"/>
      <c r="P1" s="64"/>
      <c r="Q1" s="64"/>
      <c r="R1" s="64"/>
      <c r="S1" s="64"/>
      <c r="T1" s="64"/>
      <c r="U1" s="64"/>
      <c r="V1" s="64"/>
      <c r="W1" s="66"/>
    </row>
    <row r="2" spans="1:23">
      <c r="A2" s="64"/>
      <c r="B2" s="508" t="str">
        <f>"Mirčių dėl piktybinių navikų, atvejų skaičius pagal amžiaus grupes  " &amp; GrafikaiSerg!A1 &amp; " metais. Moterys."</f>
        <v>Mirčių dėl piktybinių navikų, atvejų skaičius pagal amžiaus grupes  2014 metais. Moterys.</v>
      </c>
      <c r="C2" s="508"/>
      <c r="D2" s="520"/>
      <c r="E2" s="510"/>
      <c r="F2" s="520"/>
      <c r="G2" s="520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6"/>
    </row>
    <row r="3" spans="1:23">
      <c r="A3" s="64"/>
      <c r="B3" s="68" t="s">
        <v>631</v>
      </c>
      <c r="C3" s="67"/>
      <c r="D3" s="64"/>
      <c r="E3" s="64"/>
      <c r="F3" s="64"/>
      <c r="G3" s="64"/>
      <c r="H3" s="64"/>
      <c r="I3" s="64"/>
      <c r="J3" s="64"/>
      <c r="K3" s="64"/>
      <c r="L3" s="64"/>
      <c r="M3" s="64"/>
      <c r="N3" s="64"/>
      <c r="O3" s="64"/>
      <c r="P3" s="64"/>
      <c r="Q3" s="64"/>
      <c r="R3" s="64"/>
      <c r="S3" s="64"/>
      <c r="T3" s="64"/>
      <c r="U3" s="64"/>
      <c r="V3" s="64"/>
      <c r="W3" s="66"/>
    </row>
    <row r="4" spans="1:23" ht="12.95" customHeight="1">
      <c r="A4" s="64"/>
      <c r="B4" s="425" t="s">
        <v>243</v>
      </c>
      <c r="C4" s="425" t="s">
        <v>244</v>
      </c>
      <c r="D4" s="430" t="s">
        <v>419</v>
      </c>
      <c r="E4" s="434"/>
      <c r="F4" s="434"/>
      <c r="G4" s="434"/>
      <c r="H4" s="434"/>
      <c r="I4" s="434"/>
      <c r="J4" s="434"/>
      <c r="K4" s="434"/>
      <c r="L4" s="434"/>
      <c r="M4" s="434"/>
      <c r="N4" s="434"/>
      <c r="O4" s="434"/>
      <c r="P4" s="434"/>
      <c r="Q4" s="434"/>
      <c r="R4" s="434"/>
      <c r="S4" s="434"/>
      <c r="T4" s="434"/>
      <c r="U4" s="429"/>
      <c r="V4" s="435" t="s">
        <v>429</v>
      </c>
      <c r="W4" s="66"/>
    </row>
    <row r="5" spans="1:23" s="27" customFormat="1" ht="12.95" customHeight="1" thickBot="1">
      <c r="A5" s="64"/>
      <c r="B5" s="426"/>
      <c r="C5" s="426"/>
      <c r="D5" s="169" t="s">
        <v>13</v>
      </c>
      <c r="E5" s="169" t="s">
        <v>11</v>
      </c>
      <c r="F5" s="169" t="s">
        <v>12</v>
      </c>
      <c r="G5" s="169" t="s">
        <v>14</v>
      </c>
      <c r="H5" s="169" t="s">
        <v>15</v>
      </c>
      <c r="I5" s="169" t="s">
        <v>16</v>
      </c>
      <c r="J5" s="169" t="s">
        <v>158</v>
      </c>
      <c r="K5" s="169" t="s">
        <v>17</v>
      </c>
      <c r="L5" s="169" t="s">
        <v>18</v>
      </c>
      <c r="M5" s="169" t="s">
        <v>19</v>
      </c>
      <c r="N5" s="169" t="s">
        <v>20</v>
      </c>
      <c r="O5" s="169" t="s">
        <v>21</v>
      </c>
      <c r="P5" s="169" t="s">
        <v>159</v>
      </c>
      <c r="Q5" s="169" t="s">
        <v>160</v>
      </c>
      <c r="R5" s="169" t="s">
        <v>161</v>
      </c>
      <c r="S5" s="169" t="s">
        <v>162</v>
      </c>
      <c r="T5" s="169" t="s">
        <v>22</v>
      </c>
      <c r="U5" s="169" t="s">
        <v>23</v>
      </c>
      <c r="V5" s="436"/>
      <c r="W5" s="64"/>
    </row>
    <row r="6" spans="1:23" s="27" customFormat="1" ht="12" customHeight="1" thickTop="1">
      <c r="A6" s="64"/>
      <c r="B6" s="146" t="str">
        <f>UPPER(LEFT(TRIM(Data!B5),1)) &amp; MID(TRIM(Data!B5),2,50)</f>
        <v>Piktybiniai navikai</v>
      </c>
      <c r="C6" s="146" t="str">
        <f>Data!C5</f>
        <v>C00-C96</v>
      </c>
      <c r="D6" s="165">
        <f>Data!DA5</f>
        <v>2</v>
      </c>
      <c r="E6" s="165">
        <f>Data!DB5</f>
        <v>2</v>
      </c>
      <c r="F6" s="165">
        <f>Data!DC5</f>
        <v>1</v>
      </c>
      <c r="G6" s="165">
        <f>Data!DD5</f>
        <v>1</v>
      </c>
      <c r="H6" s="165">
        <f>Data!DE5</f>
        <v>4</v>
      </c>
      <c r="I6" s="165">
        <f>Data!DF5</f>
        <v>7</v>
      </c>
      <c r="J6" s="165">
        <f>Data!DG5</f>
        <v>15</v>
      </c>
      <c r="K6" s="165">
        <f>Data!DH5</f>
        <v>22</v>
      </c>
      <c r="L6" s="165">
        <f>Data!DI5</f>
        <v>61</v>
      </c>
      <c r="M6" s="165">
        <f>Data!DJ5</f>
        <v>119</v>
      </c>
      <c r="N6" s="165">
        <f>Data!DK5</f>
        <v>185</v>
      </c>
      <c r="O6" s="165">
        <f>Data!DL5</f>
        <v>267</v>
      </c>
      <c r="P6" s="165">
        <f>Data!DM5</f>
        <v>323</v>
      </c>
      <c r="Q6" s="165">
        <f>Data!DN5</f>
        <v>358</v>
      </c>
      <c r="R6" s="165">
        <f>Data!DO5</f>
        <v>480</v>
      </c>
      <c r="S6" s="165">
        <f>Data!DP5</f>
        <v>558</v>
      </c>
      <c r="T6" s="165">
        <f>Data!DQ5</f>
        <v>583</v>
      </c>
      <c r="U6" s="165">
        <f>Data!DR5</f>
        <v>511</v>
      </c>
      <c r="V6" s="165">
        <f>SUM(D6:U6)</f>
        <v>3499</v>
      </c>
      <c r="W6" s="64"/>
    </row>
    <row r="7" spans="1:23" s="27" customFormat="1" ht="12" customHeight="1">
      <c r="A7" s="64"/>
      <c r="B7" s="147" t="str">
        <f>UPPER(LEFT(TRIM(Data!B6),1)) &amp; MID(TRIM(Data!B6),2,50)</f>
        <v>Lūpos</v>
      </c>
      <c r="C7" s="173" t="str">
        <f>Data!C6</f>
        <v>C00</v>
      </c>
      <c r="D7" s="167">
        <f>Data!DA6</f>
        <v>0</v>
      </c>
      <c r="E7" s="167">
        <f>Data!DB6</f>
        <v>0</v>
      </c>
      <c r="F7" s="167">
        <f>Data!DC6</f>
        <v>0</v>
      </c>
      <c r="G7" s="167">
        <f>Data!DD6</f>
        <v>0</v>
      </c>
      <c r="H7" s="167">
        <f>Data!DE6</f>
        <v>0</v>
      </c>
      <c r="I7" s="167">
        <f>Data!DF6</f>
        <v>0</v>
      </c>
      <c r="J7" s="167">
        <f>Data!DG6</f>
        <v>0</v>
      </c>
      <c r="K7" s="167">
        <f>Data!DH6</f>
        <v>0</v>
      </c>
      <c r="L7" s="167">
        <f>Data!DI6</f>
        <v>0</v>
      </c>
      <c r="M7" s="167">
        <f>Data!DJ6</f>
        <v>0</v>
      </c>
      <c r="N7" s="167">
        <f>Data!DK6</f>
        <v>0</v>
      </c>
      <c r="O7" s="167">
        <f>Data!DL6</f>
        <v>0</v>
      </c>
      <c r="P7" s="167">
        <f>Data!DM6</f>
        <v>0</v>
      </c>
      <c r="Q7" s="167">
        <f>Data!DN6</f>
        <v>0</v>
      </c>
      <c r="R7" s="167">
        <f>Data!DO6</f>
        <v>0</v>
      </c>
      <c r="S7" s="167">
        <f>Data!DP6</f>
        <v>0</v>
      </c>
      <c r="T7" s="167">
        <f>Data!DQ6</f>
        <v>0</v>
      </c>
      <c r="U7" s="167">
        <f>Data!DR6</f>
        <v>0</v>
      </c>
      <c r="V7" s="167">
        <f>SUM(D7:U7)</f>
        <v>0</v>
      </c>
      <c r="W7" s="64"/>
    </row>
    <row r="8" spans="1:23" s="27" customFormat="1" ht="12" customHeight="1">
      <c r="A8" s="64"/>
      <c r="B8" s="146" t="str">
        <f>UPPER(LEFT(TRIM(Data!B7),1)) &amp; MID(TRIM(Data!B7),2,50)</f>
        <v>Burnos ertmės ir ryklės</v>
      </c>
      <c r="C8" s="146" t="str">
        <f>Data!C7</f>
        <v>C01-C14</v>
      </c>
      <c r="D8" s="165">
        <f>Data!DA7</f>
        <v>0</v>
      </c>
      <c r="E8" s="165">
        <f>Data!DB7</f>
        <v>0</v>
      </c>
      <c r="F8" s="165">
        <f>Data!DC7</f>
        <v>0</v>
      </c>
      <c r="G8" s="165">
        <f>Data!DD7</f>
        <v>0</v>
      </c>
      <c r="H8" s="165">
        <f>Data!DE7</f>
        <v>0</v>
      </c>
      <c r="I8" s="165">
        <f>Data!DF7</f>
        <v>0</v>
      </c>
      <c r="J8" s="165">
        <f>Data!DG7</f>
        <v>0</v>
      </c>
      <c r="K8" s="165">
        <f>Data!DH7</f>
        <v>0</v>
      </c>
      <c r="L8" s="165">
        <f>Data!DI7</f>
        <v>0</v>
      </c>
      <c r="M8" s="165">
        <f>Data!DJ7</f>
        <v>4</v>
      </c>
      <c r="N8" s="165">
        <f>Data!DK7</f>
        <v>3</v>
      </c>
      <c r="O8" s="165">
        <f>Data!DL7</f>
        <v>2</v>
      </c>
      <c r="P8" s="165">
        <f>Data!DM7</f>
        <v>6</v>
      </c>
      <c r="Q8" s="165">
        <f>Data!DN7</f>
        <v>2</v>
      </c>
      <c r="R8" s="165">
        <f>Data!DO7</f>
        <v>5</v>
      </c>
      <c r="S8" s="165">
        <f>Data!DP7</f>
        <v>4</v>
      </c>
      <c r="T8" s="165">
        <f>Data!DQ7</f>
        <v>2</v>
      </c>
      <c r="U8" s="165">
        <f>Data!DR7</f>
        <v>2</v>
      </c>
      <c r="V8" s="165">
        <f>SUM(D8:U8)</f>
        <v>30</v>
      </c>
      <c r="W8" s="64"/>
    </row>
    <row r="9" spans="1:23" s="27" customFormat="1" ht="12" customHeight="1">
      <c r="A9" s="64"/>
      <c r="B9" s="147" t="str">
        <f>UPPER(LEFT(TRIM(Data!B8),1)) &amp; MID(TRIM(Data!B8),2,50)</f>
        <v>Stemplės</v>
      </c>
      <c r="C9" s="173" t="str">
        <f>Data!C8</f>
        <v>C15</v>
      </c>
      <c r="D9" s="167">
        <f>Data!DA8</f>
        <v>0</v>
      </c>
      <c r="E9" s="167">
        <f>Data!DB8</f>
        <v>0</v>
      </c>
      <c r="F9" s="167">
        <f>Data!DC8</f>
        <v>0</v>
      </c>
      <c r="G9" s="167">
        <f>Data!DD8</f>
        <v>0</v>
      </c>
      <c r="H9" s="167">
        <f>Data!DE8</f>
        <v>0</v>
      </c>
      <c r="I9" s="167">
        <f>Data!DF8</f>
        <v>0</v>
      </c>
      <c r="J9" s="167">
        <f>Data!DG8</f>
        <v>0</v>
      </c>
      <c r="K9" s="167">
        <f>Data!DH8</f>
        <v>0</v>
      </c>
      <c r="L9" s="167">
        <f>Data!DI8</f>
        <v>0</v>
      </c>
      <c r="M9" s="167">
        <f>Data!DJ8</f>
        <v>0</v>
      </c>
      <c r="N9" s="167">
        <f>Data!DK8</f>
        <v>4</v>
      </c>
      <c r="O9" s="167">
        <f>Data!DL8</f>
        <v>4</v>
      </c>
      <c r="P9" s="167">
        <f>Data!DM8</f>
        <v>5</v>
      </c>
      <c r="Q9" s="167">
        <f>Data!DN8</f>
        <v>4</v>
      </c>
      <c r="R9" s="167">
        <f>Data!DO8</f>
        <v>2</v>
      </c>
      <c r="S9" s="167">
        <f>Data!DP8</f>
        <v>2</v>
      </c>
      <c r="T9" s="167">
        <f>Data!DQ8</f>
        <v>4</v>
      </c>
      <c r="U9" s="167">
        <f>Data!DR8</f>
        <v>4</v>
      </c>
      <c r="V9" s="167">
        <f t="shared" ref="V9:V51" si="0">SUM(D9:U9)</f>
        <v>29</v>
      </c>
      <c r="W9" s="64"/>
    </row>
    <row r="10" spans="1:23" s="27" customFormat="1" ht="12" customHeight="1">
      <c r="A10" s="64"/>
      <c r="B10" s="146" t="str">
        <f>UPPER(LEFT(TRIM(Data!B9),1)) &amp; MID(TRIM(Data!B9),2,50)</f>
        <v>Skrandžio</v>
      </c>
      <c r="C10" s="146" t="str">
        <f>Data!C9</f>
        <v>C16</v>
      </c>
      <c r="D10" s="165">
        <f>Data!DA9</f>
        <v>0</v>
      </c>
      <c r="E10" s="165">
        <f>Data!DB9</f>
        <v>0</v>
      </c>
      <c r="F10" s="165">
        <f>Data!DC9</f>
        <v>0</v>
      </c>
      <c r="G10" s="165">
        <f>Data!DD9</f>
        <v>0</v>
      </c>
      <c r="H10" s="165">
        <f>Data!DE9</f>
        <v>2</v>
      </c>
      <c r="I10" s="165">
        <f>Data!DF9</f>
        <v>0</v>
      </c>
      <c r="J10" s="165">
        <f>Data!DG9</f>
        <v>5</v>
      </c>
      <c r="K10" s="165">
        <f>Data!DH9</f>
        <v>4</v>
      </c>
      <c r="L10" s="165">
        <f>Data!DI9</f>
        <v>2</v>
      </c>
      <c r="M10" s="165">
        <f>Data!DJ9</f>
        <v>7</v>
      </c>
      <c r="N10" s="165">
        <f>Data!DK9</f>
        <v>16</v>
      </c>
      <c r="O10" s="165">
        <f>Data!DL9</f>
        <v>22</v>
      </c>
      <c r="P10" s="165">
        <f>Data!DM9</f>
        <v>23</v>
      </c>
      <c r="Q10" s="165">
        <f>Data!DN9</f>
        <v>35</v>
      </c>
      <c r="R10" s="165">
        <f>Data!DO9</f>
        <v>39</v>
      </c>
      <c r="S10" s="165">
        <f>Data!DP9</f>
        <v>45</v>
      </c>
      <c r="T10" s="165">
        <f>Data!DQ9</f>
        <v>42</v>
      </c>
      <c r="U10" s="165">
        <f>Data!DR9</f>
        <v>43</v>
      </c>
      <c r="V10" s="165">
        <f t="shared" si="0"/>
        <v>285</v>
      </c>
      <c r="W10" s="64"/>
    </row>
    <row r="11" spans="1:23" s="27" customFormat="1" ht="12" customHeight="1">
      <c r="A11" s="64"/>
      <c r="B11" s="147" t="str">
        <f>UPPER(LEFT(TRIM(Data!B10),1)) &amp; MID(TRIM(Data!B10),2,50)</f>
        <v>Gaubtinės žarnos</v>
      </c>
      <c r="C11" s="173" t="str">
        <f>Data!C10</f>
        <v>C18</v>
      </c>
      <c r="D11" s="167">
        <f>Data!DA10</f>
        <v>0</v>
      </c>
      <c r="E11" s="167">
        <f>Data!DB10</f>
        <v>0</v>
      </c>
      <c r="F11" s="167">
        <f>Data!DC10</f>
        <v>0</v>
      </c>
      <c r="G11" s="167">
        <f>Data!DD10</f>
        <v>0</v>
      </c>
      <c r="H11" s="167">
        <f>Data!DE10</f>
        <v>1</v>
      </c>
      <c r="I11" s="167">
        <f>Data!DF10</f>
        <v>0</v>
      </c>
      <c r="J11" s="167">
        <f>Data!DG10</f>
        <v>1</v>
      </c>
      <c r="K11" s="167">
        <f>Data!DH10</f>
        <v>0</v>
      </c>
      <c r="L11" s="167">
        <f>Data!DI10</f>
        <v>2</v>
      </c>
      <c r="M11" s="167">
        <f>Data!DJ10</f>
        <v>5</v>
      </c>
      <c r="N11" s="167">
        <f>Data!DK10</f>
        <v>10</v>
      </c>
      <c r="O11" s="167">
        <f>Data!DL10</f>
        <v>13</v>
      </c>
      <c r="P11" s="167">
        <f>Data!DM10</f>
        <v>14</v>
      </c>
      <c r="Q11" s="167">
        <f>Data!DN10</f>
        <v>20</v>
      </c>
      <c r="R11" s="167">
        <f>Data!DO10</f>
        <v>31</v>
      </c>
      <c r="S11" s="167">
        <f>Data!DP10</f>
        <v>43</v>
      </c>
      <c r="T11" s="167">
        <f>Data!DQ10</f>
        <v>63</v>
      </c>
      <c r="U11" s="167">
        <f>Data!DR10</f>
        <v>49</v>
      </c>
      <c r="V11" s="167">
        <f t="shared" si="0"/>
        <v>252</v>
      </c>
      <c r="W11" s="64"/>
    </row>
    <row r="12" spans="1:23" s="27" customFormat="1" ht="12" customHeight="1">
      <c r="A12" s="64"/>
      <c r="B12" s="146" t="str">
        <f>UPPER(LEFT(TRIM(Data!B11),1)) &amp; MID(TRIM(Data!B11),2,50)</f>
        <v>Tiesiosios žarnos, išangės</v>
      </c>
      <c r="C12" s="146" t="str">
        <f>Data!C11</f>
        <v>C19-C21</v>
      </c>
      <c r="D12" s="165">
        <f>Data!DA11</f>
        <v>0</v>
      </c>
      <c r="E12" s="165">
        <f>Data!DB11</f>
        <v>0</v>
      </c>
      <c r="F12" s="165">
        <f>Data!DC11</f>
        <v>0</v>
      </c>
      <c r="G12" s="165">
        <f>Data!DD11</f>
        <v>0</v>
      </c>
      <c r="H12" s="165">
        <f>Data!DE11</f>
        <v>0</v>
      </c>
      <c r="I12" s="165">
        <f>Data!DF11</f>
        <v>0</v>
      </c>
      <c r="J12" s="165">
        <f>Data!DG11</f>
        <v>0</v>
      </c>
      <c r="K12" s="165">
        <f>Data!DH11</f>
        <v>1</v>
      </c>
      <c r="L12" s="165">
        <f>Data!DI11</f>
        <v>0</v>
      </c>
      <c r="M12" s="165">
        <f>Data!DJ11</f>
        <v>6</v>
      </c>
      <c r="N12" s="165">
        <f>Data!DK11</f>
        <v>3</v>
      </c>
      <c r="O12" s="165">
        <f>Data!DL11</f>
        <v>14</v>
      </c>
      <c r="P12" s="165">
        <f>Data!DM11</f>
        <v>17</v>
      </c>
      <c r="Q12" s="165">
        <f>Data!DN11</f>
        <v>15</v>
      </c>
      <c r="R12" s="165">
        <f>Data!DO11</f>
        <v>18</v>
      </c>
      <c r="S12" s="165">
        <f>Data!DP11</f>
        <v>33</v>
      </c>
      <c r="T12" s="165">
        <f>Data!DQ11</f>
        <v>40</v>
      </c>
      <c r="U12" s="165">
        <f>Data!DR11</f>
        <v>37</v>
      </c>
      <c r="V12" s="165">
        <f t="shared" si="0"/>
        <v>184</v>
      </c>
      <c r="W12" s="64"/>
    </row>
    <row r="13" spans="1:23" s="27" customFormat="1" ht="12" customHeight="1">
      <c r="A13" s="64"/>
      <c r="B13" s="147" t="str">
        <f>UPPER(LEFT(TRIM(Data!B12),1)) &amp; MID(TRIM(Data!B12),2,50)</f>
        <v>Kepenų</v>
      </c>
      <c r="C13" s="173" t="str">
        <f>Data!C12</f>
        <v>C22</v>
      </c>
      <c r="D13" s="167">
        <f>Data!DA12</f>
        <v>0</v>
      </c>
      <c r="E13" s="167">
        <f>Data!DB12</f>
        <v>0</v>
      </c>
      <c r="F13" s="167">
        <f>Data!DC12</f>
        <v>0</v>
      </c>
      <c r="G13" s="167">
        <f>Data!DD12</f>
        <v>0</v>
      </c>
      <c r="H13" s="167">
        <f>Data!DE12</f>
        <v>1</v>
      </c>
      <c r="I13" s="167">
        <f>Data!DF12</f>
        <v>0</v>
      </c>
      <c r="J13" s="167">
        <f>Data!DG12</f>
        <v>0</v>
      </c>
      <c r="K13" s="167">
        <f>Data!DH12</f>
        <v>1</v>
      </c>
      <c r="L13" s="167">
        <f>Data!DI12</f>
        <v>1</v>
      </c>
      <c r="M13" s="167">
        <f>Data!DJ12</f>
        <v>1</v>
      </c>
      <c r="N13" s="167">
        <f>Data!DK12</f>
        <v>6</v>
      </c>
      <c r="O13" s="167">
        <f>Data!DL12</f>
        <v>8</v>
      </c>
      <c r="P13" s="167">
        <f>Data!DM12</f>
        <v>8</v>
      </c>
      <c r="Q13" s="167">
        <f>Data!DN12</f>
        <v>1</v>
      </c>
      <c r="R13" s="167">
        <f>Data!DO12</f>
        <v>13</v>
      </c>
      <c r="S13" s="167">
        <f>Data!DP12</f>
        <v>9</v>
      </c>
      <c r="T13" s="167">
        <f>Data!DQ12</f>
        <v>16</v>
      </c>
      <c r="U13" s="167">
        <f>Data!DR12</f>
        <v>14</v>
      </c>
      <c r="V13" s="167">
        <f t="shared" si="0"/>
        <v>79</v>
      </c>
      <c r="W13" s="64"/>
    </row>
    <row r="14" spans="1:23" s="27" customFormat="1" ht="12" customHeight="1">
      <c r="A14" s="64"/>
      <c r="B14" s="146" t="str">
        <f>UPPER(LEFT(TRIM(Data!B13),1)) &amp; MID(TRIM(Data!B13),2,50)</f>
        <v>Tulžies pūslės, ekstrahepatinių takų</v>
      </c>
      <c r="C14" s="146" t="str">
        <f>Data!C13</f>
        <v>C23, C24</v>
      </c>
      <c r="D14" s="165">
        <f>Data!DA13</f>
        <v>0</v>
      </c>
      <c r="E14" s="165">
        <f>Data!DB13</f>
        <v>0</v>
      </c>
      <c r="F14" s="165">
        <f>Data!DC13</f>
        <v>0</v>
      </c>
      <c r="G14" s="165">
        <f>Data!DD13</f>
        <v>0</v>
      </c>
      <c r="H14" s="165">
        <f>Data!DE13</f>
        <v>0</v>
      </c>
      <c r="I14" s="165">
        <f>Data!DF13</f>
        <v>0</v>
      </c>
      <c r="J14" s="165">
        <f>Data!DG13</f>
        <v>0</v>
      </c>
      <c r="K14" s="165">
        <f>Data!DH13</f>
        <v>0</v>
      </c>
      <c r="L14" s="165">
        <f>Data!DI13</f>
        <v>0</v>
      </c>
      <c r="M14" s="165">
        <f>Data!DJ13</f>
        <v>2</v>
      </c>
      <c r="N14" s="165">
        <f>Data!DK13</f>
        <v>3</v>
      </c>
      <c r="O14" s="165">
        <f>Data!DL13</f>
        <v>4</v>
      </c>
      <c r="P14" s="165">
        <f>Data!DM13</f>
        <v>6</v>
      </c>
      <c r="Q14" s="165">
        <f>Data!DN13</f>
        <v>6</v>
      </c>
      <c r="R14" s="165">
        <f>Data!DO13</f>
        <v>8</v>
      </c>
      <c r="S14" s="165">
        <f>Data!DP13</f>
        <v>7</v>
      </c>
      <c r="T14" s="165">
        <f>Data!DQ13</f>
        <v>7</v>
      </c>
      <c r="U14" s="165">
        <f>Data!DR13</f>
        <v>14</v>
      </c>
      <c r="V14" s="165">
        <f t="shared" si="0"/>
        <v>57</v>
      </c>
      <c r="W14" s="64"/>
    </row>
    <row r="15" spans="1:23" s="27" customFormat="1" ht="12" customHeight="1">
      <c r="A15" s="64"/>
      <c r="B15" s="147" t="str">
        <f>UPPER(LEFT(TRIM(Data!B14),1)) &amp; MID(TRIM(Data!B14),2,50)</f>
        <v>Kasos</v>
      </c>
      <c r="C15" s="173" t="str">
        <f>Data!C14</f>
        <v>C25</v>
      </c>
      <c r="D15" s="167">
        <f>Data!DA14</f>
        <v>0</v>
      </c>
      <c r="E15" s="167">
        <f>Data!DB14</f>
        <v>0</v>
      </c>
      <c r="F15" s="167">
        <f>Data!DC14</f>
        <v>0</v>
      </c>
      <c r="G15" s="167">
        <f>Data!DD14</f>
        <v>0</v>
      </c>
      <c r="H15" s="167">
        <f>Data!DE14</f>
        <v>0</v>
      </c>
      <c r="I15" s="167">
        <f>Data!DF14</f>
        <v>0</v>
      </c>
      <c r="J15" s="167">
        <f>Data!DG14</f>
        <v>0</v>
      </c>
      <c r="K15" s="167">
        <f>Data!DH14</f>
        <v>0</v>
      </c>
      <c r="L15" s="167">
        <f>Data!DI14</f>
        <v>1</v>
      </c>
      <c r="M15" s="167">
        <f>Data!DJ14</f>
        <v>5</v>
      </c>
      <c r="N15" s="167">
        <f>Data!DK14</f>
        <v>9</v>
      </c>
      <c r="O15" s="167">
        <f>Data!DL14</f>
        <v>16</v>
      </c>
      <c r="P15" s="167">
        <f>Data!DM14</f>
        <v>22</v>
      </c>
      <c r="Q15" s="167">
        <f>Data!DN14</f>
        <v>31</v>
      </c>
      <c r="R15" s="167">
        <f>Data!DO14</f>
        <v>36</v>
      </c>
      <c r="S15" s="167">
        <f>Data!DP14</f>
        <v>46</v>
      </c>
      <c r="T15" s="167">
        <f>Data!DQ14</f>
        <v>35</v>
      </c>
      <c r="U15" s="167">
        <f>Data!DR14</f>
        <v>38</v>
      </c>
      <c r="V15" s="167">
        <f t="shared" si="0"/>
        <v>239</v>
      </c>
      <c r="W15" s="64"/>
    </row>
    <row r="16" spans="1:23" s="27" customFormat="1" ht="12" customHeight="1">
      <c r="A16" s="64"/>
      <c r="B16" s="146" t="str">
        <f>UPPER(LEFT(TRIM(Data!B15),1)) &amp; MID(TRIM(Data!B15),2,50)</f>
        <v>Kitų virškinimo sistemos organų</v>
      </c>
      <c r="C16" s="146" t="str">
        <f>Data!C15</f>
        <v>C17, C26, C48</v>
      </c>
      <c r="D16" s="165">
        <f>Data!DA15</f>
        <v>1</v>
      </c>
      <c r="E16" s="165">
        <f>Data!DB15</f>
        <v>0</v>
      </c>
      <c r="F16" s="165">
        <f>Data!DC15</f>
        <v>0</v>
      </c>
      <c r="G16" s="165">
        <f>Data!DD15</f>
        <v>0</v>
      </c>
      <c r="H16" s="165">
        <f>Data!DE15</f>
        <v>0</v>
      </c>
      <c r="I16" s="165">
        <f>Data!DF15</f>
        <v>0</v>
      </c>
      <c r="J16" s="165">
        <f>Data!DG15</f>
        <v>0</v>
      </c>
      <c r="K16" s="165">
        <f>Data!DH15</f>
        <v>1</v>
      </c>
      <c r="L16" s="165">
        <f>Data!DI15</f>
        <v>0</v>
      </c>
      <c r="M16" s="165">
        <f>Data!DJ15</f>
        <v>1</v>
      </c>
      <c r="N16" s="165">
        <f>Data!DK15</f>
        <v>1</v>
      </c>
      <c r="O16" s="165">
        <f>Data!DL15</f>
        <v>1</v>
      </c>
      <c r="P16" s="165">
        <f>Data!DM15</f>
        <v>1</v>
      </c>
      <c r="Q16" s="165">
        <f>Data!DN15</f>
        <v>5</v>
      </c>
      <c r="R16" s="165">
        <f>Data!DO15</f>
        <v>3</v>
      </c>
      <c r="S16" s="165">
        <f>Data!DP15</f>
        <v>8</v>
      </c>
      <c r="T16" s="165">
        <f>Data!DQ15</f>
        <v>10</v>
      </c>
      <c r="U16" s="165">
        <f>Data!DR15</f>
        <v>7</v>
      </c>
      <c r="V16" s="165">
        <f t="shared" si="0"/>
        <v>39</v>
      </c>
      <c r="W16" s="64"/>
    </row>
    <row r="17" spans="1:23" s="27" customFormat="1" ht="12" customHeight="1">
      <c r="A17" s="64"/>
      <c r="B17" s="147" t="str">
        <f>UPPER(LEFT(TRIM(Data!B16),1)) &amp; MID(TRIM(Data!B16),2,50)</f>
        <v>Nosies ertmės, vid.ausies ir ančių</v>
      </c>
      <c r="C17" s="173" t="str">
        <f>Data!C16</f>
        <v>C30, C31</v>
      </c>
      <c r="D17" s="167">
        <f>Data!DA16</f>
        <v>0</v>
      </c>
      <c r="E17" s="167">
        <f>Data!DB16</f>
        <v>0</v>
      </c>
      <c r="F17" s="167">
        <f>Data!DC16</f>
        <v>0</v>
      </c>
      <c r="G17" s="167">
        <f>Data!DD16</f>
        <v>0</v>
      </c>
      <c r="H17" s="167">
        <f>Data!DE16</f>
        <v>0</v>
      </c>
      <c r="I17" s="167">
        <f>Data!DF16</f>
        <v>0</v>
      </c>
      <c r="J17" s="167">
        <f>Data!DG16</f>
        <v>0</v>
      </c>
      <c r="K17" s="167">
        <f>Data!DH16</f>
        <v>0</v>
      </c>
      <c r="L17" s="167">
        <f>Data!DI16</f>
        <v>0</v>
      </c>
      <c r="M17" s="167">
        <f>Data!DJ16</f>
        <v>0</v>
      </c>
      <c r="N17" s="167">
        <f>Data!DK16</f>
        <v>0</v>
      </c>
      <c r="O17" s="167">
        <f>Data!DL16</f>
        <v>1</v>
      </c>
      <c r="P17" s="167">
        <f>Data!DM16</f>
        <v>3</v>
      </c>
      <c r="Q17" s="167">
        <f>Data!DN16</f>
        <v>1</v>
      </c>
      <c r="R17" s="167">
        <f>Data!DO16</f>
        <v>2</v>
      </c>
      <c r="S17" s="167">
        <f>Data!DP16</f>
        <v>0</v>
      </c>
      <c r="T17" s="167">
        <f>Data!DQ16</f>
        <v>2</v>
      </c>
      <c r="U17" s="167">
        <f>Data!DR16</f>
        <v>2</v>
      </c>
      <c r="V17" s="167">
        <f t="shared" si="0"/>
        <v>11</v>
      </c>
      <c r="W17" s="64"/>
    </row>
    <row r="18" spans="1:23" s="27" customFormat="1" ht="12" customHeight="1">
      <c r="A18" s="64"/>
      <c r="B18" s="146" t="str">
        <f>UPPER(LEFT(TRIM(Data!B17),1)) &amp; MID(TRIM(Data!B17),2,50)</f>
        <v>Gerklų</v>
      </c>
      <c r="C18" s="146" t="str">
        <f>Data!C17</f>
        <v>C32</v>
      </c>
      <c r="D18" s="165">
        <f>Data!DA17</f>
        <v>0</v>
      </c>
      <c r="E18" s="165">
        <f>Data!DB17</f>
        <v>0</v>
      </c>
      <c r="F18" s="165">
        <f>Data!DC17</f>
        <v>0</v>
      </c>
      <c r="G18" s="165">
        <f>Data!DD17</f>
        <v>0</v>
      </c>
      <c r="H18" s="165">
        <f>Data!DE17</f>
        <v>0</v>
      </c>
      <c r="I18" s="165">
        <f>Data!DF17</f>
        <v>0</v>
      </c>
      <c r="J18" s="165">
        <f>Data!DG17</f>
        <v>0</v>
      </c>
      <c r="K18" s="165">
        <f>Data!DH17</f>
        <v>0</v>
      </c>
      <c r="L18" s="165">
        <f>Data!DI17</f>
        <v>0</v>
      </c>
      <c r="M18" s="165">
        <f>Data!DJ17</f>
        <v>1</v>
      </c>
      <c r="N18" s="165">
        <f>Data!DK17</f>
        <v>0</v>
      </c>
      <c r="O18" s="165">
        <f>Data!DL17</f>
        <v>1</v>
      </c>
      <c r="P18" s="165">
        <f>Data!DM17</f>
        <v>1</v>
      </c>
      <c r="Q18" s="165">
        <f>Data!DN17</f>
        <v>0</v>
      </c>
      <c r="R18" s="165">
        <f>Data!DO17</f>
        <v>1</v>
      </c>
      <c r="S18" s="165">
        <f>Data!DP17</f>
        <v>1</v>
      </c>
      <c r="T18" s="165">
        <f>Data!DQ17</f>
        <v>0</v>
      </c>
      <c r="U18" s="165">
        <f>Data!DR17</f>
        <v>1</v>
      </c>
      <c r="V18" s="165">
        <f t="shared" si="0"/>
        <v>6</v>
      </c>
      <c r="W18" s="64"/>
    </row>
    <row r="19" spans="1:23" s="27" customFormat="1" ht="12" customHeight="1">
      <c r="A19" s="64"/>
      <c r="B19" s="147" t="str">
        <f>UPPER(LEFT(TRIM(Data!B18),1)) &amp; MID(TRIM(Data!B18),2,50)</f>
        <v>Plaučių, trachėjos, bronchų</v>
      </c>
      <c r="C19" s="173" t="str">
        <f>Data!C18</f>
        <v>C33, C34</v>
      </c>
      <c r="D19" s="167">
        <f>Data!DA18</f>
        <v>0</v>
      </c>
      <c r="E19" s="167">
        <f>Data!DB18</f>
        <v>0</v>
      </c>
      <c r="F19" s="167">
        <f>Data!DC18</f>
        <v>0</v>
      </c>
      <c r="G19" s="167">
        <f>Data!DD18</f>
        <v>0</v>
      </c>
      <c r="H19" s="167">
        <f>Data!DE18</f>
        <v>0</v>
      </c>
      <c r="I19" s="167">
        <f>Data!DF18</f>
        <v>0</v>
      </c>
      <c r="J19" s="167">
        <f>Data!DG18</f>
        <v>0</v>
      </c>
      <c r="K19" s="167">
        <f>Data!DH18</f>
        <v>0</v>
      </c>
      <c r="L19" s="167">
        <f>Data!DI18</f>
        <v>1</v>
      </c>
      <c r="M19" s="167">
        <f>Data!DJ18</f>
        <v>8</v>
      </c>
      <c r="N19" s="167">
        <f>Data!DK18</f>
        <v>14</v>
      </c>
      <c r="O19" s="167">
        <f>Data!DL18</f>
        <v>24</v>
      </c>
      <c r="P19" s="167">
        <f>Data!DM18</f>
        <v>28</v>
      </c>
      <c r="Q19" s="167">
        <f>Data!DN18</f>
        <v>30</v>
      </c>
      <c r="R19" s="167">
        <f>Data!DO18</f>
        <v>44</v>
      </c>
      <c r="S19" s="167">
        <f>Data!DP18</f>
        <v>46</v>
      </c>
      <c r="T19" s="167">
        <f>Data!DQ18</f>
        <v>39</v>
      </c>
      <c r="U19" s="167">
        <f>Data!DR18</f>
        <v>27</v>
      </c>
      <c r="V19" s="167">
        <f t="shared" si="0"/>
        <v>261</v>
      </c>
      <c r="W19" s="64"/>
    </row>
    <row r="20" spans="1:23" s="27" customFormat="1" ht="12" customHeight="1">
      <c r="A20" s="64"/>
      <c r="B20" s="146" t="str">
        <f>UPPER(LEFT(TRIM(Data!B19),1)) &amp; MID(TRIM(Data!B19),2,50)</f>
        <v>Kitų kvėpavimo sistemos organų</v>
      </c>
      <c r="C20" s="146" t="str">
        <f>Data!C19</f>
        <v>C37-C39</v>
      </c>
      <c r="D20" s="165">
        <f>Data!DA19</f>
        <v>0</v>
      </c>
      <c r="E20" s="165">
        <f>Data!DB19</f>
        <v>0</v>
      </c>
      <c r="F20" s="165">
        <f>Data!DC19</f>
        <v>0</v>
      </c>
      <c r="G20" s="165">
        <f>Data!DD19</f>
        <v>1</v>
      </c>
      <c r="H20" s="165">
        <f>Data!DE19</f>
        <v>0</v>
      </c>
      <c r="I20" s="165">
        <f>Data!DF19</f>
        <v>0</v>
      </c>
      <c r="J20" s="165">
        <f>Data!DG19</f>
        <v>0</v>
      </c>
      <c r="K20" s="165">
        <f>Data!DH19</f>
        <v>0</v>
      </c>
      <c r="L20" s="165">
        <f>Data!DI19</f>
        <v>0</v>
      </c>
      <c r="M20" s="165">
        <f>Data!DJ19</f>
        <v>1</v>
      </c>
      <c r="N20" s="165">
        <f>Data!DK19</f>
        <v>0</v>
      </c>
      <c r="O20" s="165">
        <f>Data!DL19</f>
        <v>0</v>
      </c>
      <c r="P20" s="165">
        <f>Data!DM19</f>
        <v>1</v>
      </c>
      <c r="Q20" s="165">
        <f>Data!DN19</f>
        <v>2</v>
      </c>
      <c r="R20" s="165">
        <f>Data!DO19</f>
        <v>0</v>
      </c>
      <c r="S20" s="165">
        <f>Data!DP19</f>
        <v>2</v>
      </c>
      <c r="T20" s="165">
        <f>Data!DQ19</f>
        <v>1</v>
      </c>
      <c r="U20" s="165">
        <f>Data!DR19</f>
        <v>1</v>
      </c>
      <c r="V20" s="165">
        <f t="shared" si="0"/>
        <v>9</v>
      </c>
      <c r="W20" s="64"/>
    </row>
    <row r="21" spans="1:23" s="27" customFormat="1" ht="12" customHeight="1">
      <c r="A21" s="64"/>
      <c r="B21" s="147" t="str">
        <f>UPPER(LEFT(TRIM(Data!B20),1)) &amp; MID(TRIM(Data!B20),2,50)</f>
        <v>Kaulų ir jungiamojo audinio</v>
      </c>
      <c r="C21" s="173" t="str">
        <f>Data!C20</f>
        <v>C40-C41, C45-C47, C49</v>
      </c>
      <c r="D21" s="167">
        <f>Data!DA20</f>
        <v>0</v>
      </c>
      <c r="E21" s="167">
        <f>Data!DB20</f>
        <v>0</v>
      </c>
      <c r="F21" s="167">
        <f>Data!DC20</f>
        <v>0</v>
      </c>
      <c r="G21" s="167">
        <f>Data!DD20</f>
        <v>0</v>
      </c>
      <c r="H21" s="167">
        <f>Data!DE20</f>
        <v>0</v>
      </c>
      <c r="I21" s="167">
        <f>Data!DF20</f>
        <v>2</v>
      </c>
      <c r="J21" s="167">
        <f>Data!DG20</f>
        <v>0</v>
      </c>
      <c r="K21" s="167">
        <f>Data!DH20</f>
        <v>0</v>
      </c>
      <c r="L21" s="167">
        <f>Data!DI20</f>
        <v>2</v>
      </c>
      <c r="M21" s="167">
        <f>Data!DJ20</f>
        <v>3</v>
      </c>
      <c r="N21" s="167">
        <f>Data!DK20</f>
        <v>3</v>
      </c>
      <c r="O21" s="167">
        <f>Data!DL20</f>
        <v>2</v>
      </c>
      <c r="P21" s="167">
        <f>Data!DM20</f>
        <v>3</v>
      </c>
      <c r="Q21" s="167">
        <f>Data!DN20</f>
        <v>4</v>
      </c>
      <c r="R21" s="167">
        <f>Data!DO20</f>
        <v>2</v>
      </c>
      <c r="S21" s="167">
        <f>Data!DP20</f>
        <v>5</v>
      </c>
      <c r="T21" s="167">
        <f>Data!DQ20</f>
        <v>6</v>
      </c>
      <c r="U21" s="167">
        <f>Data!DR20</f>
        <v>7</v>
      </c>
      <c r="V21" s="167">
        <f t="shared" si="0"/>
        <v>39</v>
      </c>
      <c r="W21" s="64"/>
    </row>
    <row r="22" spans="1:23" s="27" customFormat="1" ht="12" customHeight="1">
      <c r="A22" s="64"/>
      <c r="B22" s="146" t="str">
        <f>UPPER(LEFT(TRIM(Data!B21),1)) &amp; MID(TRIM(Data!B21),2,50)</f>
        <v>Odos melanoma</v>
      </c>
      <c r="C22" s="146" t="str">
        <f>Data!C21</f>
        <v>C43</v>
      </c>
      <c r="D22" s="165">
        <f>Data!DA21</f>
        <v>0</v>
      </c>
      <c r="E22" s="165">
        <f>Data!DB21</f>
        <v>0</v>
      </c>
      <c r="F22" s="165">
        <f>Data!DC21</f>
        <v>0</v>
      </c>
      <c r="G22" s="165">
        <f>Data!DD21</f>
        <v>0</v>
      </c>
      <c r="H22" s="165">
        <f>Data!DE21</f>
        <v>0</v>
      </c>
      <c r="I22" s="165">
        <f>Data!DF21</f>
        <v>0</v>
      </c>
      <c r="J22" s="165">
        <f>Data!DG21</f>
        <v>0</v>
      </c>
      <c r="K22" s="165">
        <f>Data!DH21</f>
        <v>0</v>
      </c>
      <c r="L22" s="165">
        <f>Data!DI21</f>
        <v>1</v>
      </c>
      <c r="M22" s="165">
        <f>Data!DJ21</f>
        <v>1</v>
      </c>
      <c r="N22" s="165">
        <f>Data!DK21</f>
        <v>2</v>
      </c>
      <c r="O22" s="165">
        <f>Data!DL21</f>
        <v>4</v>
      </c>
      <c r="P22" s="165">
        <f>Data!DM21</f>
        <v>7</v>
      </c>
      <c r="Q22" s="165">
        <f>Data!DN21</f>
        <v>6</v>
      </c>
      <c r="R22" s="165">
        <f>Data!DO21</f>
        <v>2</v>
      </c>
      <c r="S22" s="165">
        <f>Data!DP21</f>
        <v>7</v>
      </c>
      <c r="T22" s="165">
        <f>Data!DQ21</f>
        <v>5</v>
      </c>
      <c r="U22" s="165">
        <f>Data!DR21</f>
        <v>8</v>
      </c>
      <c r="V22" s="165">
        <f t="shared" si="0"/>
        <v>43</v>
      </c>
      <c r="W22" s="64"/>
    </row>
    <row r="23" spans="1:23" s="27" customFormat="1" ht="12" customHeight="1">
      <c r="A23" s="64"/>
      <c r="B23" s="147" t="str">
        <f>UPPER(LEFT(TRIM(Data!B22),1)) &amp; MID(TRIM(Data!B22),2,50)</f>
        <v>Kiti odos piktybiniai navikai</v>
      </c>
      <c r="C23" s="173" t="str">
        <f>Data!C22</f>
        <v>C44</v>
      </c>
      <c r="D23" s="167">
        <f>Data!DA22</f>
        <v>0</v>
      </c>
      <c r="E23" s="167">
        <f>Data!DB22</f>
        <v>0</v>
      </c>
      <c r="F23" s="167">
        <f>Data!DC22</f>
        <v>0</v>
      </c>
      <c r="G23" s="167">
        <f>Data!DD22</f>
        <v>0</v>
      </c>
      <c r="H23" s="167">
        <f>Data!DE22</f>
        <v>0</v>
      </c>
      <c r="I23" s="167">
        <f>Data!DF22</f>
        <v>0</v>
      </c>
      <c r="J23" s="167">
        <f>Data!DG22</f>
        <v>0</v>
      </c>
      <c r="K23" s="167">
        <f>Data!DH22</f>
        <v>0</v>
      </c>
      <c r="L23" s="167">
        <f>Data!DI22</f>
        <v>0</v>
      </c>
      <c r="M23" s="167">
        <f>Data!DJ22</f>
        <v>0</v>
      </c>
      <c r="N23" s="167">
        <f>Data!DK22</f>
        <v>0</v>
      </c>
      <c r="O23" s="167">
        <f>Data!DL22</f>
        <v>1</v>
      </c>
      <c r="P23" s="167">
        <f>Data!DM22</f>
        <v>1</v>
      </c>
      <c r="Q23" s="167">
        <f>Data!DN22</f>
        <v>1</v>
      </c>
      <c r="R23" s="167">
        <f>Data!DO22</f>
        <v>5</v>
      </c>
      <c r="S23" s="167">
        <f>Data!DP22</f>
        <v>3</v>
      </c>
      <c r="T23" s="167">
        <f>Data!DQ22</f>
        <v>6</v>
      </c>
      <c r="U23" s="167">
        <f>Data!DR22</f>
        <v>9</v>
      </c>
      <c r="V23" s="167">
        <f t="shared" si="0"/>
        <v>26</v>
      </c>
      <c r="W23" s="64"/>
    </row>
    <row r="24" spans="1:23" s="27" customFormat="1" ht="12" customHeight="1">
      <c r="A24" s="64"/>
      <c r="B24" s="146" t="str">
        <f>UPPER(LEFT(TRIM(Data!B23),1)) &amp; MID(TRIM(Data!B23),2,50)</f>
        <v>Krūties</v>
      </c>
      <c r="C24" s="146" t="str">
        <f>Data!C23</f>
        <v>C50</v>
      </c>
      <c r="D24" s="165">
        <f>Data!DA23</f>
        <v>0</v>
      </c>
      <c r="E24" s="165">
        <f>Data!DB23</f>
        <v>0</v>
      </c>
      <c r="F24" s="165">
        <f>Data!DC23</f>
        <v>0</v>
      </c>
      <c r="G24" s="165">
        <f>Data!DD23</f>
        <v>0</v>
      </c>
      <c r="H24" s="165">
        <f>Data!DE23</f>
        <v>0</v>
      </c>
      <c r="I24" s="165">
        <f>Data!DF23</f>
        <v>1</v>
      </c>
      <c r="J24" s="165">
        <f>Data!DG23</f>
        <v>2</v>
      </c>
      <c r="K24" s="165">
        <f>Data!DH23</f>
        <v>5</v>
      </c>
      <c r="L24" s="165">
        <f>Data!DI23</f>
        <v>17</v>
      </c>
      <c r="M24" s="165">
        <f>Data!DJ23</f>
        <v>22</v>
      </c>
      <c r="N24" s="165">
        <f>Data!DK23</f>
        <v>36</v>
      </c>
      <c r="O24" s="165">
        <f>Data!DL23</f>
        <v>56</v>
      </c>
      <c r="P24" s="165">
        <f>Data!DM23</f>
        <v>63</v>
      </c>
      <c r="Q24" s="165">
        <f>Data!DN23</f>
        <v>47</v>
      </c>
      <c r="R24" s="165">
        <f>Data!DO23</f>
        <v>77</v>
      </c>
      <c r="S24" s="165">
        <f>Data!DP23</f>
        <v>77</v>
      </c>
      <c r="T24" s="165">
        <f>Data!DQ23</f>
        <v>54</v>
      </c>
      <c r="U24" s="165">
        <f>Data!DR23</f>
        <v>55</v>
      </c>
      <c r="V24" s="165">
        <f t="shared" si="0"/>
        <v>512</v>
      </c>
      <c r="W24" s="64"/>
    </row>
    <row r="25" spans="1:23" s="27" customFormat="1" ht="12" customHeight="1">
      <c r="A25" s="64"/>
      <c r="B25" s="147" t="str">
        <f>UPPER(LEFT(TRIM(Data!B24),1)) &amp; MID(TRIM(Data!B24),2,50)</f>
        <v>Vulvos</v>
      </c>
      <c r="C25" s="173" t="str">
        <f>Data!C24</f>
        <v>C51</v>
      </c>
      <c r="D25" s="167">
        <f>Data!DA24</f>
        <v>0</v>
      </c>
      <c r="E25" s="167">
        <f>Data!DB24</f>
        <v>0</v>
      </c>
      <c r="F25" s="167">
        <f>Data!DC24</f>
        <v>0</v>
      </c>
      <c r="G25" s="167">
        <f>Data!DD24</f>
        <v>0</v>
      </c>
      <c r="H25" s="167">
        <f>Data!DE24</f>
        <v>0</v>
      </c>
      <c r="I25" s="167">
        <f>Data!DF24</f>
        <v>0</v>
      </c>
      <c r="J25" s="167">
        <f>Data!DG24</f>
        <v>0</v>
      </c>
      <c r="K25" s="167">
        <f>Data!DH24</f>
        <v>1</v>
      </c>
      <c r="L25" s="167">
        <f>Data!DI24</f>
        <v>0</v>
      </c>
      <c r="M25" s="167">
        <f>Data!DJ24</f>
        <v>0</v>
      </c>
      <c r="N25" s="167">
        <f>Data!DK24</f>
        <v>1</v>
      </c>
      <c r="O25" s="167">
        <f>Data!DL24</f>
        <v>2</v>
      </c>
      <c r="P25" s="167">
        <f>Data!DM24</f>
        <v>3</v>
      </c>
      <c r="Q25" s="167">
        <f>Data!DN24</f>
        <v>2</v>
      </c>
      <c r="R25" s="167">
        <f>Data!DO24</f>
        <v>2</v>
      </c>
      <c r="S25" s="167">
        <f>Data!DP24</f>
        <v>5</v>
      </c>
      <c r="T25" s="167">
        <f>Data!DQ24</f>
        <v>7</v>
      </c>
      <c r="U25" s="167">
        <f>Data!DR24</f>
        <v>7</v>
      </c>
      <c r="V25" s="167">
        <f t="shared" si="0"/>
        <v>30</v>
      </c>
      <c r="W25" s="64"/>
    </row>
    <row r="26" spans="1:23" s="27" customFormat="1" ht="12" customHeight="1">
      <c r="A26" s="64"/>
      <c r="B26" s="146" t="str">
        <f>UPPER(LEFT(TRIM(Data!B25),1)) &amp; MID(TRIM(Data!B25),2,50)</f>
        <v>Gimdos kaklelio</v>
      </c>
      <c r="C26" s="146" t="str">
        <f>Data!C25</f>
        <v>C53</v>
      </c>
      <c r="D26" s="165">
        <f>Data!DA25</f>
        <v>0</v>
      </c>
      <c r="E26" s="165">
        <f>Data!DB25</f>
        <v>0</v>
      </c>
      <c r="F26" s="165">
        <f>Data!DC25</f>
        <v>0</v>
      </c>
      <c r="G26" s="165">
        <f>Data!DD25</f>
        <v>0</v>
      </c>
      <c r="H26" s="165">
        <f>Data!DE25</f>
        <v>0</v>
      </c>
      <c r="I26" s="165">
        <f>Data!DF25</f>
        <v>1</v>
      </c>
      <c r="J26" s="165">
        <f>Data!DG25</f>
        <v>4</v>
      </c>
      <c r="K26" s="165">
        <f>Data!DH25</f>
        <v>5</v>
      </c>
      <c r="L26" s="165">
        <f>Data!DI25</f>
        <v>15</v>
      </c>
      <c r="M26" s="165">
        <f>Data!DJ25</f>
        <v>14</v>
      </c>
      <c r="N26" s="165">
        <f>Data!DK25</f>
        <v>20</v>
      </c>
      <c r="O26" s="165">
        <f>Data!DL25</f>
        <v>20</v>
      </c>
      <c r="P26" s="165">
        <f>Data!DM25</f>
        <v>22</v>
      </c>
      <c r="Q26" s="165">
        <f>Data!DN25</f>
        <v>17</v>
      </c>
      <c r="R26" s="165">
        <f>Data!DO25</f>
        <v>14</v>
      </c>
      <c r="S26" s="165">
        <f>Data!DP25</f>
        <v>15</v>
      </c>
      <c r="T26" s="165">
        <f>Data!DQ25</f>
        <v>21</v>
      </c>
      <c r="U26" s="165">
        <f>Data!DR25</f>
        <v>12</v>
      </c>
      <c r="V26" s="165">
        <f t="shared" si="0"/>
        <v>180</v>
      </c>
      <c r="W26" s="64"/>
    </row>
    <row r="27" spans="1:23" s="27" customFormat="1" ht="12" customHeight="1">
      <c r="A27" s="64"/>
      <c r="B27" s="147" t="str">
        <f>UPPER(LEFT(TRIM(Data!B26),1)) &amp; MID(TRIM(Data!B26),2,50)</f>
        <v>Gimdos kūno</v>
      </c>
      <c r="C27" s="173" t="str">
        <f>Data!C26</f>
        <v>C54, C55</v>
      </c>
      <c r="D27" s="167">
        <f>Data!DA26</f>
        <v>0</v>
      </c>
      <c r="E27" s="167">
        <f>Data!DB26</f>
        <v>0</v>
      </c>
      <c r="F27" s="167">
        <f>Data!DC26</f>
        <v>0</v>
      </c>
      <c r="G27" s="167">
        <f>Data!DD26</f>
        <v>0</v>
      </c>
      <c r="H27" s="167">
        <f>Data!DE26</f>
        <v>0</v>
      </c>
      <c r="I27" s="167">
        <f>Data!DF26</f>
        <v>0</v>
      </c>
      <c r="J27" s="167">
        <f>Data!DG26</f>
        <v>0</v>
      </c>
      <c r="K27" s="167">
        <f>Data!DH26</f>
        <v>1</v>
      </c>
      <c r="L27" s="167">
        <f>Data!DI26</f>
        <v>1</v>
      </c>
      <c r="M27" s="167">
        <f>Data!DJ26</f>
        <v>7</v>
      </c>
      <c r="N27" s="167">
        <f>Data!DK26</f>
        <v>7</v>
      </c>
      <c r="O27" s="167">
        <f>Data!DL26</f>
        <v>5</v>
      </c>
      <c r="P27" s="167">
        <f>Data!DM26</f>
        <v>14</v>
      </c>
      <c r="Q27" s="167">
        <f>Data!DN26</f>
        <v>23</v>
      </c>
      <c r="R27" s="167">
        <f>Data!DO26</f>
        <v>31</v>
      </c>
      <c r="S27" s="167">
        <f>Data!DP26</f>
        <v>28</v>
      </c>
      <c r="T27" s="167">
        <f>Data!DQ26</f>
        <v>21</v>
      </c>
      <c r="U27" s="167">
        <f>Data!DR26</f>
        <v>16</v>
      </c>
      <c r="V27" s="167">
        <f t="shared" si="0"/>
        <v>154</v>
      </c>
      <c r="W27" s="64"/>
    </row>
    <row r="28" spans="1:23" s="27" customFormat="1" ht="12" customHeight="1">
      <c r="A28" s="64"/>
      <c r="B28" s="146" t="str">
        <f>UPPER(LEFT(TRIM(Data!B27),1)) &amp; MID(TRIM(Data!B27),2,50)</f>
        <v>Kiaušidžių</v>
      </c>
      <c r="C28" s="146" t="str">
        <f>Data!C27</f>
        <v>C56</v>
      </c>
      <c r="D28" s="165">
        <f>Data!DA27</f>
        <v>0</v>
      </c>
      <c r="E28" s="165">
        <f>Data!DB27</f>
        <v>0</v>
      </c>
      <c r="F28" s="165">
        <f>Data!DC27</f>
        <v>0</v>
      </c>
      <c r="G28" s="165">
        <f>Data!DD27</f>
        <v>0</v>
      </c>
      <c r="H28" s="165">
        <f>Data!DE27</f>
        <v>0</v>
      </c>
      <c r="I28" s="165">
        <f>Data!DF27</f>
        <v>0</v>
      </c>
      <c r="J28" s="165">
        <f>Data!DG27</f>
        <v>1</v>
      </c>
      <c r="K28" s="165">
        <f>Data!DH27</f>
        <v>0</v>
      </c>
      <c r="L28" s="165">
        <f>Data!DI27</f>
        <v>7</v>
      </c>
      <c r="M28" s="165">
        <f>Data!DJ27</f>
        <v>14</v>
      </c>
      <c r="N28" s="165">
        <f>Data!DK27</f>
        <v>22</v>
      </c>
      <c r="O28" s="165">
        <f>Data!DL27</f>
        <v>29</v>
      </c>
      <c r="P28" s="165">
        <f>Data!DM27</f>
        <v>20</v>
      </c>
      <c r="Q28" s="165">
        <f>Data!DN27</f>
        <v>38</v>
      </c>
      <c r="R28" s="165">
        <f>Data!DO27</f>
        <v>37</v>
      </c>
      <c r="S28" s="165">
        <f>Data!DP27</f>
        <v>42</v>
      </c>
      <c r="T28" s="165">
        <f>Data!DQ27</f>
        <v>45</v>
      </c>
      <c r="U28" s="165">
        <f>Data!DR27</f>
        <v>17</v>
      </c>
      <c r="V28" s="165">
        <f t="shared" si="0"/>
        <v>272</v>
      </c>
      <c r="W28" s="64"/>
    </row>
    <row r="29" spans="1:23" s="27" customFormat="1" ht="12" customHeight="1">
      <c r="A29" s="64"/>
      <c r="B29" s="147" t="str">
        <f>UPPER(LEFT(TRIM(Data!B30),1)) &amp; MID(TRIM(Data!B30),2,50)</f>
        <v>Kitų lyties organų</v>
      </c>
      <c r="C29" s="173" t="s">
        <v>418</v>
      </c>
      <c r="D29" s="167">
        <f>Data!DA30</f>
        <v>0</v>
      </c>
      <c r="E29" s="167">
        <f>Data!DB30</f>
        <v>0</v>
      </c>
      <c r="F29" s="167">
        <f>Data!DC30</f>
        <v>0</v>
      </c>
      <c r="G29" s="167">
        <f>Data!DD30</f>
        <v>0</v>
      </c>
      <c r="H29" s="167">
        <f>Data!DE30</f>
        <v>0</v>
      </c>
      <c r="I29" s="167">
        <f>Data!DF30</f>
        <v>0</v>
      </c>
      <c r="J29" s="167">
        <f>Data!DG30</f>
        <v>0</v>
      </c>
      <c r="K29" s="167">
        <f>Data!DH30</f>
        <v>0</v>
      </c>
      <c r="L29" s="167">
        <f>Data!DI30</f>
        <v>0</v>
      </c>
      <c r="M29" s="167">
        <f>Data!DJ30</f>
        <v>1</v>
      </c>
      <c r="N29" s="167">
        <f>Data!DK30</f>
        <v>0</v>
      </c>
      <c r="O29" s="167">
        <f>Data!DL30</f>
        <v>2</v>
      </c>
      <c r="P29" s="167">
        <f>Data!DM30</f>
        <v>1</v>
      </c>
      <c r="Q29" s="167">
        <f>Data!DN30</f>
        <v>1</v>
      </c>
      <c r="R29" s="167">
        <f>Data!DO30</f>
        <v>1</v>
      </c>
      <c r="S29" s="167">
        <f>Data!DP30</f>
        <v>2</v>
      </c>
      <c r="T29" s="167">
        <f>Data!DQ30</f>
        <v>4</v>
      </c>
      <c r="U29" s="167">
        <f>Data!DR30</f>
        <v>1</v>
      </c>
      <c r="V29" s="167">
        <f t="shared" si="0"/>
        <v>13</v>
      </c>
      <c r="W29" s="64"/>
    </row>
    <row r="30" spans="1:23" s="27" customFormat="1" ht="12" customHeight="1">
      <c r="A30" s="64"/>
      <c r="B30" s="146" t="str">
        <f>UPPER(LEFT(TRIM(Data!B31),1)) &amp; MID(TRIM(Data!B31),2,50)</f>
        <v>Inkstų</v>
      </c>
      <c r="C30" s="146" t="str">
        <f>Data!C31</f>
        <v>C64</v>
      </c>
      <c r="D30" s="165">
        <f>Data!DA31</f>
        <v>0</v>
      </c>
      <c r="E30" s="165">
        <f>Data!DB31</f>
        <v>0</v>
      </c>
      <c r="F30" s="165">
        <f>Data!DC31</f>
        <v>0</v>
      </c>
      <c r="G30" s="165">
        <f>Data!DD31</f>
        <v>0</v>
      </c>
      <c r="H30" s="165">
        <f>Data!DE31</f>
        <v>0</v>
      </c>
      <c r="I30" s="165">
        <f>Data!DF31</f>
        <v>0</v>
      </c>
      <c r="J30" s="165">
        <f>Data!DG31</f>
        <v>0</v>
      </c>
      <c r="K30" s="165">
        <f>Data!DH31</f>
        <v>0</v>
      </c>
      <c r="L30" s="165">
        <f>Data!DI31</f>
        <v>0</v>
      </c>
      <c r="M30" s="165">
        <f>Data!DJ31</f>
        <v>1</v>
      </c>
      <c r="N30" s="165">
        <f>Data!DK31</f>
        <v>4</v>
      </c>
      <c r="O30" s="165">
        <f>Data!DL31</f>
        <v>5</v>
      </c>
      <c r="P30" s="165">
        <f>Data!DM31</f>
        <v>6</v>
      </c>
      <c r="Q30" s="165">
        <f>Data!DN31</f>
        <v>12</v>
      </c>
      <c r="R30" s="165">
        <f>Data!DO31</f>
        <v>12</v>
      </c>
      <c r="S30" s="165">
        <f>Data!DP31</f>
        <v>18</v>
      </c>
      <c r="T30" s="165">
        <f>Data!DQ31</f>
        <v>19</v>
      </c>
      <c r="U30" s="165">
        <f>Data!DR31</f>
        <v>23</v>
      </c>
      <c r="V30" s="165">
        <f t="shared" si="0"/>
        <v>100</v>
      </c>
      <c r="W30" s="64"/>
    </row>
    <row r="31" spans="1:23" s="27" customFormat="1" ht="12" customHeight="1">
      <c r="A31" s="64"/>
      <c r="B31" s="147" t="str">
        <f>UPPER(LEFT(TRIM(Data!B32),1)) &amp; MID(TRIM(Data!B32),2,50)</f>
        <v>Šlapimo pūslės</v>
      </c>
      <c r="C31" s="173" t="str">
        <f>Data!C32</f>
        <v>C67</v>
      </c>
      <c r="D31" s="167">
        <f>Data!DA32</f>
        <v>0</v>
      </c>
      <c r="E31" s="167">
        <f>Data!DB32</f>
        <v>0</v>
      </c>
      <c r="F31" s="167">
        <f>Data!DC32</f>
        <v>0</v>
      </c>
      <c r="G31" s="167">
        <f>Data!DD32</f>
        <v>0</v>
      </c>
      <c r="H31" s="167">
        <f>Data!DE32</f>
        <v>0</v>
      </c>
      <c r="I31" s="167">
        <f>Data!DF32</f>
        <v>0</v>
      </c>
      <c r="J31" s="167">
        <f>Data!DG32</f>
        <v>0</v>
      </c>
      <c r="K31" s="167">
        <f>Data!DH32</f>
        <v>0</v>
      </c>
      <c r="L31" s="167">
        <f>Data!DI32</f>
        <v>0</v>
      </c>
      <c r="M31" s="167">
        <f>Data!DJ32</f>
        <v>0</v>
      </c>
      <c r="N31" s="167">
        <f>Data!DK32</f>
        <v>0</v>
      </c>
      <c r="O31" s="167">
        <f>Data!DL32</f>
        <v>1</v>
      </c>
      <c r="P31" s="167">
        <f>Data!DM32</f>
        <v>2</v>
      </c>
      <c r="Q31" s="167">
        <f>Data!DN32</f>
        <v>3</v>
      </c>
      <c r="R31" s="167">
        <f>Data!DO32</f>
        <v>9</v>
      </c>
      <c r="S31" s="167">
        <f>Data!DP32</f>
        <v>12</v>
      </c>
      <c r="T31" s="167">
        <f>Data!DQ32</f>
        <v>18</v>
      </c>
      <c r="U31" s="167">
        <f>Data!DR32</f>
        <v>11</v>
      </c>
      <c r="V31" s="167">
        <f t="shared" si="0"/>
        <v>56</v>
      </c>
      <c r="W31" s="64"/>
    </row>
    <row r="32" spans="1:23" s="27" customFormat="1" ht="12" customHeight="1">
      <c r="A32" s="64"/>
      <c r="B32" s="146" t="str">
        <f>UPPER(LEFT(TRIM(Data!B33),1)) &amp; MID(TRIM(Data!B33),2,50)</f>
        <v>Kitų šlapimą išskiriančių organų</v>
      </c>
      <c r="C32" s="146" t="str">
        <f>Data!C33</f>
        <v>C65, C66, C68</v>
      </c>
      <c r="D32" s="165">
        <f>Data!DA33</f>
        <v>0</v>
      </c>
      <c r="E32" s="165">
        <f>Data!DB33</f>
        <v>0</v>
      </c>
      <c r="F32" s="165">
        <f>Data!DC33</f>
        <v>0</v>
      </c>
      <c r="G32" s="165">
        <f>Data!DD33</f>
        <v>0</v>
      </c>
      <c r="H32" s="165">
        <f>Data!DE33</f>
        <v>0</v>
      </c>
      <c r="I32" s="165">
        <f>Data!DF33</f>
        <v>0</v>
      </c>
      <c r="J32" s="165">
        <f>Data!DG33</f>
        <v>0</v>
      </c>
      <c r="K32" s="165">
        <f>Data!DH33</f>
        <v>0</v>
      </c>
      <c r="L32" s="165">
        <f>Data!DI33</f>
        <v>0</v>
      </c>
      <c r="M32" s="165">
        <f>Data!DJ33</f>
        <v>0</v>
      </c>
      <c r="N32" s="165">
        <f>Data!DK33</f>
        <v>1</v>
      </c>
      <c r="O32" s="165">
        <f>Data!DL33</f>
        <v>0</v>
      </c>
      <c r="P32" s="165">
        <f>Data!DM33</f>
        <v>0</v>
      </c>
      <c r="Q32" s="165">
        <f>Data!DN33</f>
        <v>1</v>
      </c>
      <c r="R32" s="165">
        <f>Data!DO33</f>
        <v>1</v>
      </c>
      <c r="S32" s="165">
        <f>Data!DP33</f>
        <v>5</v>
      </c>
      <c r="T32" s="165">
        <f>Data!DQ33</f>
        <v>2</v>
      </c>
      <c r="U32" s="165">
        <f>Data!DR33</f>
        <v>1</v>
      </c>
      <c r="V32" s="165">
        <f t="shared" si="0"/>
        <v>11</v>
      </c>
      <c r="W32" s="64"/>
    </row>
    <row r="33" spans="1:23" s="27" customFormat="1" ht="12" customHeight="1">
      <c r="A33" s="64"/>
      <c r="B33" s="147" t="str">
        <f>UPPER(LEFT(TRIM(Data!B34),1)) &amp; MID(TRIM(Data!B34),2,50)</f>
        <v>Akių</v>
      </c>
      <c r="C33" s="173" t="str">
        <f>Data!C34</f>
        <v>C69</v>
      </c>
      <c r="D33" s="167">
        <f>Data!DA34</f>
        <v>0</v>
      </c>
      <c r="E33" s="167">
        <f>Data!DB34</f>
        <v>0</v>
      </c>
      <c r="F33" s="167">
        <f>Data!DC34</f>
        <v>0</v>
      </c>
      <c r="G33" s="167">
        <f>Data!DD34</f>
        <v>0</v>
      </c>
      <c r="H33" s="167">
        <f>Data!DE34</f>
        <v>0</v>
      </c>
      <c r="I33" s="167">
        <f>Data!DF34</f>
        <v>0</v>
      </c>
      <c r="J33" s="167">
        <f>Data!DG34</f>
        <v>0</v>
      </c>
      <c r="K33" s="167">
        <f>Data!DH34</f>
        <v>0</v>
      </c>
      <c r="L33" s="167">
        <f>Data!DI34</f>
        <v>0</v>
      </c>
      <c r="M33" s="167">
        <f>Data!DJ34</f>
        <v>0</v>
      </c>
      <c r="N33" s="167">
        <f>Data!DK34</f>
        <v>0</v>
      </c>
      <c r="O33" s="167">
        <f>Data!DL34</f>
        <v>2</v>
      </c>
      <c r="P33" s="167">
        <f>Data!DM34</f>
        <v>1</v>
      </c>
      <c r="Q33" s="167">
        <f>Data!DN34</f>
        <v>0</v>
      </c>
      <c r="R33" s="167">
        <f>Data!DO34</f>
        <v>1</v>
      </c>
      <c r="S33" s="167">
        <f>Data!DP34</f>
        <v>0</v>
      </c>
      <c r="T33" s="167">
        <f>Data!DQ34</f>
        <v>0</v>
      </c>
      <c r="U33" s="167">
        <f>Data!DR34</f>
        <v>2</v>
      </c>
      <c r="V33" s="167">
        <f t="shared" si="0"/>
        <v>6</v>
      </c>
      <c r="W33" s="64"/>
    </row>
    <row r="34" spans="1:23" s="27" customFormat="1" ht="12" customHeight="1">
      <c r="A34" s="64"/>
      <c r="B34" s="146" t="str">
        <f>UPPER(LEFT(TRIM(Data!B35),1)) &amp; MID(TRIM(Data!B35),2,50)</f>
        <v>Smegenų</v>
      </c>
      <c r="C34" s="146" t="str">
        <f>Data!C35</f>
        <v>C70-C72</v>
      </c>
      <c r="D34" s="165">
        <f>Data!DA35</f>
        <v>0</v>
      </c>
      <c r="E34" s="165">
        <f>Data!DB35</f>
        <v>2</v>
      </c>
      <c r="F34" s="165">
        <f>Data!DC35</f>
        <v>1</v>
      </c>
      <c r="G34" s="165">
        <f>Data!DD35</f>
        <v>0</v>
      </c>
      <c r="H34" s="165">
        <f>Data!DE35</f>
        <v>0</v>
      </c>
      <c r="I34" s="165">
        <f>Data!DF35</f>
        <v>0</v>
      </c>
      <c r="J34" s="165">
        <f>Data!DG35</f>
        <v>2</v>
      </c>
      <c r="K34" s="165">
        <f>Data!DH35</f>
        <v>1</v>
      </c>
      <c r="L34" s="165">
        <f>Data!DI35</f>
        <v>4</v>
      </c>
      <c r="M34" s="165">
        <f>Data!DJ35</f>
        <v>4</v>
      </c>
      <c r="N34" s="165">
        <f>Data!DK35</f>
        <v>4</v>
      </c>
      <c r="O34" s="165">
        <f>Data!DL35</f>
        <v>10</v>
      </c>
      <c r="P34" s="165">
        <f>Data!DM35</f>
        <v>13</v>
      </c>
      <c r="Q34" s="165">
        <f>Data!DN35</f>
        <v>9</v>
      </c>
      <c r="R34" s="165">
        <f>Data!DO35</f>
        <v>22</v>
      </c>
      <c r="S34" s="165">
        <f>Data!DP35</f>
        <v>18</v>
      </c>
      <c r="T34" s="165">
        <f>Data!DQ35</f>
        <v>12</v>
      </c>
      <c r="U34" s="165">
        <f>Data!DR35</f>
        <v>10</v>
      </c>
      <c r="V34" s="165">
        <f t="shared" si="0"/>
        <v>112</v>
      </c>
      <c r="W34" s="64"/>
    </row>
    <row r="35" spans="1:23" s="27" customFormat="1" ht="12" customHeight="1">
      <c r="A35" s="64"/>
      <c r="B35" s="147" t="str">
        <f>UPPER(LEFT(TRIM(Data!B36),1)) &amp; MID(TRIM(Data!B36),2,50)</f>
        <v>Skydliaukės</v>
      </c>
      <c r="C35" s="173" t="str">
        <f>Data!C36</f>
        <v>C73</v>
      </c>
      <c r="D35" s="167">
        <f>Data!DA36</f>
        <v>0</v>
      </c>
      <c r="E35" s="167">
        <f>Data!DB36</f>
        <v>0</v>
      </c>
      <c r="F35" s="167">
        <f>Data!DC36</f>
        <v>0</v>
      </c>
      <c r="G35" s="167">
        <f>Data!DD36</f>
        <v>0</v>
      </c>
      <c r="H35" s="167">
        <f>Data!DE36</f>
        <v>0</v>
      </c>
      <c r="I35" s="167">
        <f>Data!DF36</f>
        <v>0</v>
      </c>
      <c r="J35" s="167">
        <f>Data!DG36</f>
        <v>0</v>
      </c>
      <c r="K35" s="167">
        <f>Data!DH36</f>
        <v>0</v>
      </c>
      <c r="L35" s="167">
        <f>Data!DI36</f>
        <v>0</v>
      </c>
      <c r="M35" s="167">
        <f>Data!DJ36</f>
        <v>0</v>
      </c>
      <c r="N35" s="167">
        <f>Data!DK36</f>
        <v>0</v>
      </c>
      <c r="O35" s="167">
        <f>Data!DL36</f>
        <v>1</v>
      </c>
      <c r="P35" s="167">
        <f>Data!DM36</f>
        <v>2</v>
      </c>
      <c r="Q35" s="167">
        <f>Data!DN36</f>
        <v>2</v>
      </c>
      <c r="R35" s="167">
        <f>Data!DO36</f>
        <v>3</v>
      </c>
      <c r="S35" s="167">
        <f>Data!DP36</f>
        <v>4</v>
      </c>
      <c r="T35" s="167">
        <f>Data!DQ36</f>
        <v>4</v>
      </c>
      <c r="U35" s="167">
        <f>Data!DR36</f>
        <v>3</v>
      </c>
      <c r="V35" s="167">
        <f t="shared" si="0"/>
        <v>19</v>
      </c>
      <c r="W35" s="64"/>
    </row>
    <row r="36" spans="1:23" s="27" customFormat="1" ht="12" customHeight="1">
      <c r="A36" s="64"/>
      <c r="B36" s="146" t="str">
        <f>UPPER(LEFT(TRIM(Data!B37),1)) &amp; MID(TRIM(Data!B37),2,50)</f>
        <v>Kitų endokrininių liaukų</v>
      </c>
      <c r="C36" s="146" t="str">
        <f>Data!C37</f>
        <v>C74-C75</v>
      </c>
      <c r="D36" s="165">
        <f>Data!DA37</f>
        <v>0</v>
      </c>
      <c r="E36" s="165">
        <f>Data!DB37</f>
        <v>0</v>
      </c>
      <c r="F36" s="165">
        <f>Data!DC37</f>
        <v>0</v>
      </c>
      <c r="G36" s="165">
        <f>Data!DD37</f>
        <v>0</v>
      </c>
      <c r="H36" s="165">
        <f>Data!DE37</f>
        <v>0</v>
      </c>
      <c r="I36" s="165">
        <f>Data!DF37</f>
        <v>0</v>
      </c>
      <c r="J36" s="165">
        <f>Data!DG37</f>
        <v>0</v>
      </c>
      <c r="K36" s="165">
        <f>Data!DH37</f>
        <v>0</v>
      </c>
      <c r="L36" s="165">
        <f>Data!DI37</f>
        <v>0</v>
      </c>
      <c r="M36" s="165">
        <f>Data!DJ37</f>
        <v>0</v>
      </c>
      <c r="N36" s="165">
        <f>Data!DK37</f>
        <v>2</v>
      </c>
      <c r="O36" s="165">
        <f>Data!DL37</f>
        <v>0</v>
      </c>
      <c r="P36" s="165">
        <f>Data!DM37</f>
        <v>1</v>
      </c>
      <c r="Q36" s="165">
        <f>Data!DN37</f>
        <v>2</v>
      </c>
      <c r="R36" s="165">
        <f>Data!DO37</f>
        <v>0</v>
      </c>
      <c r="S36" s="165">
        <f>Data!DP37</f>
        <v>1</v>
      </c>
      <c r="T36" s="165">
        <f>Data!DQ37</f>
        <v>0</v>
      </c>
      <c r="U36" s="165">
        <f>Data!DR37</f>
        <v>1</v>
      </c>
      <c r="V36" s="165">
        <f t="shared" si="0"/>
        <v>7</v>
      </c>
      <c r="W36" s="64"/>
    </row>
    <row r="37" spans="1:23" s="27" customFormat="1" ht="12" customHeight="1">
      <c r="A37" s="64"/>
      <c r="B37" s="147" t="str">
        <f>UPPER(LEFT(TRIM(Data!B38),1)) &amp; MID(TRIM(Data!B38),2,50)</f>
        <v>Nepatikslintos lokalizacijos</v>
      </c>
      <c r="C37" s="173" t="str">
        <f>Data!C38</f>
        <v>C76-C80</v>
      </c>
      <c r="D37" s="167">
        <f>Data!DA38</f>
        <v>0</v>
      </c>
      <c r="E37" s="167">
        <f>Data!DB38</f>
        <v>0</v>
      </c>
      <c r="F37" s="167">
        <f>Data!DC38</f>
        <v>0</v>
      </c>
      <c r="G37" s="167">
        <f>Data!DD38</f>
        <v>0</v>
      </c>
      <c r="H37" s="167">
        <f>Data!DE38</f>
        <v>0</v>
      </c>
      <c r="I37" s="167">
        <f>Data!DF38</f>
        <v>0</v>
      </c>
      <c r="J37" s="167">
        <f>Data!DG38</f>
        <v>0</v>
      </c>
      <c r="K37" s="167">
        <f>Data!DH38</f>
        <v>0</v>
      </c>
      <c r="L37" s="167">
        <f>Data!DI38</f>
        <v>3</v>
      </c>
      <c r="M37" s="167">
        <f>Data!DJ38</f>
        <v>7</v>
      </c>
      <c r="N37" s="167">
        <f>Data!DK38</f>
        <v>7</v>
      </c>
      <c r="O37" s="167">
        <f>Data!DL38</f>
        <v>8</v>
      </c>
      <c r="P37" s="167">
        <f>Data!DM38</f>
        <v>7</v>
      </c>
      <c r="Q37" s="167">
        <f>Data!DN38</f>
        <v>16</v>
      </c>
      <c r="R37" s="167">
        <f>Data!DO38</f>
        <v>20</v>
      </c>
      <c r="S37" s="167">
        <f>Data!DP38</f>
        <v>23</v>
      </c>
      <c r="T37" s="167">
        <f>Data!DQ38</f>
        <v>39</v>
      </c>
      <c r="U37" s="167">
        <f>Data!DR38</f>
        <v>42</v>
      </c>
      <c r="V37" s="167">
        <f t="shared" si="0"/>
        <v>172</v>
      </c>
      <c r="W37" s="64"/>
    </row>
    <row r="38" spans="1:23" s="27" customFormat="1" ht="12" customHeight="1">
      <c r="A38" s="64"/>
      <c r="B38" s="146" t="str">
        <f>UPPER(LEFT(TRIM(Data!B39),1)) &amp; MID(TRIM(Data!B39),2,50)</f>
        <v>Hodžkino limfomos</v>
      </c>
      <c r="C38" s="146" t="str">
        <f>Data!C39</f>
        <v>C81</v>
      </c>
      <c r="D38" s="165">
        <f>Data!DA39</f>
        <v>0</v>
      </c>
      <c r="E38" s="165">
        <f>Data!DB39</f>
        <v>0</v>
      </c>
      <c r="F38" s="165">
        <f>Data!DC39</f>
        <v>0</v>
      </c>
      <c r="G38" s="165">
        <f>Data!DD39</f>
        <v>0</v>
      </c>
      <c r="H38" s="165">
        <f>Data!DE39</f>
        <v>0</v>
      </c>
      <c r="I38" s="165">
        <f>Data!DF39</f>
        <v>0</v>
      </c>
      <c r="J38" s="165">
        <f>Data!DG39</f>
        <v>0</v>
      </c>
      <c r="K38" s="165">
        <f>Data!DH39</f>
        <v>1</v>
      </c>
      <c r="L38" s="165">
        <f>Data!DI39</f>
        <v>1</v>
      </c>
      <c r="M38" s="165">
        <f>Data!DJ39</f>
        <v>0</v>
      </c>
      <c r="N38" s="165">
        <f>Data!DK39</f>
        <v>0</v>
      </c>
      <c r="O38" s="165">
        <f>Data!DL39</f>
        <v>0</v>
      </c>
      <c r="P38" s="165">
        <f>Data!DM39</f>
        <v>0</v>
      </c>
      <c r="Q38" s="165">
        <f>Data!DN39</f>
        <v>0</v>
      </c>
      <c r="R38" s="165">
        <f>Data!DO39</f>
        <v>1</v>
      </c>
      <c r="S38" s="165">
        <f>Data!DP39</f>
        <v>0</v>
      </c>
      <c r="T38" s="165">
        <f>Data!DQ39</f>
        <v>1</v>
      </c>
      <c r="U38" s="165">
        <f>Data!DR39</f>
        <v>1</v>
      </c>
      <c r="V38" s="165">
        <f t="shared" si="0"/>
        <v>5</v>
      </c>
      <c r="W38" s="64"/>
    </row>
    <row r="39" spans="1:23" s="27" customFormat="1" ht="12" customHeight="1">
      <c r="A39" s="64"/>
      <c r="B39" s="147" t="str">
        <f>UPPER(LEFT(TRIM(Data!B40),1)) &amp; MID(TRIM(Data!B40),2,50)</f>
        <v>Ne Hodžkino limfomos</v>
      </c>
      <c r="C39" s="173" t="str">
        <f>Data!C40</f>
        <v>C82-C85</v>
      </c>
      <c r="D39" s="167">
        <f>Data!DA40</f>
        <v>0</v>
      </c>
      <c r="E39" s="167">
        <f>Data!DB40</f>
        <v>0</v>
      </c>
      <c r="F39" s="167">
        <f>Data!DC40</f>
        <v>0</v>
      </c>
      <c r="G39" s="167">
        <f>Data!DD40</f>
        <v>0</v>
      </c>
      <c r="H39" s="167">
        <f>Data!DE40</f>
        <v>0</v>
      </c>
      <c r="I39" s="167">
        <f>Data!DF40</f>
        <v>0</v>
      </c>
      <c r="J39" s="167">
        <f>Data!DG40</f>
        <v>0</v>
      </c>
      <c r="K39" s="167">
        <f>Data!DH40</f>
        <v>1</v>
      </c>
      <c r="L39" s="167">
        <f>Data!DI40</f>
        <v>1</v>
      </c>
      <c r="M39" s="167">
        <f>Data!DJ40</f>
        <v>1</v>
      </c>
      <c r="N39" s="167">
        <f>Data!DK40</f>
        <v>1</v>
      </c>
      <c r="O39" s="167">
        <f>Data!DL40</f>
        <v>2</v>
      </c>
      <c r="P39" s="167">
        <f>Data!DM40</f>
        <v>7</v>
      </c>
      <c r="Q39" s="167">
        <f>Data!DN40</f>
        <v>5</v>
      </c>
      <c r="R39" s="167">
        <f>Data!DO40</f>
        <v>12</v>
      </c>
      <c r="S39" s="167">
        <f>Data!DP40</f>
        <v>11</v>
      </c>
      <c r="T39" s="167">
        <f>Data!DQ40</f>
        <v>16</v>
      </c>
      <c r="U39" s="167">
        <f>Data!DR40</f>
        <v>12</v>
      </c>
      <c r="V39" s="167">
        <f t="shared" si="0"/>
        <v>69</v>
      </c>
      <c r="W39" s="64"/>
    </row>
    <row r="40" spans="1:23" s="27" customFormat="1" ht="12" customHeight="1">
      <c r="A40" s="64"/>
      <c r="B40" s="146" t="str">
        <f>UPPER(LEFT(TRIM(Data!B41),1)) &amp; MID(TRIM(Data!B41),2,50)</f>
        <v>Mielominės ligos</v>
      </c>
      <c r="C40" s="146" t="str">
        <f>Data!C41</f>
        <v>C90</v>
      </c>
      <c r="D40" s="165">
        <f>Data!DA41</f>
        <v>0</v>
      </c>
      <c r="E40" s="165">
        <f>Data!DB41</f>
        <v>0</v>
      </c>
      <c r="F40" s="165">
        <f>Data!DC41</f>
        <v>0</v>
      </c>
      <c r="G40" s="165">
        <f>Data!DD41</f>
        <v>0</v>
      </c>
      <c r="H40" s="165">
        <f>Data!DE41</f>
        <v>0</v>
      </c>
      <c r="I40" s="165">
        <f>Data!DF41</f>
        <v>1</v>
      </c>
      <c r="J40" s="165">
        <f>Data!DG41</f>
        <v>0</v>
      </c>
      <c r="K40" s="165">
        <f>Data!DH41</f>
        <v>0</v>
      </c>
      <c r="L40" s="165">
        <f>Data!DI41</f>
        <v>0</v>
      </c>
      <c r="M40" s="165">
        <f>Data!DJ41</f>
        <v>0</v>
      </c>
      <c r="N40" s="165">
        <f>Data!DK41</f>
        <v>1</v>
      </c>
      <c r="O40" s="165">
        <f>Data!DL41</f>
        <v>5</v>
      </c>
      <c r="P40" s="165">
        <f>Data!DM41</f>
        <v>5</v>
      </c>
      <c r="Q40" s="165">
        <f>Data!DN41</f>
        <v>7</v>
      </c>
      <c r="R40" s="165">
        <f>Data!DO41</f>
        <v>7</v>
      </c>
      <c r="S40" s="165">
        <f>Data!DP41</f>
        <v>7</v>
      </c>
      <c r="T40" s="165">
        <f>Data!DQ41</f>
        <v>8</v>
      </c>
      <c r="U40" s="165">
        <f>Data!DR41</f>
        <v>8</v>
      </c>
      <c r="V40" s="165">
        <f t="shared" si="0"/>
        <v>49</v>
      </c>
      <c r="W40" s="64"/>
    </row>
    <row r="41" spans="1:23" s="27" customFormat="1" ht="12" customHeight="1">
      <c r="A41" s="64"/>
      <c r="B41" s="147" t="str">
        <f>UPPER(LEFT(TRIM(Data!B42),1)) &amp; MID(TRIM(Data!B42),2,50)</f>
        <v>Leukemijos</v>
      </c>
      <c r="C41" s="173" t="str">
        <f>Data!C42</f>
        <v>C91-C95</v>
      </c>
      <c r="D41" s="167">
        <f>Data!DA42</f>
        <v>1</v>
      </c>
      <c r="E41" s="167">
        <f>Data!DB42</f>
        <v>0</v>
      </c>
      <c r="F41" s="167">
        <f>Data!DC42</f>
        <v>0</v>
      </c>
      <c r="G41" s="167">
        <f>Data!DD42</f>
        <v>0</v>
      </c>
      <c r="H41" s="167">
        <f>Data!DE42</f>
        <v>0</v>
      </c>
      <c r="I41" s="167">
        <f>Data!DF42</f>
        <v>2</v>
      </c>
      <c r="J41" s="167">
        <f>Data!DG42</f>
        <v>0</v>
      </c>
      <c r="K41" s="167">
        <f>Data!DH42</f>
        <v>0</v>
      </c>
      <c r="L41" s="167">
        <f>Data!DI42</f>
        <v>2</v>
      </c>
      <c r="M41" s="167">
        <f>Data!DJ42</f>
        <v>3</v>
      </c>
      <c r="N41" s="167">
        <f>Data!DK42</f>
        <v>5</v>
      </c>
      <c r="O41" s="167">
        <f>Data!DL42</f>
        <v>2</v>
      </c>
      <c r="P41" s="167">
        <f>Data!DM42</f>
        <v>10</v>
      </c>
      <c r="Q41" s="167">
        <f>Data!DN42</f>
        <v>10</v>
      </c>
      <c r="R41" s="167">
        <f>Data!DO42</f>
        <v>19</v>
      </c>
      <c r="S41" s="167">
        <f>Data!DP42</f>
        <v>29</v>
      </c>
      <c r="T41" s="167">
        <f>Data!DQ42</f>
        <v>34</v>
      </c>
      <c r="U41" s="167">
        <f>Data!DR42</f>
        <v>26</v>
      </c>
      <c r="V41" s="167">
        <f t="shared" si="0"/>
        <v>143</v>
      </c>
      <c r="W41" s="64"/>
    </row>
    <row r="42" spans="1:23" s="27" customFormat="1" ht="12" customHeight="1">
      <c r="A42" s="64"/>
      <c r="B42" s="146" t="str">
        <f>UPPER(LEFT(TRIM(Data!B43),1)) &amp; MID(TRIM(Data!B43),2,50)</f>
        <v>Kiti limfinio, kraujodaros audinių</v>
      </c>
      <c r="C42" s="146" t="str">
        <f>Data!C43</f>
        <v>C88, C96</v>
      </c>
      <c r="D42" s="165">
        <f>Data!DA43</f>
        <v>0</v>
      </c>
      <c r="E42" s="165">
        <f>Data!DB43</f>
        <v>0</v>
      </c>
      <c r="F42" s="165">
        <f>Data!DC43</f>
        <v>0</v>
      </c>
      <c r="G42" s="165">
        <f>Data!DD43</f>
        <v>0</v>
      </c>
      <c r="H42" s="165">
        <f>Data!DE43</f>
        <v>0</v>
      </c>
      <c r="I42" s="165">
        <f>Data!DF43</f>
        <v>0</v>
      </c>
      <c r="J42" s="165">
        <f>Data!DG43</f>
        <v>0</v>
      </c>
      <c r="K42" s="165">
        <f>Data!DH43</f>
        <v>0</v>
      </c>
      <c r="L42" s="165">
        <f>Data!DI43</f>
        <v>0</v>
      </c>
      <c r="M42" s="165">
        <f>Data!DJ43</f>
        <v>0</v>
      </c>
      <c r="N42" s="165">
        <f>Data!DK43</f>
        <v>0</v>
      </c>
      <c r="O42" s="165">
        <f>Data!DL43</f>
        <v>0</v>
      </c>
      <c r="P42" s="165">
        <f>Data!DM43</f>
        <v>0</v>
      </c>
      <c r="Q42" s="165">
        <f>Data!DN43</f>
        <v>0</v>
      </c>
      <c r="R42" s="165">
        <f>Data!DO43</f>
        <v>0</v>
      </c>
      <c r="S42" s="165">
        <f>Data!DP43</f>
        <v>0</v>
      </c>
      <c r="T42" s="165">
        <f>Data!DQ43</f>
        <v>0</v>
      </c>
      <c r="U42" s="165">
        <f>Data!DR43</f>
        <v>0</v>
      </c>
      <c r="V42" s="165">
        <f t="shared" si="0"/>
        <v>0</v>
      </c>
      <c r="W42" s="64"/>
    </row>
    <row r="43" spans="1:23" s="27" customFormat="1" ht="11.25" customHeight="1">
      <c r="A43" s="64"/>
      <c r="B43" s="106"/>
      <c r="C43" s="116"/>
      <c r="D43" s="117"/>
      <c r="E43" s="117"/>
      <c r="F43" s="117"/>
      <c r="G43" s="117"/>
      <c r="H43" s="117"/>
      <c r="I43" s="117"/>
      <c r="J43" s="117"/>
      <c r="K43" s="117"/>
      <c r="L43" s="117"/>
      <c r="M43" s="117"/>
      <c r="N43" s="117"/>
      <c r="O43" s="117"/>
      <c r="P43" s="117"/>
      <c r="Q43" s="117"/>
      <c r="R43" s="117"/>
      <c r="S43" s="117"/>
      <c r="T43" s="117"/>
      <c r="U43" s="117"/>
      <c r="V43" s="117"/>
      <c r="W43" s="64"/>
    </row>
    <row r="44" spans="1:23" s="27" customFormat="1" ht="11.25" customHeight="1">
      <c r="A44" s="64"/>
      <c r="B44" s="93" t="str">
        <f>UPPER(LEFT(TRIM(Data!B44),1)) &amp; MID(TRIM(Data!B44),2,50)</f>
        <v>Melanoma in situ</v>
      </c>
      <c r="C44" s="93" t="str">
        <f>Data!C44</f>
        <v>D03</v>
      </c>
      <c r="D44" s="110">
        <f>Data!DA44</f>
        <v>0</v>
      </c>
      <c r="E44" s="110">
        <f>Data!DB44</f>
        <v>0</v>
      </c>
      <c r="F44" s="110">
        <f>Data!DC44</f>
        <v>0</v>
      </c>
      <c r="G44" s="110">
        <f>Data!DD44</f>
        <v>0</v>
      </c>
      <c r="H44" s="110">
        <f>Data!DE44</f>
        <v>0</v>
      </c>
      <c r="I44" s="110">
        <f>Data!DF44</f>
        <v>0</v>
      </c>
      <c r="J44" s="110">
        <f>Data!DG44</f>
        <v>0</v>
      </c>
      <c r="K44" s="110">
        <f>Data!DH44</f>
        <v>0</v>
      </c>
      <c r="L44" s="110">
        <f>Data!DI44</f>
        <v>0</v>
      </c>
      <c r="M44" s="110">
        <f>Data!DJ44</f>
        <v>0</v>
      </c>
      <c r="N44" s="110">
        <f>Data!DK44</f>
        <v>0</v>
      </c>
      <c r="O44" s="110">
        <f>Data!DL44</f>
        <v>0</v>
      </c>
      <c r="P44" s="110">
        <f>Data!DM44</f>
        <v>0</v>
      </c>
      <c r="Q44" s="110">
        <f>Data!DN44</f>
        <v>0</v>
      </c>
      <c r="R44" s="110">
        <f>Data!DO44</f>
        <v>0</v>
      </c>
      <c r="S44" s="110">
        <f>Data!DP44</f>
        <v>0</v>
      </c>
      <c r="T44" s="110">
        <f>Data!DQ44</f>
        <v>0</v>
      </c>
      <c r="U44" s="110">
        <f>Data!DR44</f>
        <v>0</v>
      </c>
      <c r="V44" s="110">
        <f t="shared" si="0"/>
        <v>0</v>
      </c>
      <c r="W44" s="64"/>
    </row>
    <row r="45" spans="1:23" s="27" customFormat="1" ht="11.25" customHeight="1">
      <c r="A45" s="64"/>
      <c r="B45" s="100" t="str">
        <f>UPPER(LEFT(TRIM(Data!B45),1)) &amp; MID(TRIM(Data!B45),2,50)</f>
        <v>Krūties navikai in situ</v>
      </c>
      <c r="C45" s="120" t="str">
        <f>Data!C45</f>
        <v>D05</v>
      </c>
      <c r="D45" s="121">
        <f>Data!DA45</f>
        <v>0</v>
      </c>
      <c r="E45" s="121">
        <f>Data!DB45</f>
        <v>0</v>
      </c>
      <c r="F45" s="121">
        <f>Data!DC45</f>
        <v>0</v>
      </c>
      <c r="G45" s="121">
        <f>Data!DD45</f>
        <v>0</v>
      </c>
      <c r="H45" s="121">
        <f>Data!DE45</f>
        <v>0</v>
      </c>
      <c r="I45" s="121">
        <f>Data!DF45</f>
        <v>0</v>
      </c>
      <c r="J45" s="121">
        <f>Data!DG45</f>
        <v>0</v>
      </c>
      <c r="K45" s="121">
        <f>Data!DH45</f>
        <v>0</v>
      </c>
      <c r="L45" s="121">
        <f>Data!DI45</f>
        <v>0</v>
      </c>
      <c r="M45" s="121">
        <f>Data!DJ45</f>
        <v>0</v>
      </c>
      <c r="N45" s="121">
        <f>Data!DK45</f>
        <v>0</v>
      </c>
      <c r="O45" s="121">
        <f>Data!DL45</f>
        <v>0</v>
      </c>
      <c r="P45" s="121">
        <f>Data!DM45</f>
        <v>0</v>
      </c>
      <c r="Q45" s="121">
        <f>Data!DN45</f>
        <v>0</v>
      </c>
      <c r="R45" s="121">
        <f>Data!DO45</f>
        <v>0</v>
      </c>
      <c r="S45" s="121">
        <f>Data!DP45</f>
        <v>0</v>
      </c>
      <c r="T45" s="121">
        <f>Data!DQ45</f>
        <v>0</v>
      </c>
      <c r="U45" s="121">
        <f>Data!DR45</f>
        <v>0</v>
      </c>
      <c r="V45" s="121">
        <f t="shared" si="0"/>
        <v>0</v>
      </c>
      <c r="W45" s="64"/>
    </row>
    <row r="46" spans="1:23" s="27" customFormat="1" ht="11.25" customHeight="1">
      <c r="A46" s="64"/>
      <c r="B46" s="99" t="str">
        <f>UPPER(LEFT(TRIM(Data!B46),1)) &amp; MID(TRIM(Data!B46),2,50)</f>
        <v>Gimdos kaklelio in situ</v>
      </c>
      <c r="C46" s="99" t="str">
        <f>Data!C46</f>
        <v>D06</v>
      </c>
      <c r="D46" s="118">
        <f>Data!DA46</f>
        <v>0</v>
      </c>
      <c r="E46" s="118">
        <f>Data!DB46</f>
        <v>0</v>
      </c>
      <c r="F46" s="118">
        <f>Data!DC46</f>
        <v>0</v>
      </c>
      <c r="G46" s="118">
        <f>Data!DD46</f>
        <v>0</v>
      </c>
      <c r="H46" s="118">
        <f>Data!DE46</f>
        <v>0</v>
      </c>
      <c r="I46" s="118">
        <f>Data!DF46</f>
        <v>0</v>
      </c>
      <c r="J46" s="118">
        <f>Data!DG46</f>
        <v>0</v>
      </c>
      <c r="K46" s="118">
        <f>Data!DH46</f>
        <v>0</v>
      </c>
      <c r="L46" s="118">
        <f>Data!DI46</f>
        <v>0</v>
      </c>
      <c r="M46" s="118">
        <f>Data!DJ46</f>
        <v>0</v>
      </c>
      <c r="N46" s="118">
        <f>Data!DK46</f>
        <v>0</v>
      </c>
      <c r="O46" s="118">
        <f>Data!DL46</f>
        <v>0</v>
      </c>
      <c r="P46" s="118">
        <f>Data!DM46</f>
        <v>0</v>
      </c>
      <c r="Q46" s="118">
        <f>Data!DN46</f>
        <v>0</v>
      </c>
      <c r="R46" s="118">
        <f>Data!DO46</f>
        <v>0</v>
      </c>
      <c r="S46" s="118">
        <f>Data!DP46</f>
        <v>0</v>
      </c>
      <c r="T46" s="118">
        <f>Data!DQ46</f>
        <v>0</v>
      </c>
      <c r="U46" s="118">
        <f>Data!DR46</f>
        <v>0</v>
      </c>
      <c r="V46" s="118">
        <f t="shared" si="0"/>
        <v>0</v>
      </c>
      <c r="W46" s="64"/>
    </row>
    <row r="47" spans="1:23" s="27" customFormat="1" ht="11.25" customHeight="1">
      <c r="A47" s="64"/>
      <c r="B47" s="100" t="str">
        <f>UPPER(LEFT(TRIM(Data!B47),1)) &amp; MID(TRIM(Data!B47),2,50)</f>
        <v>Šlapimo pūslės in situ</v>
      </c>
      <c r="C47" s="120" t="str">
        <f>Data!C47</f>
        <v>D09.0</v>
      </c>
      <c r="D47" s="121">
        <f>Data!DA47</f>
        <v>0</v>
      </c>
      <c r="E47" s="121">
        <f>Data!DB47</f>
        <v>0</v>
      </c>
      <c r="F47" s="121">
        <f>Data!DC47</f>
        <v>0</v>
      </c>
      <c r="G47" s="121">
        <f>Data!DD47</f>
        <v>0</v>
      </c>
      <c r="H47" s="121">
        <f>Data!DE47</f>
        <v>0</v>
      </c>
      <c r="I47" s="121">
        <f>Data!DF47</f>
        <v>0</v>
      </c>
      <c r="J47" s="121">
        <f>Data!DG47</f>
        <v>0</v>
      </c>
      <c r="K47" s="121">
        <f>Data!DH47</f>
        <v>0</v>
      </c>
      <c r="L47" s="121">
        <f>Data!DI47</f>
        <v>0</v>
      </c>
      <c r="M47" s="121">
        <f>Data!DJ47</f>
        <v>0</v>
      </c>
      <c r="N47" s="121">
        <f>Data!DK47</f>
        <v>0</v>
      </c>
      <c r="O47" s="121">
        <f>Data!DL47</f>
        <v>0</v>
      </c>
      <c r="P47" s="121">
        <f>Data!DM47</f>
        <v>0</v>
      </c>
      <c r="Q47" s="121">
        <f>Data!DN47</f>
        <v>0</v>
      </c>
      <c r="R47" s="121">
        <f>Data!DO47</f>
        <v>0</v>
      </c>
      <c r="S47" s="121">
        <f>Data!DP47</f>
        <v>0</v>
      </c>
      <c r="T47" s="121">
        <f>Data!DQ47</f>
        <v>0</v>
      </c>
      <c r="U47" s="121">
        <f>Data!DR47</f>
        <v>0</v>
      </c>
      <c r="V47" s="121">
        <f t="shared" si="0"/>
        <v>0</v>
      </c>
      <c r="W47" s="64"/>
    </row>
    <row r="48" spans="1:23" s="27" customFormat="1" ht="11.25" customHeight="1">
      <c r="A48" s="64"/>
      <c r="B48" s="99" t="str">
        <f>UPPER(LEFT(TRIM(Data!B48),1)) &amp; MID(TRIM(Data!B48),2,50)</f>
        <v>Nervų sistemos gerybiniai navikai</v>
      </c>
      <c r="C48" s="99" t="str">
        <f>Data!C48</f>
        <v>D32, D33</v>
      </c>
      <c r="D48" s="118">
        <f>Data!DA48</f>
        <v>0</v>
      </c>
      <c r="E48" s="118">
        <f>Data!DB48</f>
        <v>0</v>
      </c>
      <c r="F48" s="118">
        <f>Data!DC48</f>
        <v>0</v>
      </c>
      <c r="G48" s="118">
        <f>Data!DD48</f>
        <v>0</v>
      </c>
      <c r="H48" s="118">
        <f>Data!DE48</f>
        <v>0</v>
      </c>
      <c r="I48" s="118">
        <f>Data!DF48</f>
        <v>0</v>
      </c>
      <c r="J48" s="118">
        <f>Data!DG48</f>
        <v>0</v>
      </c>
      <c r="K48" s="118">
        <f>Data!DH48</f>
        <v>0</v>
      </c>
      <c r="L48" s="118">
        <f>Data!DI48</f>
        <v>0</v>
      </c>
      <c r="M48" s="118">
        <f>Data!DJ48</f>
        <v>0</v>
      </c>
      <c r="N48" s="118">
        <f>Data!DK48</f>
        <v>0</v>
      </c>
      <c r="O48" s="118">
        <f>Data!DL48</f>
        <v>1</v>
      </c>
      <c r="P48" s="118">
        <f>Data!DM48</f>
        <v>3</v>
      </c>
      <c r="Q48" s="118">
        <f>Data!DN48</f>
        <v>1</v>
      </c>
      <c r="R48" s="118">
        <f>Data!DO48</f>
        <v>3</v>
      </c>
      <c r="S48" s="118">
        <f>Data!DP48</f>
        <v>6</v>
      </c>
      <c r="T48" s="118">
        <f>Data!DQ48</f>
        <v>4</v>
      </c>
      <c r="U48" s="118">
        <f>Data!DR48</f>
        <v>2</v>
      </c>
      <c r="V48" s="118">
        <f t="shared" si="0"/>
        <v>20</v>
      </c>
      <c r="W48" s="64"/>
    </row>
    <row r="49" spans="1:23" s="27" customFormat="1" ht="11.25" customHeight="1">
      <c r="A49" s="64"/>
      <c r="B49" s="100" t="str">
        <f>UPPER(LEFT(TRIM(Data!B49),1)) &amp; MID(TRIM(Data!B49),2,50)</f>
        <v>Kiaušidžių</v>
      </c>
      <c r="C49" s="120" t="str">
        <f>Data!C49</f>
        <v>D39.1</v>
      </c>
      <c r="D49" s="121">
        <f>Data!DA49</f>
        <v>0</v>
      </c>
      <c r="E49" s="121">
        <f>Data!DB49</f>
        <v>0</v>
      </c>
      <c r="F49" s="121">
        <f>Data!DC49</f>
        <v>0</v>
      </c>
      <c r="G49" s="121">
        <f>Data!DD49</f>
        <v>0</v>
      </c>
      <c r="H49" s="121">
        <f>Data!DE49</f>
        <v>0</v>
      </c>
      <c r="I49" s="121">
        <f>Data!DF49</f>
        <v>0</v>
      </c>
      <c r="J49" s="121">
        <f>Data!DG49</f>
        <v>0</v>
      </c>
      <c r="K49" s="121">
        <f>Data!DH49</f>
        <v>0</v>
      </c>
      <c r="L49" s="121">
        <f>Data!DI49</f>
        <v>0</v>
      </c>
      <c r="M49" s="121">
        <f>Data!DJ49</f>
        <v>0</v>
      </c>
      <c r="N49" s="121">
        <f>Data!DK49</f>
        <v>0</v>
      </c>
      <c r="O49" s="121">
        <f>Data!DL49</f>
        <v>0</v>
      </c>
      <c r="P49" s="121">
        <f>Data!DM49</f>
        <v>0</v>
      </c>
      <c r="Q49" s="121">
        <f>Data!DN49</f>
        <v>0</v>
      </c>
      <c r="R49" s="121">
        <f>Data!DO49</f>
        <v>0</v>
      </c>
      <c r="S49" s="121">
        <f>Data!DP49</f>
        <v>0</v>
      </c>
      <c r="T49" s="121">
        <f>Data!DQ49</f>
        <v>0</v>
      </c>
      <c r="U49" s="121">
        <f>Data!DR49</f>
        <v>0</v>
      </c>
      <c r="V49" s="121">
        <f t="shared" si="0"/>
        <v>0</v>
      </c>
      <c r="W49" s="64"/>
    </row>
    <row r="50" spans="1:23" s="27" customFormat="1" ht="11.25" customHeight="1">
      <c r="A50" s="64"/>
      <c r="B50" s="99" t="str">
        <f>UPPER(LEFT(TRIM(Data!B50),1)) &amp; MID(TRIM(Data!B50),2,50)</f>
        <v>Kiti nervų sistemos</v>
      </c>
      <c r="C50" s="99" t="str">
        <f>Data!C50</f>
        <v>D42, D43</v>
      </c>
      <c r="D50" s="118">
        <f>Data!DA50</f>
        <v>0</v>
      </c>
      <c r="E50" s="118">
        <f>Data!DB50</f>
        <v>0</v>
      </c>
      <c r="F50" s="118">
        <f>Data!DC50</f>
        <v>0</v>
      </c>
      <c r="G50" s="118">
        <f>Data!DD50</f>
        <v>0</v>
      </c>
      <c r="H50" s="118">
        <f>Data!DE50</f>
        <v>0</v>
      </c>
      <c r="I50" s="118">
        <f>Data!DF50</f>
        <v>0</v>
      </c>
      <c r="J50" s="118">
        <f>Data!DG50</f>
        <v>0</v>
      </c>
      <c r="K50" s="118">
        <f>Data!DH50</f>
        <v>0</v>
      </c>
      <c r="L50" s="118">
        <f>Data!DI50</f>
        <v>0</v>
      </c>
      <c r="M50" s="118">
        <f>Data!DJ50</f>
        <v>0</v>
      </c>
      <c r="N50" s="118">
        <f>Data!DK50</f>
        <v>0</v>
      </c>
      <c r="O50" s="118">
        <f>Data!DL50</f>
        <v>2</v>
      </c>
      <c r="P50" s="118">
        <f>Data!DM50</f>
        <v>0</v>
      </c>
      <c r="Q50" s="118">
        <f>Data!DN50</f>
        <v>1</v>
      </c>
      <c r="R50" s="118">
        <f>Data!DO50</f>
        <v>1</v>
      </c>
      <c r="S50" s="118">
        <f>Data!DP50</f>
        <v>1</v>
      </c>
      <c r="T50" s="118">
        <f>Data!DQ50</f>
        <v>2</v>
      </c>
      <c r="U50" s="118">
        <f>Data!DR50</f>
        <v>0</v>
      </c>
      <c r="V50" s="118">
        <f t="shared" si="0"/>
        <v>7</v>
      </c>
      <c r="W50" s="64"/>
    </row>
    <row r="51" spans="1:23" s="27" customFormat="1" ht="11.25" customHeight="1">
      <c r="A51" s="64"/>
      <c r="B51" s="100" t="str">
        <f>UPPER(LEFT(TRIM(Data!B51),1)) &amp; MID(TRIM(Data!B51),2,50)</f>
        <v>Limfinio ir kraujodaros audinių</v>
      </c>
      <c r="C51" s="120" t="str">
        <f>Data!C51</f>
        <v>D45-D47</v>
      </c>
      <c r="D51" s="121">
        <f>Data!DA51</f>
        <v>0</v>
      </c>
      <c r="E51" s="121">
        <f>Data!DB51</f>
        <v>0</v>
      </c>
      <c r="F51" s="121">
        <f>Data!DC51</f>
        <v>0</v>
      </c>
      <c r="G51" s="121">
        <f>Data!DD51</f>
        <v>0</v>
      </c>
      <c r="H51" s="121">
        <f>Data!DE51</f>
        <v>1</v>
      </c>
      <c r="I51" s="121">
        <f>Data!DF51</f>
        <v>0</v>
      </c>
      <c r="J51" s="121">
        <f>Data!DG51</f>
        <v>0</v>
      </c>
      <c r="K51" s="121">
        <f>Data!DH51</f>
        <v>0</v>
      </c>
      <c r="L51" s="121">
        <f>Data!DI51</f>
        <v>0</v>
      </c>
      <c r="M51" s="121">
        <f>Data!DJ51</f>
        <v>0</v>
      </c>
      <c r="N51" s="121">
        <f>Data!DK51</f>
        <v>0</v>
      </c>
      <c r="O51" s="121">
        <f>Data!DL51</f>
        <v>0</v>
      </c>
      <c r="P51" s="121">
        <f>Data!DM51</f>
        <v>2</v>
      </c>
      <c r="Q51" s="121">
        <f>Data!DN51</f>
        <v>1</v>
      </c>
      <c r="R51" s="121">
        <f>Data!DO51</f>
        <v>4</v>
      </c>
      <c r="S51" s="121">
        <f>Data!DP51</f>
        <v>7</v>
      </c>
      <c r="T51" s="121">
        <f>Data!DQ51</f>
        <v>6</v>
      </c>
      <c r="U51" s="121">
        <f>Data!DR51</f>
        <v>4</v>
      </c>
      <c r="V51" s="121">
        <f t="shared" si="0"/>
        <v>25</v>
      </c>
      <c r="W51" s="64"/>
    </row>
    <row r="52" spans="1:23">
      <c r="A52" s="66"/>
      <c r="B52" s="66"/>
      <c r="C52" s="66"/>
      <c r="D52" s="66"/>
      <c r="E52" s="66"/>
      <c r="F52" s="66"/>
      <c r="G52" s="66"/>
      <c r="H52" s="66"/>
      <c r="I52" s="66"/>
      <c r="J52" s="66"/>
      <c r="K52" s="66"/>
      <c r="L52" s="66"/>
      <c r="M52" s="66"/>
      <c r="N52" s="66"/>
      <c r="O52" s="66"/>
      <c r="P52" s="66"/>
      <c r="Q52" s="66"/>
      <c r="R52" s="66"/>
      <c r="S52" s="66"/>
      <c r="T52" s="66"/>
      <c r="U52" s="66"/>
      <c r="V52" s="66"/>
      <c r="W52" s="66"/>
    </row>
    <row r="53" spans="1:23">
      <c r="A53" s="66"/>
      <c r="B53" s="66"/>
      <c r="C53" s="66"/>
      <c r="D53" s="66"/>
      <c r="E53" s="66"/>
      <c r="F53" s="66"/>
      <c r="G53" s="66"/>
      <c r="H53" s="66"/>
      <c r="I53" s="66"/>
      <c r="J53" s="66"/>
      <c r="K53" s="66"/>
      <c r="L53" s="66"/>
      <c r="M53" s="66"/>
      <c r="N53" s="66"/>
      <c r="O53" s="66"/>
      <c r="P53" s="66"/>
      <c r="Q53" s="66"/>
      <c r="R53" s="66"/>
      <c r="S53" s="66"/>
      <c r="T53" s="66"/>
      <c r="U53" s="66"/>
      <c r="V53" s="66"/>
      <c r="W53" s="66"/>
    </row>
    <row r="54" spans="1:23">
      <c r="A54" s="66"/>
      <c r="B54" s="66"/>
      <c r="C54" s="66"/>
      <c r="D54" s="66"/>
      <c r="E54" s="66"/>
      <c r="F54" s="66"/>
      <c r="G54" s="66"/>
      <c r="H54" s="66"/>
      <c r="I54" s="66"/>
      <c r="J54" s="66"/>
      <c r="K54" s="66"/>
      <c r="L54" s="66"/>
      <c r="M54" s="66"/>
      <c r="N54" s="66"/>
      <c r="O54" s="66"/>
      <c r="P54" s="66"/>
      <c r="Q54" s="66"/>
      <c r="R54" s="66"/>
      <c r="S54" s="66"/>
      <c r="T54" s="66"/>
      <c r="U54" s="66"/>
      <c r="V54" s="66"/>
      <c r="W54" s="66"/>
    </row>
  </sheetData>
  <mergeCells count="4">
    <mergeCell ref="B4:B5"/>
    <mergeCell ref="C4:C5"/>
    <mergeCell ref="D4:U4"/>
    <mergeCell ref="V4:V5"/>
  </mergeCells>
  <phoneticPr fontId="13" type="noConversion"/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1">
    <tabColor theme="4"/>
  </sheetPr>
  <dimension ref="A1:W45"/>
  <sheetViews>
    <sheetView workbookViewId="0">
      <selection activeCell="B4" sqref="B4"/>
    </sheetView>
  </sheetViews>
  <sheetFormatPr defaultRowHeight="11.25"/>
  <cols>
    <col min="1" max="1" width="1.7109375" style="179" customWidth="1"/>
    <col min="2" max="2" width="28.7109375" style="179" customWidth="1"/>
    <col min="3" max="3" width="23.7109375" style="179" customWidth="1"/>
    <col min="4" max="16" width="6" style="179" customWidth="1"/>
    <col min="17" max="21" width="6.28515625" style="179" customWidth="1"/>
    <col min="22" max="22" width="7.28515625" style="179" customWidth="1"/>
    <col min="23" max="32" width="0.85546875" style="179" customWidth="1"/>
    <col min="33" max="16384" width="9.140625" style="179"/>
  </cols>
  <sheetData>
    <row r="1" spans="1:23" ht="15">
      <c r="A1" s="178"/>
      <c r="B1" s="524" t="s">
        <v>404</v>
      </c>
      <c r="C1" s="525"/>
      <c r="D1" s="525"/>
      <c r="E1" s="525"/>
      <c r="F1" s="525"/>
      <c r="G1" s="525"/>
      <c r="H1" s="525"/>
      <c r="I1" s="525"/>
      <c r="J1" s="525"/>
      <c r="K1" s="178"/>
      <c r="L1" s="178"/>
      <c r="M1" s="178"/>
      <c r="N1" s="178"/>
      <c r="O1" s="178"/>
      <c r="P1" s="178"/>
      <c r="Q1" s="178"/>
      <c r="R1" s="178"/>
      <c r="S1" s="178"/>
      <c r="T1" s="178"/>
      <c r="U1" s="178"/>
      <c r="V1" s="178"/>
      <c r="W1" s="178"/>
    </row>
    <row r="2" spans="1:23" ht="12.75">
      <c r="A2" s="178"/>
      <c r="B2" s="310"/>
      <c r="C2" s="310"/>
      <c r="D2" s="309">
        <f>Lent02v!S4</f>
        <v>77249</v>
      </c>
      <c r="E2" s="309">
        <f>Lent02v!T4</f>
        <v>69932</v>
      </c>
      <c r="F2" s="309">
        <f>Lent02v!U4</f>
        <v>72002</v>
      </c>
      <c r="G2" s="309">
        <f>Lent02v!V4</f>
        <v>89285</v>
      </c>
      <c r="H2" s="309">
        <f>Lent02v!W4</f>
        <v>108219</v>
      </c>
      <c r="I2" s="309">
        <f>Lent02v!X4</f>
        <v>99919</v>
      </c>
      <c r="J2" s="309">
        <f>Lent02v!Y4</f>
        <v>89381</v>
      </c>
      <c r="K2" s="309">
        <f>Lent02v!Z4</f>
        <v>89203</v>
      </c>
      <c r="L2" s="309">
        <f>Lent02v!AA4</f>
        <v>98505</v>
      </c>
      <c r="M2" s="309">
        <f>Lent02v!AB4</f>
        <v>100503</v>
      </c>
      <c r="N2" s="309">
        <f>Lent02v!AC4</f>
        <v>108547</v>
      </c>
      <c r="O2" s="309">
        <f>Lent02v!AD4</f>
        <v>92698</v>
      </c>
      <c r="P2" s="309">
        <f>Lent02v!AE4</f>
        <v>72507</v>
      </c>
      <c r="Q2" s="309">
        <f>Lent02v!AF4</f>
        <v>55181</v>
      </c>
      <c r="R2" s="309">
        <f>Lent02v!AG4</f>
        <v>49232</v>
      </c>
      <c r="S2" s="309">
        <f>Lent02v!AH4</f>
        <v>39442</v>
      </c>
      <c r="T2" s="309">
        <f>Lent02v!AI4</f>
        <v>24969</v>
      </c>
      <c r="U2" s="309">
        <f>Lent02v!AJ4</f>
        <v>14352</v>
      </c>
      <c r="V2" s="309">
        <f>SUM(D2:U2)</f>
        <v>1351126</v>
      </c>
      <c r="W2" s="178"/>
    </row>
    <row r="3" spans="1:23" ht="12.75">
      <c r="A3" s="178"/>
      <c r="B3" s="526" t="str">
        <f>"Mirčių dėl piktybinių navikų atvejų skaičius 100 000 gyventojų, pagal amžiaus grupes  " &amp; GrafikaiSerg!A1 &amp; " metais. Vyrai."</f>
        <v>Mirčių dėl piktybinių navikų atvejų skaičius 100 000 gyventojų, pagal amžiaus grupes  2014 metais. Vyrai.</v>
      </c>
      <c r="C3" s="526"/>
      <c r="D3" s="525"/>
      <c r="E3" s="525"/>
      <c r="F3" s="525"/>
      <c r="G3" s="525"/>
      <c r="H3" s="525"/>
      <c r="I3" s="525"/>
      <c r="J3" s="525"/>
      <c r="K3" s="178"/>
      <c r="L3" s="178"/>
      <c r="M3" s="178"/>
      <c r="N3" s="178"/>
      <c r="O3" s="178"/>
      <c r="P3" s="178"/>
      <c r="Q3" s="178"/>
      <c r="R3" s="178"/>
      <c r="S3" s="178"/>
      <c r="T3" s="178"/>
      <c r="U3" s="178"/>
      <c r="V3" s="178"/>
      <c r="W3" s="178"/>
    </row>
    <row r="4" spans="1:23" ht="12.75">
      <c r="A4" s="178"/>
      <c r="B4" s="181" t="s">
        <v>632</v>
      </c>
      <c r="C4" s="180"/>
      <c r="D4" s="182"/>
      <c r="E4" s="182"/>
      <c r="F4" s="182"/>
      <c r="G4" s="182"/>
      <c r="H4" s="182"/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2"/>
      <c r="V4" s="182"/>
      <c r="W4" s="178"/>
    </row>
    <row r="5" spans="1:23" ht="12" customHeight="1">
      <c r="A5" s="178"/>
      <c r="B5" s="437" t="s">
        <v>243</v>
      </c>
      <c r="C5" s="437" t="s">
        <v>244</v>
      </c>
      <c r="D5" s="439" t="s">
        <v>419</v>
      </c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1"/>
      <c r="V5" s="442" t="s">
        <v>429</v>
      </c>
      <c r="W5" s="178"/>
    </row>
    <row r="6" spans="1:23" ht="12" customHeight="1" thickBot="1">
      <c r="A6" s="178"/>
      <c r="B6" s="438"/>
      <c r="C6" s="438"/>
      <c r="D6" s="195" t="s">
        <v>13</v>
      </c>
      <c r="E6" s="195" t="s">
        <v>11</v>
      </c>
      <c r="F6" s="195" t="s">
        <v>12</v>
      </c>
      <c r="G6" s="195" t="s">
        <v>14</v>
      </c>
      <c r="H6" s="195" t="s">
        <v>15</v>
      </c>
      <c r="I6" s="195" t="s">
        <v>16</v>
      </c>
      <c r="J6" s="195" t="s">
        <v>158</v>
      </c>
      <c r="K6" s="195" t="s">
        <v>17</v>
      </c>
      <c r="L6" s="195" t="s">
        <v>18</v>
      </c>
      <c r="M6" s="195" t="s">
        <v>19</v>
      </c>
      <c r="N6" s="195" t="s">
        <v>20</v>
      </c>
      <c r="O6" s="195" t="s">
        <v>21</v>
      </c>
      <c r="P6" s="195" t="s">
        <v>159</v>
      </c>
      <c r="Q6" s="195" t="s">
        <v>160</v>
      </c>
      <c r="R6" s="195" t="s">
        <v>161</v>
      </c>
      <c r="S6" s="195" t="s">
        <v>162</v>
      </c>
      <c r="T6" s="195" t="s">
        <v>22</v>
      </c>
      <c r="U6" s="195" t="s">
        <v>23</v>
      </c>
      <c r="V6" s="443"/>
      <c r="W6" s="178"/>
    </row>
    <row r="7" spans="1:23" ht="12" customHeight="1" thickTop="1">
      <c r="A7" s="178"/>
      <c r="B7" s="183" t="str">
        <f>UPPER(LEFT(TRIM(Data!B5),1)) &amp; MID(TRIM(Data!B5),2,50)</f>
        <v>Piktybiniai navikai</v>
      </c>
      <c r="C7" s="184" t="str">
        <f>Data!C5</f>
        <v>C00-C96</v>
      </c>
      <c r="D7" s="201">
        <f>Data!AN5/D$2*100000</f>
        <v>1.2945151393545549</v>
      </c>
      <c r="E7" s="201">
        <f>Data!AO5/E$2*100000</f>
        <v>5.7198421323571464</v>
      </c>
      <c r="F7" s="201">
        <f>Data!AP5/F$2*100000</f>
        <v>2.7777006194272382</v>
      </c>
      <c r="G7" s="201">
        <f>Data!AQ5/G$2*100000</f>
        <v>5.6000448003584031</v>
      </c>
      <c r="H7" s="201">
        <f>Data!AR5/H$2*100000</f>
        <v>5.5443129210212625</v>
      </c>
      <c r="I7" s="201">
        <f>Data!AS5/I$2*100000</f>
        <v>3.0024319698956154</v>
      </c>
      <c r="J7" s="201">
        <f>Data!AT5/J$2*100000</f>
        <v>15.663284143162416</v>
      </c>
      <c r="K7" s="201">
        <f>Data!AU5/K$2*100000</f>
        <v>28.025963252356984</v>
      </c>
      <c r="L7" s="201">
        <f>Data!AV5/L$2*100000</f>
        <v>58.880259885285014</v>
      </c>
      <c r="M7" s="201">
        <f>Data!AW5/M$2*100000</f>
        <v>128.35437748126921</v>
      </c>
      <c r="N7" s="201">
        <f>Data!AX5/N$2*100000</f>
        <v>234.00001842519831</v>
      </c>
      <c r="O7" s="201">
        <f>Data!AY5/O$2*100000</f>
        <v>454.16298086258598</v>
      </c>
      <c r="P7" s="201">
        <f>Data!AZ5/P$2*100000</f>
        <v>783.37263988304574</v>
      </c>
      <c r="Q7" s="201">
        <f>Data!BA5/Q$2*100000</f>
        <v>1105.4529638824959</v>
      </c>
      <c r="R7" s="201">
        <f>Data!BB5/R$2*100000</f>
        <v>1505.1186220344491</v>
      </c>
      <c r="S7" s="201">
        <f>Data!BC5/S$2*100000</f>
        <v>1972.5166066629481</v>
      </c>
      <c r="T7" s="201">
        <f>Data!BD5/T$2*100000</f>
        <v>2126.6370299170972</v>
      </c>
      <c r="U7" s="201">
        <f>Data!BE5/U$2*100000</f>
        <v>2571.0702341137126</v>
      </c>
      <c r="V7" s="201">
        <f>Data!E5/V$2*100000</f>
        <v>334.46177484557325</v>
      </c>
      <c r="W7" s="178"/>
    </row>
    <row r="8" spans="1:23" ht="12" customHeight="1">
      <c r="A8" s="178"/>
      <c r="B8" s="197" t="str">
        <f>UPPER(LEFT(TRIM(Data!B6),1)) &amp; MID(TRIM(Data!B6),2,50)</f>
        <v>Lūpos</v>
      </c>
      <c r="C8" s="198" t="str">
        <f>Data!C6</f>
        <v>C00</v>
      </c>
      <c r="D8" s="202">
        <f>Data!AN6/D$2*100000</f>
        <v>0</v>
      </c>
      <c r="E8" s="202">
        <f>Data!AO6/E$2*100000</f>
        <v>0</v>
      </c>
      <c r="F8" s="202">
        <f>Data!AP6/F$2*100000</f>
        <v>0</v>
      </c>
      <c r="G8" s="202">
        <f>Data!AQ6/G$2*100000</f>
        <v>0</v>
      </c>
      <c r="H8" s="202">
        <f>Data!AR6/H$2*100000</f>
        <v>0</v>
      </c>
      <c r="I8" s="202">
        <f>Data!AS6/I$2*100000</f>
        <v>0</v>
      </c>
      <c r="J8" s="202">
        <f>Data!AT6/J$2*100000</f>
        <v>0</v>
      </c>
      <c r="K8" s="202">
        <f>Data!AU6/K$2*100000</f>
        <v>0</v>
      </c>
      <c r="L8" s="202">
        <f>Data!AV6/L$2*100000</f>
        <v>0</v>
      </c>
      <c r="M8" s="202">
        <f>Data!AW6/M$2*100000</f>
        <v>0</v>
      </c>
      <c r="N8" s="202">
        <f>Data!AX6/N$2*100000</f>
        <v>0</v>
      </c>
      <c r="O8" s="202">
        <f>Data!AY6/O$2*100000</f>
        <v>0</v>
      </c>
      <c r="P8" s="202">
        <f>Data!AZ6/P$2*100000</f>
        <v>0</v>
      </c>
      <c r="Q8" s="202">
        <f>Data!BA6/Q$2*100000</f>
        <v>0</v>
      </c>
      <c r="R8" s="202">
        <f>Data!BB6/R$2*100000</f>
        <v>0</v>
      </c>
      <c r="S8" s="202">
        <f>Data!BC6/S$2*100000</f>
        <v>2.5353683890269259</v>
      </c>
      <c r="T8" s="202">
        <f>Data!BD6/T$2*100000</f>
        <v>0</v>
      </c>
      <c r="U8" s="202">
        <f>Data!BE6/U$2*100000</f>
        <v>0</v>
      </c>
      <c r="V8" s="202">
        <f>Data!E6/V$2*100000</f>
        <v>7.4012342298201653E-2</v>
      </c>
      <c r="W8" s="178"/>
    </row>
    <row r="9" spans="1:23" ht="12" customHeight="1">
      <c r="A9" s="178"/>
      <c r="B9" s="183" t="str">
        <f>UPPER(LEFT(TRIM(Data!B7),1)) &amp; MID(TRIM(Data!B7),2,50)</f>
        <v>Burnos ertmės ir ryklės</v>
      </c>
      <c r="C9" s="184" t="str">
        <f>Data!C7</f>
        <v>C01-C14</v>
      </c>
      <c r="D9" s="201">
        <f>Data!AN7/D$2*100000</f>
        <v>0</v>
      </c>
      <c r="E9" s="201">
        <f>Data!AO7/E$2*100000</f>
        <v>0</v>
      </c>
      <c r="F9" s="201">
        <f>Data!AP7/F$2*100000</f>
        <v>0</v>
      </c>
      <c r="G9" s="201">
        <f>Data!AQ7/G$2*100000</f>
        <v>1.1200089600716805</v>
      </c>
      <c r="H9" s="201">
        <f>Data!AR7/H$2*100000</f>
        <v>0</v>
      </c>
      <c r="I9" s="201">
        <f>Data!AS7/I$2*100000</f>
        <v>0</v>
      </c>
      <c r="J9" s="201">
        <f>Data!AT7/J$2*100000</f>
        <v>3.356418030677661</v>
      </c>
      <c r="K9" s="201">
        <f>Data!AU7/K$2*100000</f>
        <v>2.2420770601885587</v>
      </c>
      <c r="L9" s="201">
        <f>Data!AV7/L$2*100000</f>
        <v>8.121415156591036</v>
      </c>
      <c r="M9" s="201">
        <f>Data!AW7/M$2*100000</f>
        <v>21.889893834014906</v>
      </c>
      <c r="N9" s="201">
        <f>Data!AX7/N$2*100000</f>
        <v>16.582678471077045</v>
      </c>
      <c r="O9" s="201">
        <f>Data!AY7/O$2*100000</f>
        <v>38.835789337418284</v>
      </c>
      <c r="P9" s="201">
        <f>Data!AZ7/P$2*100000</f>
        <v>57.925441681492828</v>
      </c>
      <c r="Q9" s="201">
        <f>Data!BA7/Q$2*100000</f>
        <v>65.239847048803028</v>
      </c>
      <c r="R9" s="201">
        <f>Data!BB7/R$2*100000</f>
        <v>40.623984400389986</v>
      </c>
      <c r="S9" s="201">
        <f>Data!BC7/S$2*100000</f>
        <v>50.707367780538512</v>
      </c>
      <c r="T9" s="201">
        <f>Data!BD7/T$2*100000</f>
        <v>16.019864632143857</v>
      </c>
      <c r="U9" s="201">
        <f>Data!BE7/U$2*100000</f>
        <v>34.838350055741365</v>
      </c>
      <c r="V9" s="201">
        <f>Data!E7/V$2*100000</f>
        <v>16.060678278709759</v>
      </c>
      <c r="W9" s="178"/>
    </row>
    <row r="10" spans="1:23" ht="12" customHeight="1">
      <c r="A10" s="178"/>
      <c r="B10" s="197" t="str">
        <f>UPPER(LEFT(TRIM(Data!B8),1)) &amp; MID(TRIM(Data!B8),2,50)</f>
        <v>Stemplės</v>
      </c>
      <c r="C10" s="198" t="str">
        <f>Data!C8</f>
        <v>C15</v>
      </c>
      <c r="D10" s="202">
        <f>Data!AN8/D$2*100000</f>
        <v>0</v>
      </c>
      <c r="E10" s="202">
        <f>Data!AO8/E$2*100000</f>
        <v>0</v>
      </c>
      <c r="F10" s="202">
        <f>Data!AP8/F$2*100000</f>
        <v>0</v>
      </c>
      <c r="G10" s="202">
        <f>Data!AQ8/G$2*100000</f>
        <v>0</v>
      </c>
      <c r="H10" s="202">
        <f>Data!AR8/H$2*100000</f>
        <v>0</v>
      </c>
      <c r="I10" s="202">
        <f>Data!AS8/I$2*100000</f>
        <v>0</v>
      </c>
      <c r="J10" s="202">
        <f>Data!AT8/J$2*100000</f>
        <v>0</v>
      </c>
      <c r="K10" s="202">
        <f>Data!AU8/K$2*100000</f>
        <v>1.1210385300942793</v>
      </c>
      <c r="L10" s="202">
        <f>Data!AV8/L$2*100000</f>
        <v>4.060707578295518</v>
      </c>
      <c r="M10" s="202">
        <f>Data!AW8/M$2*100000</f>
        <v>8.9549565684606431</v>
      </c>
      <c r="N10" s="202">
        <f>Data!AX8/N$2*100000</f>
        <v>15.661418556017209</v>
      </c>
      <c r="O10" s="202">
        <f>Data!AY8/O$2*100000</f>
        <v>29.126842003063715</v>
      </c>
      <c r="P10" s="202">
        <f>Data!AZ8/P$2*100000</f>
        <v>53.787910132814758</v>
      </c>
      <c r="Q10" s="202">
        <f>Data!BA8/Q$2*100000</f>
        <v>43.493231365868688</v>
      </c>
      <c r="R10" s="202">
        <f>Data!BB8/R$2*100000</f>
        <v>40.623984400389986</v>
      </c>
      <c r="S10" s="202">
        <f>Data!BC8/S$2*100000</f>
        <v>45.636631002484663</v>
      </c>
      <c r="T10" s="202">
        <f>Data!BD8/T$2*100000</f>
        <v>40.049661580359647</v>
      </c>
      <c r="U10" s="202">
        <f>Data!BE8/U$2*100000</f>
        <v>27.870680044593087</v>
      </c>
      <c r="V10" s="202">
        <f>Data!E8/V$2*100000</f>
        <v>12.804135217588886</v>
      </c>
      <c r="W10" s="178"/>
    </row>
    <row r="11" spans="1:23" ht="12" customHeight="1">
      <c r="A11" s="178"/>
      <c r="B11" s="183" t="str">
        <f>UPPER(LEFT(TRIM(Data!B9),1)) &amp; MID(TRIM(Data!B9),2,50)</f>
        <v>Skrandžio</v>
      </c>
      <c r="C11" s="184" t="str">
        <f>Data!C9</f>
        <v>C16</v>
      </c>
      <c r="D11" s="201">
        <f>Data!AN9/D$2*100000</f>
        <v>0</v>
      </c>
      <c r="E11" s="201">
        <f>Data!AO9/E$2*100000</f>
        <v>0</v>
      </c>
      <c r="F11" s="201">
        <f>Data!AP9/F$2*100000</f>
        <v>0</v>
      </c>
      <c r="G11" s="201">
        <f>Data!AQ9/G$2*100000</f>
        <v>0</v>
      </c>
      <c r="H11" s="201">
        <f>Data!AR9/H$2*100000</f>
        <v>0.92405215350354375</v>
      </c>
      <c r="I11" s="201">
        <f>Data!AS9/I$2*100000</f>
        <v>0</v>
      </c>
      <c r="J11" s="201">
        <f>Data!AT9/J$2*100000</f>
        <v>2.2376120204517735</v>
      </c>
      <c r="K11" s="201">
        <f>Data!AU9/K$2*100000</f>
        <v>4.4841541203771174</v>
      </c>
      <c r="L11" s="201">
        <f>Data!AV9/L$2*100000</f>
        <v>6.0910613674432765</v>
      </c>
      <c r="M11" s="201">
        <f>Data!AW9/M$2*100000</f>
        <v>11.939942091280857</v>
      </c>
      <c r="N11" s="201">
        <f>Data!AX9/N$2*100000</f>
        <v>27.637797451795073</v>
      </c>
      <c r="O11" s="201">
        <f>Data!AY9/O$2*100000</f>
        <v>38.835789337418284</v>
      </c>
      <c r="P11" s="201">
        <f>Data!AZ9/P$2*100000</f>
        <v>73.096390693312372</v>
      </c>
      <c r="Q11" s="201">
        <f>Data!BA9/Q$2*100000</f>
        <v>81.549808811003786</v>
      </c>
      <c r="R11" s="201">
        <f>Data!BB9/R$2*100000</f>
        <v>158.43353916152094</v>
      </c>
      <c r="S11" s="201">
        <f>Data!BC9/S$2*100000</f>
        <v>157.1928401196694</v>
      </c>
      <c r="T11" s="201">
        <f>Data!BD9/T$2*100000</f>
        <v>188.23340942769033</v>
      </c>
      <c r="U11" s="201">
        <f>Data!BE9/U$2*100000</f>
        <v>257.80379041248608</v>
      </c>
      <c r="V11" s="201">
        <f>Data!E9/V$2*100000</f>
        <v>30.567097369157281</v>
      </c>
      <c r="W11" s="178"/>
    </row>
    <row r="12" spans="1:23" ht="12" customHeight="1">
      <c r="A12" s="178"/>
      <c r="B12" s="197" t="str">
        <f>UPPER(LEFT(TRIM(Data!B10),1)) &amp; MID(TRIM(Data!B10),2,50)</f>
        <v>Gaubtinės žarnos</v>
      </c>
      <c r="C12" s="198" t="str">
        <f>Data!C10</f>
        <v>C18</v>
      </c>
      <c r="D12" s="202">
        <f>Data!AN10/D$2*100000</f>
        <v>0</v>
      </c>
      <c r="E12" s="202">
        <f>Data!AO10/E$2*100000</f>
        <v>0</v>
      </c>
      <c r="F12" s="202">
        <f>Data!AP10/F$2*100000</f>
        <v>0</v>
      </c>
      <c r="G12" s="202">
        <f>Data!AQ10/G$2*100000</f>
        <v>0</v>
      </c>
      <c r="H12" s="202">
        <f>Data!AR10/H$2*100000</f>
        <v>0</v>
      </c>
      <c r="I12" s="202">
        <f>Data!AS10/I$2*100000</f>
        <v>0</v>
      </c>
      <c r="J12" s="202">
        <f>Data!AT10/J$2*100000</f>
        <v>1.1188060102258868</v>
      </c>
      <c r="K12" s="202">
        <f>Data!AU10/K$2*100000</f>
        <v>0</v>
      </c>
      <c r="L12" s="202">
        <f>Data!AV10/L$2*100000</f>
        <v>2.030353789147759</v>
      </c>
      <c r="M12" s="202">
        <f>Data!AW10/M$2*100000</f>
        <v>3.9799806970936191</v>
      </c>
      <c r="N12" s="202">
        <f>Data!AX10/N$2*100000</f>
        <v>4.6062995752991798</v>
      </c>
      <c r="O12" s="202">
        <f>Data!AY10/O$2*100000</f>
        <v>19.417894668709142</v>
      </c>
      <c r="P12" s="202">
        <f>Data!AZ10/P$2*100000</f>
        <v>35.858606755209841</v>
      </c>
      <c r="Q12" s="202">
        <f>Data!BA10/Q$2*100000</f>
        <v>54.366539207335862</v>
      </c>
      <c r="R12" s="202">
        <f>Data!BB10/R$2*100000</f>
        <v>93.435164120896971</v>
      </c>
      <c r="S12" s="202">
        <f>Data!BC10/S$2*100000</f>
        <v>91.273262004969325</v>
      </c>
      <c r="T12" s="202">
        <f>Data!BD10/T$2*100000</f>
        <v>184.22844326965438</v>
      </c>
      <c r="U12" s="202">
        <f>Data!BE10/U$2*100000</f>
        <v>236.90078037904124</v>
      </c>
      <c r="V12" s="202">
        <f>Data!E10/V$2*100000</f>
        <v>18.355060889954011</v>
      </c>
      <c r="W12" s="178"/>
    </row>
    <row r="13" spans="1:23" ht="12" customHeight="1">
      <c r="A13" s="178"/>
      <c r="B13" s="183" t="str">
        <f>UPPER(LEFT(TRIM(Data!B11),1)) &amp; MID(TRIM(Data!B11),2,50)</f>
        <v>Tiesiosios žarnos, išangės</v>
      </c>
      <c r="C13" s="184" t="str">
        <f>Data!C11</f>
        <v>C19-C21</v>
      </c>
      <c r="D13" s="201">
        <f>Data!AN11/D$2*100000</f>
        <v>0</v>
      </c>
      <c r="E13" s="201">
        <f>Data!AO11/E$2*100000</f>
        <v>0</v>
      </c>
      <c r="F13" s="201">
        <f>Data!AP11/F$2*100000</f>
        <v>0</v>
      </c>
      <c r="G13" s="201">
        <f>Data!AQ11/G$2*100000</f>
        <v>0</v>
      </c>
      <c r="H13" s="201">
        <f>Data!AR11/H$2*100000</f>
        <v>0</v>
      </c>
      <c r="I13" s="201">
        <f>Data!AS11/I$2*100000</f>
        <v>0</v>
      </c>
      <c r="J13" s="201">
        <f>Data!AT11/J$2*100000</f>
        <v>0</v>
      </c>
      <c r="K13" s="201">
        <f>Data!AU11/K$2*100000</f>
        <v>1.1210385300942793</v>
      </c>
      <c r="L13" s="201">
        <f>Data!AV11/L$2*100000</f>
        <v>2.030353789147759</v>
      </c>
      <c r="M13" s="201">
        <f>Data!AW11/M$2*100000</f>
        <v>5.9699710456404285</v>
      </c>
      <c r="N13" s="201">
        <f>Data!AX11/N$2*100000</f>
        <v>8.2913392355385227</v>
      </c>
      <c r="O13" s="201">
        <f>Data!AY11/O$2*100000</f>
        <v>21.575438520787934</v>
      </c>
      <c r="P13" s="201">
        <f>Data!AZ11/P$2*100000</f>
        <v>20.687657743390293</v>
      </c>
      <c r="Q13" s="201">
        <f>Data!BA11/Q$2*100000</f>
        <v>67.052065022380887</v>
      </c>
      <c r="R13" s="201">
        <f>Data!BB11/R$2*100000</f>
        <v>91.403964900877469</v>
      </c>
      <c r="S13" s="201">
        <f>Data!BC11/S$2*100000</f>
        <v>131.83915622940012</v>
      </c>
      <c r="T13" s="201">
        <f>Data!BD11/T$2*100000</f>
        <v>136.1688493732228</v>
      </c>
      <c r="U13" s="201">
        <f>Data!BE11/U$2*100000</f>
        <v>181.15942028985506</v>
      </c>
      <c r="V13" s="201">
        <f>Data!E11/V$2*100000</f>
        <v>18.281048547655807</v>
      </c>
      <c r="W13" s="178"/>
    </row>
    <row r="14" spans="1:23" ht="12" customHeight="1">
      <c r="A14" s="178"/>
      <c r="B14" s="197" t="str">
        <f>UPPER(LEFT(TRIM(Data!B12),1)) &amp; MID(TRIM(Data!B12),2,50)</f>
        <v>Kepenų</v>
      </c>
      <c r="C14" s="198" t="str">
        <f>Data!C12</f>
        <v>C22</v>
      </c>
      <c r="D14" s="202">
        <f>Data!AN12/D$2*100000</f>
        <v>0</v>
      </c>
      <c r="E14" s="202">
        <f>Data!AO12/E$2*100000</f>
        <v>0</v>
      </c>
      <c r="F14" s="202">
        <f>Data!AP12/F$2*100000</f>
        <v>0</v>
      </c>
      <c r="G14" s="202">
        <f>Data!AQ12/G$2*100000</f>
        <v>0</v>
      </c>
      <c r="H14" s="202">
        <f>Data!AR12/H$2*100000</f>
        <v>0</v>
      </c>
      <c r="I14" s="202">
        <f>Data!AS12/I$2*100000</f>
        <v>0</v>
      </c>
      <c r="J14" s="202">
        <f>Data!AT12/J$2*100000</f>
        <v>0</v>
      </c>
      <c r="K14" s="202">
        <f>Data!AU12/K$2*100000</f>
        <v>1.1210385300942793</v>
      </c>
      <c r="L14" s="202">
        <f>Data!AV12/L$2*100000</f>
        <v>2.030353789147759</v>
      </c>
      <c r="M14" s="202">
        <f>Data!AW12/M$2*100000</f>
        <v>3.9799806970936191</v>
      </c>
      <c r="N14" s="202">
        <f>Data!AX12/N$2*100000</f>
        <v>8.2913392355385227</v>
      </c>
      <c r="O14" s="202">
        <f>Data!AY12/O$2*100000</f>
        <v>17.26035081663035</v>
      </c>
      <c r="P14" s="202">
        <f>Data!AZ12/P$2*100000</f>
        <v>12.412594646034176</v>
      </c>
      <c r="Q14" s="202">
        <f>Data!BA12/Q$2*100000</f>
        <v>30.807705550823655</v>
      </c>
      <c r="R14" s="202">
        <f>Data!BB12/R$2*100000</f>
        <v>44.68638284042899</v>
      </c>
      <c r="S14" s="202">
        <f>Data!BC12/S$2*100000</f>
        <v>38.030525835403886</v>
      </c>
      <c r="T14" s="202">
        <f>Data!BD12/T$2*100000</f>
        <v>48.059593896431572</v>
      </c>
      <c r="U14" s="202">
        <f>Data!BE12/U$2*100000</f>
        <v>41.80602006688963</v>
      </c>
      <c r="V14" s="202">
        <f>Data!E12/V$2*100000</f>
        <v>8.3633946796967855</v>
      </c>
      <c r="W14" s="178"/>
    </row>
    <row r="15" spans="1:23" ht="12" customHeight="1">
      <c r="A15" s="178"/>
      <c r="B15" s="183" t="str">
        <f>UPPER(LEFT(TRIM(Data!B13),1)) &amp; MID(TRIM(Data!B13),2,50)</f>
        <v>Tulžies pūslės, ekstrahepatinių takų</v>
      </c>
      <c r="C15" s="184" t="str">
        <f>Data!C13</f>
        <v>C23, C24</v>
      </c>
      <c r="D15" s="201">
        <f>Data!AN13/D$2*100000</f>
        <v>0</v>
      </c>
      <c r="E15" s="201">
        <f>Data!AO13/E$2*100000</f>
        <v>0</v>
      </c>
      <c r="F15" s="201">
        <f>Data!AP13/F$2*100000</f>
        <v>0</v>
      </c>
      <c r="G15" s="201">
        <f>Data!AQ13/G$2*100000</f>
        <v>0</v>
      </c>
      <c r="H15" s="201">
        <f>Data!AR13/H$2*100000</f>
        <v>0</v>
      </c>
      <c r="I15" s="201">
        <f>Data!AS13/I$2*100000</f>
        <v>0</v>
      </c>
      <c r="J15" s="201">
        <f>Data!AT13/J$2*100000</f>
        <v>0</v>
      </c>
      <c r="K15" s="201">
        <f>Data!AU13/K$2*100000</f>
        <v>0</v>
      </c>
      <c r="L15" s="201">
        <f>Data!AV13/L$2*100000</f>
        <v>0</v>
      </c>
      <c r="M15" s="201">
        <f>Data!AW13/M$2*100000</f>
        <v>0</v>
      </c>
      <c r="N15" s="201">
        <f>Data!AX13/N$2*100000</f>
        <v>0.92125991505983573</v>
      </c>
      <c r="O15" s="201">
        <f>Data!AY13/O$2*100000</f>
        <v>2.1575438520787937</v>
      </c>
      <c r="P15" s="201">
        <f>Data!AZ13/P$2*100000</f>
        <v>6.895885914463431</v>
      </c>
      <c r="Q15" s="201">
        <f>Data!BA13/Q$2*100000</f>
        <v>7.2488718943114474</v>
      </c>
      <c r="R15" s="201">
        <f>Data!BB13/R$2*100000</f>
        <v>16.249593760155996</v>
      </c>
      <c r="S15" s="201">
        <f>Data!BC13/S$2*100000</f>
        <v>15.212210334161554</v>
      </c>
      <c r="T15" s="201">
        <f>Data!BD13/T$2*100000</f>
        <v>28.034763106251752</v>
      </c>
      <c r="U15" s="201">
        <f>Data!BE13/U$2*100000</f>
        <v>20.903010033444815</v>
      </c>
      <c r="V15" s="201">
        <f>Data!E13/V$2*100000</f>
        <v>2.6644443227352594</v>
      </c>
      <c r="W15" s="178"/>
    </row>
    <row r="16" spans="1:23" ht="12" customHeight="1">
      <c r="A16" s="178"/>
      <c r="B16" s="197" t="str">
        <f>UPPER(LEFT(TRIM(Data!B14),1)) &amp; MID(TRIM(Data!B14),2,50)</f>
        <v>Kasos</v>
      </c>
      <c r="C16" s="198" t="str">
        <f>Data!C14</f>
        <v>C25</v>
      </c>
      <c r="D16" s="202">
        <f>Data!AN14/D$2*100000</f>
        <v>0</v>
      </c>
      <c r="E16" s="202">
        <f>Data!AO14/E$2*100000</f>
        <v>0</v>
      </c>
      <c r="F16" s="202">
        <f>Data!AP14/F$2*100000</f>
        <v>0</v>
      </c>
      <c r="G16" s="202">
        <f>Data!AQ14/G$2*100000</f>
        <v>0</v>
      </c>
      <c r="H16" s="202">
        <f>Data!AR14/H$2*100000</f>
        <v>0</v>
      </c>
      <c r="I16" s="202">
        <f>Data!AS14/I$2*100000</f>
        <v>0</v>
      </c>
      <c r="J16" s="202">
        <f>Data!AT14/J$2*100000</f>
        <v>1.1188060102258868</v>
      </c>
      <c r="K16" s="202">
        <f>Data!AU14/K$2*100000</f>
        <v>1.1210385300942793</v>
      </c>
      <c r="L16" s="202">
        <f>Data!AV14/L$2*100000</f>
        <v>3.0455306837216383</v>
      </c>
      <c r="M16" s="202">
        <f>Data!AW14/M$2*100000</f>
        <v>10.944946917007453</v>
      </c>
      <c r="N16" s="202">
        <f>Data!AX14/N$2*100000</f>
        <v>23.031497876495898</v>
      </c>
      <c r="O16" s="202">
        <f>Data!AY14/O$2*100000</f>
        <v>25.890526224945521</v>
      </c>
      <c r="P16" s="202">
        <f>Data!AZ14/P$2*100000</f>
        <v>41.375315486780586</v>
      </c>
      <c r="Q16" s="202">
        <f>Data!BA14/Q$2*100000</f>
        <v>61.615411101647311</v>
      </c>
      <c r="R16" s="202">
        <f>Data!BB14/R$2*100000</f>
        <v>81.247968800779972</v>
      </c>
      <c r="S16" s="202">
        <f>Data!BC14/S$2*100000</f>
        <v>81.131788448861627</v>
      </c>
      <c r="T16" s="202">
        <f>Data!BD14/T$2*100000</f>
        <v>76.094357002683324</v>
      </c>
      <c r="U16" s="202">
        <f>Data!BE14/U$2*100000</f>
        <v>104.51505016722408</v>
      </c>
      <c r="V16" s="202">
        <f>Data!E14/V$2*100000</f>
        <v>17.392900440077387</v>
      </c>
      <c r="W16" s="178"/>
    </row>
    <row r="17" spans="1:23" ht="12" customHeight="1">
      <c r="A17" s="178"/>
      <c r="B17" s="183" t="str">
        <f>UPPER(LEFT(TRIM(Data!B15),1)) &amp; MID(TRIM(Data!B15),2,50)</f>
        <v>Kitų virškinimo sistemos organų</v>
      </c>
      <c r="C17" s="184" t="str">
        <f>Data!C15</f>
        <v>C17, C26, C48</v>
      </c>
      <c r="D17" s="201">
        <f>Data!AN15/D$2*100000</f>
        <v>0</v>
      </c>
      <c r="E17" s="201">
        <f>Data!AO15/E$2*100000</f>
        <v>0</v>
      </c>
      <c r="F17" s="201">
        <f>Data!AP15/F$2*100000</f>
        <v>0</v>
      </c>
      <c r="G17" s="201">
        <f>Data!AQ15/G$2*100000</f>
        <v>1.1200089600716805</v>
      </c>
      <c r="H17" s="201">
        <f>Data!AR15/H$2*100000</f>
        <v>0</v>
      </c>
      <c r="I17" s="201">
        <f>Data!AS15/I$2*100000</f>
        <v>0</v>
      </c>
      <c r="J17" s="201">
        <f>Data!AT15/J$2*100000</f>
        <v>0</v>
      </c>
      <c r="K17" s="201">
        <f>Data!AU15/K$2*100000</f>
        <v>2.2420770601885587</v>
      </c>
      <c r="L17" s="201">
        <f>Data!AV15/L$2*100000</f>
        <v>0</v>
      </c>
      <c r="M17" s="201">
        <f>Data!AW15/M$2*100000</f>
        <v>0</v>
      </c>
      <c r="N17" s="201">
        <f>Data!AX15/N$2*100000</f>
        <v>0.92125991505983573</v>
      </c>
      <c r="O17" s="201">
        <f>Data!AY15/O$2*100000</f>
        <v>2.1575438520787937</v>
      </c>
      <c r="P17" s="201">
        <f>Data!AZ15/P$2*100000</f>
        <v>5.5167087315707448</v>
      </c>
      <c r="Q17" s="201">
        <f>Data!BA15/Q$2*100000</f>
        <v>3.6244359471557237</v>
      </c>
      <c r="R17" s="201">
        <f>Data!BB15/R$2*100000</f>
        <v>6.0935976600584985</v>
      </c>
      <c r="S17" s="201">
        <f>Data!BC15/S$2*100000</f>
        <v>10.141473556107703</v>
      </c>
      <c r="T17" s="201">
        <f>Data!BD15/T$2*100000</f>
        <v>12.014898474107893</v>
      </c>
      <c r="U17" s="201">
        <f>Data!BE15/U$2*100000</f>
        <v>20.903010033444815</v>
      </c>
      <c r="V17" s="201">
        <f>Data!E15/V$2*100000</f>
        <v>1.8503085574550411</v>
      </c>
      <c r="W17" s="178"/>
    </row>
    <row r="18" spans="1:23" ht="12" customHeight="1">
      <c r="A18" s="178"/>
      <c r="B18" s="197" t="str">
        <f>UPPER(LEFT(TRIM(Data!B16),1)) &amp; MID(TRIM(Data!B16),2,50)</f>
        <v>Nosies ertmės, vid.ausies ir ančių</v>
      </c>
      <c r="C18" s="198" t="str">
        <f>Data!C16</f>
        <v>C30, C31</v>
      </c>
      <c r="D18" s="202">
        <f>Data!AN16/D$2*100000</f>
        <v>0</v>
      </c>
      <c r="E18" s="202">
        <f>Data!AO16/E$2*100000</f>
        <v>0</v>
      </c>
      <c r="F18" s="202">
        <f>Data!AP16/F$2*100000</f>
        <v>0</v>
      </c>
      <c r="G18" s="202">
        <f>Data!AQ16/G$2*100000</f>
        <v>0</v>
      </c>
      <c r="H18" s="202">
        <f>Data!AR16/H$2*100000</f>
        <v>0</v>
      </c>
      <c r="I18" s="202">
        <f>Data!AS16/I$2*100000</f>
        <v>0</v>
      </c>
      <c r="J18" s="202">
        <f>Data!AT16/J$2*100000</f>
        <v>0</v>
      </c>
      <c r="K18" s="202">
        <f>Data!AU16/K$2*100000</f>
        <v>0</v>
      </c>
      <c r="L18" s="202">
        <f>Data!AV16/L$2*100000</f>
        <v>1.0151768945738795</v>
      </c>
      <c r="M18" s="202">
        <f>Data!AW16/M$2*100000</f>
        <v>2.9849855228202142</v>
      </c>
      <c r="N18" s="202">
        <f>Data!AX16/N$2*100000</f>
        <v>0</v>
      </c>
      <c r="O18" s="202">
        <f>Data!AY16/O$2*100000</f>
        <v>3.2363157781181902</v>
      </c>
      <c r="P18" s="202">
        <f>Data!AZ16/P$2*100000</f>
        <v>2.7583543657853724</v>
      </c>
      <c r="Q18" s="202">
        <f>Data!BA16/Q$2*100000</f>
        <v>3.6244359471557237</v>
      </c>
      <c r="R18" s="202">
        <f>Data!BB16/R$2*100000</f>
        <v>2.0311992200194995</v>
      </c>
      <c r="S18" s="202">
        <f>Data!BC16/S$2*100000</f>
        <v>0</v>
      </c>
      <c r="T18" s="202">
        <f>Data!BD16/T$2*100000</f>
        <v>0</v>
      </c>
      <c r="U18" s="202">
        <f>Data!BE16/U$2*100000</f>
        <v>0</v>
      </c>
      <c r="V18" s="202">
        <f>Data!E16/V$2*100000</f>
        <v>0.88814810757841978</v>
      </c>
      <c r="W18" s="178"/>
    </row>
    <row r="19" spans="1:23" ht="12" customHeight="1">
      <c r="A19" s="178"/>
      <c r="B19" s="183" t="str">
        <f>UPPER(LEFT(TRIM(Data!B17),1)) &amp; MID(TRIM(Data!B17),2,50)</f>
        <v>Gerklų</v>
      </c>
      <c r="C19" s="184" t="str">
        <f>Data!C17</f>
        <v>C32</v>
      </c>
      <c r="D19" s="201">
        <f>Data!AN17/D$2*100000</f>
        <v>0</v>
      </c>
      <c r="E19" s="201">
        <f>Data!AO17/E$2*100000</f>
        <v>0</v>
      </c>
      <c r="F19" s="201">
        <f>Data!AP17/F$2*100000</f>
        <v>0</v>
      </c>
      <c r="G19" s="201">
        <f>Data!AQ17/G$2*100000</f>
        <v>0</v>
      </c>
      <c r="H19" s="201">
        <f>Data!AR17/H$2*100000</f>
        <v>0</v>
      </c>
      <c r="I19" s="201">
        <f>Data!AS17/I$2*100000</f>
        <v>0</v>
      </c>
      <c r="J19" s="201">
        <f>Data!AT17/J$2*100000</f>
        <v>0</v>
      </c>
      <c r="K19" s="201">
        <f>Data!AU17/K$2*100000</f>
        <v>0</v>
      </c>
      <c r="L19" s="201">
        <f>Data!AV17/L$2*100000</f>
        <v>2.030353789147759</v>
      </c>
      <c r="M19" s="201">
        <f>Data!AW17/M$2*100000</f>
        <v>7.9599613941872382</v>
      </c>
      <c r="N19" s="201">
        <f>Data!AX17/N$2*100000</f>
        <v>3.6850396602393429</v>
      </c>
      <c r="O19" s="201">
        <f>Data!AY17/O$2*100000</f>
        <v>16.181578890590952</v>
      </c>
      <c r="P19" s="201">
        <f>Data!AZ17/P$2*100000</f>
        <v>20.687657743390293</v>
      </c>
      <c r="Q19" s="201">
        <f>Data!BA17/Q$2*100000</f>
        <v>34.43214149797938</v>
      </c>
      <c r="R19" s="201">
        <f>Data!BB17/R$2*100000</f>
        <v>30.467988300292493</v>
      </c>
      <c r="S19" s="201">
        <f>Data!BC17/S$2*100000</f>
        <v>43.101262613457735</v>
      </c>
      <c r="T19" s="201">
        <f>Data!BD17/T$2*100000</f>
        <v>36.044695422323684</v>
      </c>
      <c r="U19" s="201">
        <f>Data!BE17/U$2*100000</f>
        <v>34.838350055741365</v>
      </c>
      <c r="V19" s="201">
        <f>Data!E17/V$2*100000</f>
        <v>8.0673453105039794</v>
      </c>
      <c r="W19" s="178"/>
    </row>
    <row r="20" spans="1:23" ht="12" customHeight="1">
      <c r="A20" s="178"/>
      <c r="B20" s="197" t="str">
        <f>UPPER(LEFT(TRIM(Data!B18),1)) &amp; MID(TRIM(Data!B18),2,50)</f>
        <v>Plaučių, trachėjos, bronchų</v>
      </c>
      <c r="C20" s="198" t="str">
        <f>Data!C18</f>
        <v>C33, C34</v>
      </c>
      <c r="D20" s="202">
        <f>Data!AN18/D$2*100000</f>
        <v>0</v>
      </c>
      <c r="E20" s="202">
        <f>Data!AO18/E$2*100000</f>
        <v>0</v>
      </c>
      <c r="F20" s="202">
        <f>Data!AP18/F$2*100000</f>
        <v>0</v>
      </c>
      <c r="G20" s="202">
        <f>Data!AQ18/G$2*100000</f>
        <v>0</v>
      </c>
      <c r="H20" s="202">
        <f>Data!AR18/H$2*100000</f>
        <v>0</v>
      </c>
      <c r="I20" s="202">
        <f>Data!AS18/I$2*100000</f>
        <v>0</v>
      </c>
      <c r="J20" s="202">
        <f>Data!AT18/J$2*100000</f>
        <v>1.1188060102258868</v>
      </c>
      <c r="K20" s="202">
        <f>Data!AU18/K$2*100000</f>
        <v>1.1210385300942793</v>
      </c>
      <c r="L20" s="202">
        <f>Data!AV18/L$2*100000</f>
        <v>12.182122734886553</v>
      </c>
      <c r="M20" s="202">
        <f>Data!AW18/M$2*100000</f>
        <v>15.919922788374476</v>
      </c>
      <c r="N20" s="202">
        <f>Data!AX18/N$2*100000</f>
        <v>59.881894478889329</v>
      </c>
      <c r="O20" s="202">
        <f>Data!AY18/O$2*100000</f>
        <v>139.16157845908219</v>
      </c>
      <c r="P20" s="202">
        <f>Data!AZ18/P$2*100000</f>
        <v>253.76860165225429</v>
      </c>
      <c r="Q20" s="202">
        <f>Data!BA18/Q$2*100000</f>
        <v>320.76258132328155</v>
      </c>
      <c r="R20" s="202">
        <f>Data!BB18/R$2*100000</f>
        <v>367.64705882352939</v>
      </c>
      <c r="S20" s="202">
        <f>Data!BC18/S$2*100000</f>
        <v>476.64925713706197</v>
      </c>
      <c r="T20" s="202">
        <f>Data!BD18/T$2*100000</f>
        <v>328.40722495894909</v>
      </c>
      <c r="U20" s="202">
        <f>Data!BE18/U$2*100000</f>
        <v>271.73913043478262</v>
      </c>
      <c r="V20" s="202">
        <f>Data!E18/V$2*100000</f>
        <v>79.56326797056677</v>
      </c>
      <c r="W20" s="178"/>
    </row>
    <row r="21" spans="1:23" ht="12" customHeight="1">
      <c r="A21" s="178"/>
      <c r="B21" s="183" t="str">
        <f>UPPER(LEFT(TRIM(Data!B19),1)) &amp; MID(TRIM(Data!B19),2,50)</f>
        <v>Kitų kvėpavimo sistemos organų</v>
      </c>
      <c r="C21" s="184" t="str">
        <f>Data!C19</f>
        <v>C37-C39</v>
      </c>
      <c r="D21" s="201">
        <f>Data!AN19/D$2*100000</f>
        <v>0</v>
      </c>
      <c r="E21" s="201">
        <f>Data!AO19/E$2*100000</f>
        <v>0</v>
      </c>
      <c r="F21" s="201">
        <f>Data!AP19/F$2*100000</f>
        <v>0</v>
      </c>
      <c r="G21" s="201">
        <f>Data!AQ19/G$2*100000</f>
        <v>0</v>
      </c>
      <c r="H21" s="201">
        <f>Data!AR19/H$2*100000</f>
        <v>0</v>
      </c>
      <c r="I21" s="201">
        <f>Data!AS19/I$2*100000</f>
        <v>0</v>
      </c>
      <c r="J21" s="201">
        <f>Data!AT19/J$2*100000</f>
        <v>0</v>
      </c>
      <c r="K21" s="201">
        <f>Data!AU19/K$2*100000</f>
        <v>0</v>
      </c>
      <c r="L21" s="201">
        <f>Data!AV19/L$2*100000</f>
        <v>0</v>
      </c>
      <c r="M21" s="201">
        <f>Data!AW19/M$2*100000</f>
        <v>0</v>
      </c>
      <c r="N21" s="201">
        <f>Data!AX19/N$2*100000</f>
        <v>1.8425198301196715</v>
      </c>
      <c r="O21" s="201">
        <f>Data!AY19/O$2*100000</f>
        <v>1.0787719260393969</v>
      </c>
      <c r="P21" s="201">
        <f>Data!AZ19/P$2*100000</f>
        <v>2.7583543657853724</v>
      </c>
      <c r="Q21" s="201">
        <f>Data!BA19/Q$2*100000</f>
        <v>1.8122179735778619</v>
      </c>
      <c r="R21" s="201">
        <f>Data!BB19/R$2*100000</f>
        <v>2.0311992200194995</v>
      </c>
      <c r="S21" s="201">
        <f>Data!BC19/S$2*100000</f>
        <v>7.6061051670807771</v>
      </c>
      <c r="T21" s="201">
        <f>Data!BD19/T$2*100000</f>
        <v>0</v>
      </c>
      <c r="U21" s="201">
        <f>Data!BE19/U$2*100000</f>
        <v>6.9676700111482717</v>
      </c>
      <c r="V21" s="201">
        <f>Data!E19/V$2*100000</f>
        <v>0.81413576528021803</v>
      </c>
      <c r="W21" s="178"/>
    </row>
    <row r="22" spans="1:23" ht="12" customHeight="1">
      <c r="A22" s="178"/>
      <c r="B22" s="197" t="str">
        <f>UPPER(LEFT(TRIM(Data!B20),1)) &amp; MID(TRIM(Data!B20),2,50)</f>
        <v>Kaulų ir jungiamojo audinio</v>
      </c>
      <c r="C22" s="198" t="str">
        <f>Data!C20</f>
        <v>C40-C41, C45-C47, C49</v>
      </c>
      <c r="D22" s="202">
        <f>Data!AN20/D$2*100000</f>
        <v>0</v>
      </c>
      <c r="E22" s="202">
        <f>Data!AO20/E$2*100000</f>
        <v>1.4299605330892866</v>
      </c>
      <c r="F22" s="202">
        <f>Data!AP20/F$2*100000</f>
        <v>0</v>
      </c>
      <c r="G22" s="202">
        <f>Data!AQ20/G$2*100000</f>
        <v>0</v>
      </c>
      <c r="H22" s="202">
        <f>Data!AR20/H$2*100000</f>
        <v>0.92405215350354375</v>
      </c>
      <c r="I22" s="202">
        <f>Data!AS20/I$2*100000</f>
        <v>1.0008106566318717</v>
      </c>
      <c r="J22" s="202">
        <f>Data!AT20/J$2*100000</f>
        <v>0</v>
      </c>
      <c r="K22" s="202">
        <f>Data!AU20/K$2*100000</f>
        <v>0</v>
      </c>
      <c r="L22" s="202">
        <f>Data!AV20/L$2*100000</f>
        <v>4.060707578295518</v>
      </c>
      <c r="M22" s="202">
        <f>Data!AW20/M$2*100000</f>
        <v>1.9899903485468096</v>
      </c>
      <c r="N22" s="202">
        <f>Data!AX20/N$2*100000</f>
        <v>1.8425198301196715</v>
      </c>
      <c r="O22" s="202">
        <f>Data!AY20/O$2*100000</f>
        <v>2.1575438520787937</v>
      </c>
      <c r="P22" s="202">
        <f>Data!AZ20/P$2*100000</f>
        <v>4.1375315486780586</v>
      </c>
      <c r="Q22" s="202">
        <f>Data!BA20/Q$2*100000</f>
        <v>5.436653920733586</v>
      </c>
      <c r="R22" s="202">
        <f>Data!BB20/R$2*100000</f>
        <v>4.062398440038999</v>
      </c>
      <c r="S22" s="202">
        <f>Data!BC20/S$2*100000</f>
        <v>7.6061051670807771</v>
      </c>
      <c r="T22" s="202">
        <f>Data!BD20/T$2*100000</f>
        <v>28.034763106251752</v>
      </c>
      <c r="U22" s="202">
        <f>Data!BE20/U$2*100000</f>
        <v>6.9676700111482717</v>
      </c>
      <c r="V22" s="202">
        <f>Data!E20/V$2*100000</f>
        <v>2.3683949535424529</v>
      </c>
      <c r="W22" s="178"/>
    </row>
    <row r="23" spans="1:23" ht="12" customHeight="1">
      <c r="A23" s="178"/>
      <c r="B23" s="183" t="str">
        <f>UPPER(LEFT(TRIM(Data!B21),1)) &amp; MID(TRIM(Data!B21),2,50)</f>
        <v>Odos melanoma</v>
      </c>
      <c r="C23" s="184" t="str">
        <f>Data!C21</f>
        <v>C43</v>
      </c>
      <c r="D23" s="201">
        <f>Data!AN21/D$2*100000</f>
        <v>0</v>
      </c>
      <c r="E23" s="201">
        <f>Data!AO21/E$2*100000</f>
        <v>0</v>
      </c>
      <c r="F23" s="201">
        <f>Data!AP21/F$2*100000</f>
        <v>0</v>
      </c>
      <c r="G23" s="201">
        <f>Data!AQ21/G$2*100000</f>
        <v>0</v>
      </c>
      <c r="H23" s="201">
        <f>Data!AR21/H$2*100000</f>
        <v>0</v>
      </c>
      <c r="I23" s="201">
        <f>Data!AS21/I$2*100000</f>
        <v>1.0008106566318717</v>
      </c>
      <c r="J23" s="201">
        <f>Data!AT21/J$2*100000</f>
        <v>0</v>
      </c>
      <c r="K23" s="201">
        <f>Data!AU21/K$2*100000</f>
        <v>3.3631155902828378</v>
      </c>
      <c r="L23" s="201">
        <f>Data!AV21/L$2*100000</f>
        <v>1.0151768945738795</v>
      </c>
      <c r="M23" s="201">
        <f>Data!AW21/M$2*100000</f>
        <v>3.9799806970936191</v>
      </c>
      <c r="N23" s="201">
        <f>Data!AX21/N$2*100000</f>
        <v>2.7637797451795074</v>
      </c>
      <c r="O23" s="201">
        <f>Data!AY21/O$2*100000</f>
        <v>3.2363157781181902</v>
      </c>
      <c r="P23" s="201">
        <f>Data!AZ21/P$2*100000</f>
        <v>4.1375315486780586</v>
      </c>
      <c r="Q23" s="201">
        <f>Data!BA21/Q$2*100000</f>
        <v>5.436653920733586</v>
      </c>
      <c r="R23" s="201">
        <f>Data!BB21/R$2*100000</f>
        <v>14.218394540136496</v>
      </c>
      <c r="S23" s="201">
        <f>Data!BC21/S$2*100000</f>
        <v>15.212210334161554</v>
      </c>
      <c r="T23" s="201">
        <f>Data!BD21/T$2*100000</f>
        <v>16.019864632143857</v>
      </c>
      <c r="U23" s="201">
        <f>Data!BE21/U$2*100000</f>
        <v>27.870680044593087</v>
      </c>
      <c r="V23" s="201">
        <f>Data!E21/V$2*100000</f>
        <v>3.1085183765244691</v>
      </c>
      <c r="W23" s="178"/>
    </row>
    <row r="24" spans="1:23" ht="12" customHeight="1">
      <c r="A24" s="178"/>
      <c r="B24" s="197" t="str">
        <f>UPPER(LEFT(TRIM(Data!B22),1)) &amp; MID(TRIM(Data!B22),2,50)</f>
        <v>Kiti odos piktybiniai navikai</v>
      </c>
      <c r="C24" s="198" t="str">
        <f>Data!C22</f>
        <v>C44</v>
      </c>
      <c r="D24" s="202">
        <f>Data!AN22/D$2*100000</f>
        <v>0</v>
      </c>
      <c r="E24" s="202">
        <f>Data!AO22/E$2*100000</f>
        <v>0</v>
      </c>
      <c r="F24" s="202">
        <f>Data!AP22/F$2*100000</f>
        <v>0</v>
      </c>
      <c r="G24" s="202">
        <f>Data!AQ22/G$2*100000</f>
        <v>0</v>
      </c>
      <c r="H24" s="202">
        <f>Data!AR22/H$2*100000</f>
        <v>0</v>
      </c>
      <c r="I24" s="202">
        <f>Data!AS22/I$2*100000</f>
        <v>0</v>
      </c>
      <c r="J24" s="202">
        <f>Data!AT22/J$2*100000</f>
        <v>0</v>
      </c>
      <c r="K24" s="202">
        <f>Data!AU22/K$2*100000</f>
        <v>0</v>
      </c>
      <c r="L24" s="202">
        <f>Data!AV22/L$2*100000</f>
        <v>0</v>
      </c>
      <c r="M24" s="202">
        <f>Data!AW22/M$2*100000</f>
        <v>0</v>
      </c>
      <c r="N24" s="202">
        <f>Data!AX22/N$2*100000</f>
        <v>0</v>
      </c>
      <c r="O24" s="202">
        <f>Data!AY22/O$2*100000</f>
        <v>2.1575438520787937</v>
      </c>
      <c r="P24" s="202">
        <f>Data!AZ22/P$2*100000</f>
        <v>2.7583543657853724</v>
      </c>
      <c r="Q24" s="202">
        <f>Data!BA22/Q$2*100000</f>
        <v>1.8122179735778619</v>
      </c>
      <c r="R24" s="202">
        <f>Data!BB22/R$2*100000</f>
        <v>4.062398440038999</v>
      </c>
      <c r="S24" s="202">
        <f>Data!BC22/S$2*100000</f>
        <v>12.676841945134628</v>
      </c>
      <c r="T24" s="202">
        <f>Data!BD22/T$2*100000</f>
        <v>16.019864632143857</v>
      </c>
      <c r="U24" s="202">
        <f>Data!BE22/U$2*100000</f>
        <v>41.80602006688963</v>
      </c>
      <c r="V24" s="202">
        <f>Data!E22/V$2*100000</f>
        <v>1.6282715305604361</v>
      </c>
      <c r="W24" s="178"/>
    </row>
    <row r="25" spans="1:23" ht="12" customHeight="1">
      <c r="A25" s="178"/>
      <c r="B25" s="183" t="str">
        <f>UPPER(LEFT(TRIM(Data!B23),1)) &amp; MID(TRIM(Data!B23),2,50)</f>
        <v>Krūties</v>
      </c>
      <c r="C25" s="184" t="str">
        <f>Data!C23</f>
        <v>C50</v>
      </c>
      <c r="D25" s="201">
        <f>Data!AN23/D$2*100000</f>
        <v>0</v>
      </c>
      <c r="E25" s="201">
        <f>Data!AO23/E$2*100000</f>
        <v>0</v>
      </c>
      <c r="F25" s="201">
        <f>Data!AP23/F$2*100000</f>
        <v>0</v>
      </c>
      <c r="G25" s="201">
        <f>Data!AQ23/G$2*100000</f>
        <v>0</v>
      </c>
      <c r="H25" s="201">
        <f>Data!AR23/H$2*100000</f>
        <v>0</v>
      </c>
      <c r="I25" s="201">
        <f>Data!AS23/I$2*100000</f>
        <v>0</v>
      </c>
      <c r="J25" s="201">
        <f>Data!AT23/J$2*100000</f>
        <v>0</v>
      </c>
      <c r="K25" s="201">
        <f>Data!AU23/K$2*100000</f>
        <v>0</v>
      </c>
      <c r="L25" s="201">
        <f>Data!AV23/L$2*100000</f>
        <v>0</v>
      </c>
      <c r="M25" s="201">
        <f>Data!AW23/M$2*100000</f>
        <v>0.99499517427340478</v>
      </c>
      <c r="N25" s="201">
        <f>Data!AX23/N$2*100000</f>
        <v>0</v>
      </c>
      <c r="O25" s="201">
        <f>Data!AY23/O$2*100000</f>
        <v>2.1575438520787937</v>
      </c>
      <c r="P25" s="201">
        <f>Data!AZ23/P$2*100000</f>
        <v>1.3791771828926862</v>
      </c>
      <c r="Q25" s="201">
        <f>Data!BA23/Q$2*100000</f>
        <v>1.8122179735778619</v>
      </c>
      <c r="R25" s="201">
        <f>Data!BB23/R$2*100000</f>
        <v>2.0311992200194995</v>
      </c>
      <c r="S25" s="201">
        <f>Data!BC23/S$2*100000</f>
        <v>2.5353683890269259</v>
      </c>
      <c r="T25" s="201">
        <f>Data!BD23/T$2*100000</f>
        <v>4.0049661580359643</v>
      </c>
      <c r="U25" s="201">
        <f>Data!BE23/U$2*100000</f>
        <v>0</v>
      </c>
      <c r="V25" s="201">
        <f>Data!E23/V$2*100000</f>
        <v>0.59209873838561322</v>
      </c>
      <c r="W25" s="178"/>
    </row>
    <row r="26" spans="1:23" ht="12" customHeight="1">
      <c r="A26" s="178"/>
      <c r="B26" s="197" t="str">
        <f>UPPER(LEFT(TRIM(Data!B28),1)) &amp; MID(TRIM(Data!B28),2,50)</f>
        <v>Priešinės liaukos</v>
      </c>
      <c r="C26" s="198" t="str">
        <f>Data!C28</f>
        <v>C61</v>
      </c>
      <c r="D26" s="202">
        <f>Data!AN28/D$2*100000</f>
        <v>0</v>
      </c>
      <c r="E26" s="202">
        <f>Data!AO28/E$2*100000</f>
        <v>0</v>
      </c>
      <c r="F26" s="202">
        <f>Data!AP28/F$2*100000</f>
        <v>0</v>
      </c>
      <c r="G26" s="202">
        <f>Data!AQ28/G$2*100000</f>
        <v>0</v>
      </c>
      <c r="H26" s="202">
        <f>Data!AR28/H$2*100000</f>
        <v>0</v>
      </c>
      <c r="I26" s="202">
        <f>Data!AS28/I$2*100000</f>
        <v>0</v>
      </c>
      <c r="J26" s="202">
        <f>Data!AT28/J$2*100000</f>
        <v>0</v>
      </c>
      <c r="K26" s="202">
        <f>Data!AU28/K$2*100000</f>
        <v>0</v>
      </c>
      <c r="L26" s="202">
        <f>Data!AV28/L$2*100000</f>
        <v>0</v>
      </c>
      <c r="M26" s="202">
        <f>Data!AW28/M$2*100000</f>
        <v>0.99499517427340478</v>
      </c>
      <c r="N26" s="202">
        <f>Data!AX28/N$2*100000</f>
        <v>4.6062995752991798</v>
      </c>
      <c r="O26" s="202">
        <f>Data!AY28/O$2*100000</f>
        <v>17.26035081663035</v>
      </c>
      <c r="P26" s="202">
        <f>Data!AZ28/P$2*100000</f>
        <v>41.375315486780586</v>
      </c>
      <c r="Q26" s="202">
        <f>Data!BA28/Q$2*100000</f>
        <v>83.362026784581644</v>
      </c>
      <c r="R26" s="202">
        <f>Data!BB28/R$2*100000</f>
        <v>178.74553136171596</v>
      </c>
      <c r="S26" s="202">
        <f>Data!BC28/S$2*100000</f>
        <v>299.17346990517723</v>
      </c>
      <c r="T26" s="202">
        <f>Data!BD28/T$2*100000</f>
        <v>480.59593896431574</v>
      </c>
      <c r="U26" s="202">
        <f>Data!BE28/U$2*100000</f>
        <v>668.89632107023408</v>
      </c>
      <c r="V26" s="202">
        <f>Data!E28/V$2*100000</f>
        <v>38.486417995064855</v>
      </c>
      <c r="W26" s="178"/>
    </row>
    <row r="27" spans="1:23" ht="12" customHeight="1">
      <c r="A27" s="178"/>
      <c r="B27" s="183" t="str">
        <f>UPPER(LEFT(TRIM(Data!B29),1)) &amp; MID(TRIM(Data!B29),2,50)</f>
        <v>Sėklidžių</v>
      </c>
      <c r="C27" s="184" t="str">
        <f>Data!C29</f>
        <v>C62</v>
      </c>
      <c r="D27" s="201">
        <f>Data!AN29/D$2*100000</f>
        <v>0</v>
      </c>
      <c r="E27" s="201">
        <f>Data!AO29/E$2*100000</f>
        <v>0</v>
      </c>
      <c r="F27" s="201">
        <f>Data!AP29/F$2*100000</f>
        <v>0</v>
      </c>
      <c r="G27" s="201">
        <f>Data!AQ29/G$2*100000</f>
        <v>0</v>
      </c>
      <c r="H27" s="201">
        <f>Data!AR29/H$2*100000</f>
        <v>0</v>
      </c>
      <c r="I27" s="201">
        <f>Data!AS29/I$2*100000</f>
        <v>0</v>
      </c>
      <c r="J27" s="201">
        <f>Data!AT29/J$2*100000</f>
        <v>1.1188060102258868</v>
      </c>
      <c r="K27" s="201">
        <f>Data!AU29/K$2*100000</f>
        <v>0</v>
      </c>
      <c r="L27" s="201">
        <f>Data!AV29/L$2*100000</f>
        <v>1.0151768945738795</v>
      </c>
      <c r="M27" s="201">
        <f>Data!AW29/M$2*100000</f>
        <v>0</v>
      </c>
      <c r="N27" s="201">
        <f>Data!AX29/N$2*100000</f>
        <v>0</v>
      </c>
      <c r="O27" s="201">
        <f>Data!AY29/O$2*100000</f>
        <v>0</v>
      </c>
      <c r="P27" s="201">
        <f>Data!AZ29/P$2*100000</f>
        <v>0</v>
      </c>
      <c r="Q27" s="201">
        <f>Data!BA29/Q$2*100000</f>
        <v>0</v>
      </c>
      <c r="R27" s="201">
        <f>Data!BB29/R$2*100000</f>
        <v>0</v>
      </c>
      <c r="S27" s="201">
        <f>Data!BC29/S$2*100000</f>
        <v>0</v>
      </c>
      <c r="T27" s="201">
        <f>Data!BD29/T$2*100000</f>
        <v>0</v>
      </c>
      <c r="U27" s="201">
        <f>Data!BE29/U$2*100000</f>
        <v>0</v>
      </c>
      <c r="V27" s="201">
        <f>Data!E29/V$2*100000</f>
        <v>0.14802468459640331</v>
      </c>
      <c r="W27" s="178"/>
    </row>
    <row r="28" spans="1:23" ht="12" customHeight="1">
      <c r="A28" s="178"/>
      <c r="B28" s="197" t="str">
        <f>UPPER(LEFT(TRIM(Data!B30),1)) &amp; MID(TRIM(Data!B30),2,50)</f>
        <v>Kitų lyties organų</v>
      </c>
      <c r="C28" s="198" t="s">
        <v>417</v>
      </c>
      <c r="D28" s="202">
        <f>Data!AN30/D$2*100000</f>
        <v>0</v>
      </c>
      <c r="E28" s="202">
        <f>Data!AO30/E$2*100000</f>
        <v>0</v>
      </c>
      <c r="F28" s="202">
        <f>Data!AP30/F$2*100000</f>
        <v>0</v>
      </c>
      <c r="G28" s="202">
        <f>Data!AQ30/G$2*100000</f>
        <v>0</v>
      </c>
      <c r="H28" s="202">
        <f>Data!AR30/H$2*100000</f>
        <v>0</v>
      </c>
      <c r="I28" s="202">
        <f>Data!AS30/I$2*100000</f>
        <v>0</v>
      </c>
      <c r="J28" s="202">
        <f>Data!AT30/J$2*100000</f>
        <v>0</v>
      </c>
      <c r="K28" s="202">
        <f>Data!AU30/K$2*100000</f>
        <v>0</v>
      </c>
      <c r="L28" s="202">
        <f>Data!AV30/L$2*100000</f>
        <v>1.0151768945738795</v>
      </c>
      <c r="M28" s="202">
        <f>Data!AW30/M$2*100000</f>
        <v>0</v>
      </c>
      <c r="N28" s="202">
        <f>Data!AX30/N$2*100000</f>
        <v>0.92125991505983573</v>
      </c>
      <c r="O28" s="202">
        <f>Data!AY30/O$2*100000</f>
        <v>1.0787719260393969</v>
      </c>
      <c r="P28" s="202">
        <f>Data!AZ30/P$2*100000</f>
        <v>1.3791771828926862</v>
      </c>
      <c r="Q28" s="202">
        <f>Data!BA30/Q$2*100000</f>
        <v>0</v>
      </c>
      <c r="R28" s="202">
        <f>Data!BB30/R$2*100000</f>
        <v>8.1247968800779979</v>
      </c>
      <c r="S28" s="202">
        <f>Data!BC30/S$2*100000</f>
        <v>0</v>
      </c>
      <c r="T28" s="202">
        <f>Data!BD30/T$2*100000</f>
        <v>4.0049661580359643</v>
      </c>
      <c r="U28" s="202">
        <f>Data!BE30/U$2*100000</f>
        <v>6.9676700111482717</v>
      </c>
      <c r="V28" s="202">
        <f>Data!E30/V$2*100000</f>
        <v>0.7401234229820165</v>
      </c>
      <c r="W28" s="178"/>
    </row>
    <row r="29" spans="1:23" ht="12" customHeight="1">
      <c r="A29" s="178"/>
      <c r="B29" s="183" t="str">
        <f>UPPER(LEFT(TRIM(Data!B31),1)) &amp; MID(TRIM(Data!B31),2,50)</f>
        <v>Inkstų</v>
      </c>
      <c r="C29" s="184" t="str">
        <f>Data!C31</f>
        <v>C64</v>
      </c>
      <c r="D29" s="201">
        <f>Data!AN31/D$2*100000</f>
        <v>0</v>
      </c>
      <c r="E29" s="201">
        <f>Data!AO31/E$2*100000</f>
        <v>1.4299605330892866</v>
      </c>
      <c r="F29" s="201">
        <f>Data!AP31/F$2*100000</f>
        <v>0</v>
      </c>
      <c r="G29" s="201">
        <f>Data!AQ31/G$2*100000</f>
        <v>0</v>
      </c>
      <c r="H29" s="201">
        <f>Data!AR31/H$2*100000</f>
        <v>0</v>
      </c>
      <c r="I29" s="201">
        <f>Data!AS31/I$2*100000</f>
        <v>0</v>
      </c>
      <c r="J29" s="201">
        <f>Data!AT31/J$2*100000</f>
        <v>0</v>
      </c>
      <c r="K29" s="201">
        <f>Data!AU31/K$2*100000</f>
        <v>0</v>
      </c>
      <c r="L29" s="201">
        <f>Data!AV31/L$2*100000</f>
        <v>2.030353789147759</v>
      </c>
      <c r="M29" s="201">
        <f>Data!AW31/M$2*100000</f>
        <v>8.9549565684606431</v>
      </c>
      <c r="N29" s="201">
        <f>Data!AX31/N$2*100000</f>
        <v>9.2125991505983595</v>
      </c>
      <c r="O29" s="201">
        <f>Data!AY31/O$2*100000</f>
        <v>20.49666659474854</v>
      </c>
      <c r="P29" s="201">
        <f>Data!AZ31/P$2*100000</f>
        <v>27.583543657853724</v>
      </c>
      <c r="Q29" s="201">
        <f>Data!BA31/Q$2*100000</f>
        <v>50.742103260180137</v>
      </c>
      <c r="R29" s="201">
        <f>Data!BB31/R$2*100000</f>
        <v>52.811179720506992</v>
      </c>
      <c r="S29" s="201">
        <f>Data!BC31/S$2*100000</f>
        <v>73.525683281780843</v>
      </c>
      <c r="T29" s="201">
        <f>Data!BD31/T$2*100000</f>
        <v>88.109255476791219</v>
      </c>
      <c r="U29" s="201">
        <f>Data!BE31/U$2*100000</f>
        <v>76.644370122630988</v>
      </c>
      <c r="V29" s="201">
        <f>Data!E31/V$2*100000</f>
        <v>13.100184586781692</v>
      </c>
      <c r="W29" s="178"/>
    </row>
    <row r="30" spans="1:23" ht="12" customHeight="1">
      <c r="A30" s="178"/>
      <c r="B30" s="197" t="str">
        <f>UPPER(LEFT(TRIM(Data!B32),1)) &amp; MID(TRIM(Data!B32),2,50)</f>
        <v>Šlapimo pūslės</v>
      </c>
      <c r="C30" s="198" t="str">
        <f>Data!C32</f>
        <v>C67</v>
      </c>
      <c r="D30" s="202">
        <f>Data!AN32/D$2*100000</f>
        <v>0</v>
      </c>
      <c r="E30" s="202">
        <f>Data!AO32/E$2*100000</f>
        <v>0</v>
      </c>
      <c r="F30" s="202">
        <f>Data!AP32/F$2*100000</f>
        <v>0</v>
      </c>
      <c r="G30" s="202">
        <f>Data!AQ32/G$2*100000</f>
        <v>0</v>
      </c>
      <c r="H30" s="202">
        <f>Data!AR32/H$2*100000</f>
        <v>0</v>
      </c>
      <c r="I30" s="202">
        <f>Data!AS32/I$2*100000</f>
        <v>0</v>
      </c>
      <c r="J30" s="202">
        <f>Data!AT32/J$2*100000</f>
        <v>0</v>
      </c>
      <c r="K30" s="202">
        <f>Data!AU32/K$2*100000</f>
        <v>0</v>
      </c>
      <c r="L30" s="202">
        <f>Data!AV32/L$2*100000</f>
        <v>0</v>
      </c>
      <c r="M30" s="202">
        <f>Data!AW32/M$2*100000</f>
        <v>0.99499517427340478</v>
      </c>
      <c r="N30" s="202">
        <f>Data!AX32/N$2*100000</f>
        <v>2.7637797451795074</v>
      </c>
      <c r="O30" s="202">
        <f>Data!AY32/O$2*100000</f>
        <v>5.3938596301969834</v>
      </c>
      <c r="P30" s="202">
        <f>Data!AZ32/P$2*100000</f>
        <v>19.308480560497607</v>
      </c>
      <c r="Q30" s="202">
        <f>Data!BA32/Q$2*100000</f>
        <v>39.868795418712963</v>
      </c>
      <c r="R30" s="202">
        <f>Data!BB32/R$2*100000</f>
        <v>50.77998050048749</v>
      </c>
      <c r="S30" s="202">
        <f>Data!BC32/S$2*100000</f>
        <v>111.55620911718472</v>
      </c>
      <c r="T30" s="202">
        <f>Data!BD32/T$2*100000</f>
        <v>144.17878168929474</v>
      </c>
      <c r="U30" s="202">
        <f>Data!BE32/U$2*100000</f>
        <v>153.28874024526198</v>
      </c>
      <c r="V30" s="202">
        <f>Data!E32/V$2*100000</f>
        <v>12.730122875290682</v>
      </c>
      <c r="W30" s="178"/>
    </row>
    <row r="31" spans="1:23" ht="12" customHeight="1">
      <c r="A31" s="178"/>
      <c r="B31" s="183" t="str">
        <f>UPPER(LEFT(TRIM(Data!B33),1)) &amp; MID(TRIM(Data!B33),2,50)</f>
        <v>Kitų šlapimą išskiriančių organų</v>
      </c>
      <c r="C31" s="184" t="str">
        <f>Data!C33</f>
        <v>C65, C66, C68</v>
      </c>
      <c r="D31" s="201">
        <f>Data!AN33/D$2*100000</f>
        <v>0</v>
      </c>
      <c r="E31" s="201">
        <f>Data!AO33/E$2*100000</f>
        <v>0</v>
      </c>
      <c r="F31" s="201">
        <f>Data!AP33/F$2*100000</f>
        <v>0</v>
      </c>
      <c r="G31" s="201">
        <f>Data!AQ33/G$2*100000</f>
        <v>0</v>
      </c>
      <c r="H31" s="201">
        <f>Data!AR33/H$2*100000</f>
        <v>0</v>
      </c>
      <c r="I31" s="201">
        <f>Data!AS33/I$2*100000</f>
        <v>0</v>
      </c>
      <c r="J31" s="201">
        <f>Data!AT33/J$2*100000</f>
        <v>0</v>
      </c>
      <c r="K31" s="201">
        <f>Data!AU33/K$2*100000</f>
        <v>0</v>
      </c>
      <c r="L31" s="201">
        <f>Data!AV33/L$2*100000</f>
        <v>0</v>
      </c>
      <c r="M31" s="201">
        <f>Data!AW33/M$2*100000</f>
        <v>0</v>
      </c>
      <c r="N31" s="201">
        <f>Data!AX33/N$2*100000</f>
        <v>1.8425198301196715</v>
      </c>
      <c r="O31" s="201">
        <f>Data!AY33/O$2*100000</f>
        <v>0</v>
      </c>
      <c r="P31" s="201">
        <f>Data!AZ33/P$2*100000</f>
        <v>1.3791771828926862</v>
      </c>
      <c r="Q31" s="201">
        <f>Data!BA33/Q$2*100000</f>
        <v>3.6244359471557237</v>
      </c>
      <c r="R31" s="201">
        <f>Data!BB33/R$2*100000</f>
        <v>2.0311992200194995</v>
      </c>
      <c r="S31" s="201">
        <f>Data!BC33/S$2*100000</f>
        <v>5.0707367780538517</v>
      </c>
      <c r="T31" s="201">
        <f>Data!BD33/T$2*100000</f>
        <v>0</v>
      </c>
      <c r="U31" s="201">
        <f>Data!BE33/U$2*100000</f>
        <v>0</v>
      </c>
      <c r="V31" s="201">
        <f>Data!E33/V$2*100000</f>
        <v>0.59209873838561322</v>
      </c>
      <c r="W31" s="178"/>
    </row>
    <row r="32" spans="1:23" ht="12" customHeight="1">
      <c r="A32" s="178"/>
      <c r="B32" s="197" t="str">
        <f>UPPER(LEFT(TRIM(Data!B34),1)) &amp; MID(TRIM(Data!B34),2,50)</f>
        <v>Akių</v>
      </c>
      <c r="C32" s="198" t="str">
        <f>Data!C34</f>
        <v>C69</v>
      </c>
      <c r="D32" s="202">
        <f>Data!AN34/D$2*100000</f>
        <v>0</v>
      </c>
      <c r="E32" s="202">
        <f>Data!AO34/E$2*100000</f>
        <v>0</v>
      </c>
      <c r="F32" s="202">
        <f>Data!AP34/F$2*100000</f>
        <v>0</v>
      </c>
      <c r="G32" s="202">
        <f>Data!AQ34/G$2*100000</f>
        <v>0</v>
      </c>
      <c r="H32" s="202">
        <f>Data!AR34/H$2*100000</f>
        <v>0</v>
      </c>
      <c r="I32" s="202">
        <f>Data!AS34/I$2*100000</f>
        <v>0</v>
      </c>
      <c r="J32" s="202">
        <f>Data!AT34/J$2*100000</f>
        <v>0</v>
      </c>
      <c r="K32" s="202">
        <f>Data!AU34/K$2*100000</f>
        <v>0</v>
      </c>
      <c r="L32" s="202">
        <f>Data!AV34/L$2*100000</f>
        <v>0</v>
      </c>
      <c r="M32" s="202">
        <f>Data!AW34/M$2*100000</f>
        <v>0</v>
      </c>
      <c r="N32" s="202">
        <f>Data!AX34/N$2*100000</f>
        <v>0</v>
      </c>
      <c r="O32" s="202">
        <f>Data!AY34/O$2*100000</f>
        <v>0</v>
      </c>
      <c r="P32" s="202">
        <f>Data!AZ34/P$2*100000</f>
        <v>1.3791771828926862</v>
      </c>
      <c r="Q32" s="202">
        <f>Data!BA34/Q$2*100000</f>
        <v>1.8122179735778619</v>
      </c>
      <c r="R32" s="202">
        <f>Data!BB34/R$2*100000</f>
        <v>4.062398440038999</v>
      </c>
      <c r="S32" s="202">
        <f>Data!BC34/S$2*100000</f>
        <v>0</v>
      </c>
      <c r="T32" s="202">
        <f>Data!BD34/T$2*100000</f>
        <v>0</v>
      </c>
      <c r="U32" s="202">
        <f>Data!BE34/U$2*100000</f>
        <v>0</v>
      </c>
      <c r="V32" s="202">
        <f>Data!E34/V$2*100000</f>
        <v>0.29604936919280661</v>
      </c>
      <c r="W32" s="178"/>
    </row>
    <row r="33" spans="1:23" ht="12" customHeight="1">
      <c r="A33" s="178"/>
      <c r="B33" s="183" t="str">
        <f>UPPER(LEFT(TRIM(Data!B35),1)) &amp; MID(TRIM(Data!B35),2,50)</f>
        <v>Smegenų</v>
      </c>
      <c r="C33" s="184" t="str">
        <f>Data!C35</f>
        <v>C70-C72</v>
      </c>
      <c r="D33" s="201">
        <f>Data!AN35/D$2*100000</f>
        <v>1.2945151393545549</v>
      </c>
      <c r="E33" s="201">
        <f>Data!AO35/E$2*100000</f>
        <v>1.4299605330892866</v>
      </c>
      <c r="F33" s="201">
        <f>Data!AP35/F$2*100000</f>
        <v>1.3888503097136191</v>
      </c>
      <c r="G33" s="201">
        <f>Data!AQ35/G$2*100000</f>
        <v>1.1200089600716805</v>
      </c>
      <c r="H33" s="201">
        <f>Data!AR35/H$2*100000</f>
        <v>0.92405215350354375</v>
      </c>
      <c r="I33" s="201">
        <f>Data!AS35/I$2*100000</f>
        <v>1.0008106566318717</v>
      </c>
      <c r="J33" s="201">
        <f>Data!AT35/J$2*100000</f>
        <v>2.2376120204517735</v>
      </c>
      <c r="K33" s="201">
        <f>Data!AU35/K$2*100000</f>
        <v>6.7262311805656756</v>
      </c>
      <c r="L33" s="201">
        <f>Data!AV35/L$2*100000</f>
        <v>4.060707578295518</v>
      </c>
      <c r="M33" s="201">
        <f>Data!AW35/M$2*100000</f>
        <v>3.9799806970936191</v>
      </c>
      <c r="N33" s="201">
        <f>Data!AX35/N$2*100000</f>
        <v>13.818898725897537</v>
      </c>
      <c r="O33" s="201">
        <f>Data!AY35/O$2*100000</f>
        <v>8.6301754083151749</v>
      </c>
      <c r="P33" s="201">
        <f>Data!AZ35/P$2*100000</f>
        <v>19.308480560497607</v>
      </c>
      <c r="Q33" s="201">
        <f>Data!BA35/Q$2*100000</f>
        <v>34.43214149797938</v>
      </c>
      <c r="R33" s="201">
        <f>Data!BB35/R$2*100000</f>
        <v>42.655183620409488</v>
      </c>
      <c r="S33" s="201">
        <f>Data!BC35/S$2*100000</f>
        <v>40.565894224430814</v>
      </c>
      <c r="T33" s="201">
        <f>Data!BD35/T$2*100000</f>
        <v>40.049661580359647</v>
      </c>
      <c r="U33" s="201">
        <f>Data!BE35/U$2*100000</f>
        <v>13.935340022296543</v>
      </c>
      <c r="V33" s="201">
        <f>Data!E35/V$2*100000</f>
        <v>9.3995674718716096</v>
      </c>
      <c r="W33" s="178"/>
    </row>
    <row r="34" spans="1:23" ht="12" customHeight="1">
      <c r="A34" s="178"/>
      <c r="B34" s="197" t="str">
        <f>UPPER(LEFT(TRIM(Data!B36),1)) &amp; MID(TRIM(Data!B36),2,50)</f>
        <v>Skydliaukės</v>
      </c>
      <c r="C34" s="198" t="str">
        <f>Data!C36</f>
        <v>C73</v>
      </c>
      <c r="D34" s="202">
        <f>Data!AN36/D$2*100000</f>
        <v>0</v>
      </c>
      <c r="E34" s="202">
        <f>Data!AO36/E$2*100000</f>
        <v>0</v>
      </c>
      <c r="F34" s="202">
        <f>Data!AP36/F$2*100000</f>
        <v>0</v>
      </c>
      <c r="G34" s="202">
        <f>Data!AQ36/G$2*100000</f>
        <v>0</v>
      </c>
      <c r="H34" s="202">
        <f>Data!AR36/H$2*100000</f>
        <v>0</v>
      </c>
      <c r="I34" s="202">
        <f>Data!AS36/I$2*100000</f>
        <v>0</v>
      </c>
      <c r="J34" s="202">
        <f>Data!AT36/J$2*100000</f>
        <v>0</v>
      </c>
      <c r="K34" s="202">
        <f>Data!AU36/K$2*100000</f>
        <v>0</v>
      </c>
      <c r="L34" s="202">
        <f>Data!AV36/L$2*100000</f>
        <v>0</v>
      </c>
      <c r="M34" s="202">
        <f>Data!AW36/M$2*100000</f>
        <v>0</v>
      </c>
      <c r="N34" s="202">
        <f>Data!AX36/N$2*100000</f>
        <v>1.8425198301196715</v>
      </c>
      <c r="O34" s="202">
        <f>Data!AY36/O$2*100000</f>
        <v>0</v>
      </c>
      <c r="P34" s="202">
        <f>Data!AZ36/P$2*100000</f>
        <v>1.3791771828926862</v>
      </c>
      <c r="Q34" s="202">
        <f>Data!BA36/Q$2*100000</f>
        <v>1.8122179735778619</v>
      </c>
      <c r="R34" s="202">
        <f>Data!BB36/R$2*100000</f>
        <v>2.0311992200194995</v>
      </c>
      <c r="S34" s="202">
        <f>Data!BC36/S$2*100000</f>
        <v>5.0707367780538517</v>
      </c>
      <c r="T34" s="202">
        <f>Data!BD36/T$2*100000</f>
        <v>0</v>
      </c>
      <c r="U34" s="202">
        <f>Data!BE36/U$2*100000</f>
        <v>0</v>
      </c>
      <c r="V34" s="202">
        <f>Data!E36/V$2*100000</f>
        <v>0.51808639608741158</v>
      </c>
      <c r="W34" s="178"/>
    </row>
    <row r="35" spans="1:23" ht="12" customHeight="1">
      <c r="A35" s="178"/>
      <c r="B35" s="183" t="str">
        <f>UPPER(LEFT(TRIM(Data!B37),1)) &amp; MID(TRIM(Data!B37),2,50)</f>
        <v>Kitų endokrininių liaukų</v>
      </c>
      <c r="C35" s="184" t="str">
        <f>Data!C37</f>
        <v>C74-C75</v>
      </c>
      <c r="D35" s="201">
        <f>Data!AN37/D$2*100000</f>
        <v>0</v>
      </c>
      <c r="E35" s="201">
        <f>Data!AO37/E$2*100000</f>
        <v>0</v>
      </c>
      <c r="F35" s="201">
        <f>Data!AP37/F$2*100000</f>
        <v>0</v>
      </c>
      <c r="G35" s="201">
        <f>Data!AQ37/G$2*100000</f>
        <v>0</v>
      </c>
      <c r="H35" s="201">
        <f>Data!AR37/H$2*100000</f>
        <v>0</v>
      </c>
      <c r="I35" s="201">
        <f>Data!AS37/I$2*100000</f>
        <v>0</v>
      </c>
      <c r="J35" s="201">
        <f>Data!AT37/J$2*100000</f>
        <v>0</v>
      </c>
      <c r="K35" s="201">
        <f>Data!AU37/K$2*100000</f>
        <v>0</v>
      </c>
      <c r="L35" s="201">
        <f>Data!AV37/L$2*100000</f>
        <v>0</v>
      </c>
      <c r="M35" s="201">
        <f>Data!AW37/M$2*100000</f>
        <v>0</v>
      </c>
      <c r="N35" s="201">
        <f>Data!AX37/N$2*100000</f>
        <v>0</v>
      </c>
      <c r="O35" s="201">
        <f>Data!AY37/O$2*100000</f>
        <v>0</v>
      </c>
      <c r="P35" s="201">
        <f>Data!AZ37/P$2*100000</f>
        <v>1.3791771828926862</v>
      </c>
      <c r="Q35" s="201">
        <f>Data!BA37/Q$2*100000</f>
        <v>0</v>
      </c>
      <c r="R35" s="201">
        <f>Data!BB37/R$2*100000</f>
        <v>0</v>
      </c>
      <c r="S35" s="201">
        <f>Data!BC37/S$2*100000</f>
        <v>2.5353683890269259</v>
      </c>
      <c r="T35" s="201">
        <f>Data!BD37/T$2*100000</f>
        <v>0</v>
      </c>
      <c r="U35" s="201">
        <f>Data!BE37/U$2*100000</f>
        <v>0</v>
      </c>
      <c r="V35" s="201">
        <f>Data!E37/V$2*100000</f>
        <v>0.14802468459640331</v>
      </c>
      <c r="W35" s="178"/>
    </row>
    <row r="36" spans="1:23" ht="12" customHeight="1">
      <c r="A36" s="178"/>
      <c r="B36" s="197" t="str">
        <f>UPPER(LEFT(TRIM(Data!B38),1)) &amp; MID(TRIM(Data!B38),2,50)</f>
        <v>Nepatikslintos lokalizacijos</v>
      </c>
      <c r="C36" s="198" t="str">
        <f>Data!C38</f>
        <v>C76-C80</v>
      </c>
      <c r="D36" s="202">
        <f>Data!AN38/D$2*100000</f>
        <v>0</v>
      </c>
      <c r="E36" s="202">
        <f>Data!AO38/E$2*100000</f>
        <v>0</v>
      </c>
      <c r="F36" s="202">
        <f>Data!AP38/F$2*100000</f>
        <v>0</v>
      </c>
      <c r="G36" s="202">
        <f>Data!AQ38/G$2*100000</f>
        <v>0</v>
      </c>
      <c r="H36" s="202">
        <f>Data!AR38/H$2*100000</f>
        <v>0</v>
      </c>
      <c r="I36" s="202">
        <f>Data!AS38/I$2*100000</f>
        <v>0</v>
      </c>
      <c r="J36" s="202">
        <f>Data!AT38/J$2*100000</f>
        <v>1.1188060102258868</v>
      </c>
      <c r="K36" s="202">
        <f>Data!AU38/K$2*100000</f>
        <v>1.1210385300942793</v>
      </c>
      <c r="L36" s="202">
        <f>Data!AV38/L$2*100000</f>
        <v>2.030353789147759</v>
      </c>
      <c r="M36" s="202">
        <f>Data!AW38/M$2*100000</f>
        <v>6.9649662199138334</v>
      </c>
      <c r="N36" s="202">
        <f>Data!AX38/N$2*100000</f>
        <v>6.4488194054188517</v>
      </c>
      <c r="O36" s="202">
        <f>Data!AY38/O$2*100000</f>
        <v>19.417894668709142</v>
      </c>
      <c r="P36" s="202">
        <f>Data!AZ38/P$2*100000</f>
        <v>44.133669852565959</v>
      </c>
      <c r="Q36" s="202">
        <f>Data!BA38/Q$2*100000</f>
        <v>54.366539207335862</v>
      </c>
      <c r="R36" s="202">
        <f>Data!BB38/R$2*100000</f>
        <v>85.310367240818977</v>
      </c>
      <c r="S36" s="202">
        <f>Data!BC38/S$2*100000</f>
        <v>98.879367172050095</v>
      </c>
      <c r="T36" s="202">
        <f>Data!BD38/T$2*100000</f>
        <v>100.12415395089913</v>
      </c>
      <c r="U36" s="202">
        <f>Data!BE38/U$2*100000</f>
        <v>160.25641025641025</v>
      </c>
      <c r="V36" s="202">
        <f>Data!E38/V$2*100000</f>
        <v>16.800801701691775</v>
      </c>
      <c r="W36" s="178"/>
    </row>
    <row r="37" spans="1:23" ht="12" customHeight="1">
      <c r="A37" s="178"/>
      <c r="B37" s="183" t="str">
        <f>UPPER(LEFT(TRIM(Data!B39),1)) &amp; MID(TRIM(Data!B39),2,50)</f>
        <v>Hodžkino limfomos</v>
      </c>
      <c r="C37" s="184" t="str">
        <f>Data!C39</f>
        <v>C81</v>
      </c>
      <c r="D37" s="201">
        <f>Data!AN39/D$2*100000</f>
        <v>0</v>
      </c>
      <c r="E37" s="201">
        <f>Data!AO39/E$2*100000</f>
        <v>0</v>
      </c>
      <c r="F37" s="201">
        <f>Data!AP39/F$2*100000</f>
        <v>0</v>
      </c>
      <c r="G37" s="201">
        <f>Data!AQ39/G$2*100000</f>
        <v>0</v>
      </c>
      <c r="H37" s="201">
        <f>Data!AR39/H$2*100000</f>
        <v>0</v>
      </c>
      <c r="I37" s="201">
        <f>Data!AS39/I$2*100000</f>
        <v>0</v>
      </c>
      <c r="J37" s="201">
        <f>Data!AT39/J$2*100000</f>
        <v>0</v>
      </c>
      <c r="K37" s="201">
        <f>Data!AU39/K$2*100000</f>
        <v>0</v>
      </c>
      <c r="L37" s="201">
        <f>Data!AV39/L$2*100000</f>
        <v>0</v>
      </c>
      <c r="M37" s="201">
        <f>Data!AW39/M$2*100000</f>
        <v>0</v>
      </c>
      <c r="N37" s="201">
        <f>Data!AX39/N$2*100000</f>
        <v>0.92125991505983573</v>
      </c>
      <c r="O37" s="201">
        <f>Data!AY39/O$2*100000</f>
        <v>1.0787719260393969</v>
      </c>
      <c r="P37" s="201">
        <f>Data!AZ39/P$2*100000</f>
        <v>1.3791771828926862</v>
      </c>
      <c r="Q37" s="201">
        <f>Data!BA39/Q$2*100000</f>
        <v>0</v>
      </c>
      <c r="R37" s="201">
        <f>Data!BB39/R$2*100000</f>
        <v>0</v>
      </c>
      <c r="S37" s="201">
        <f>Data!BC39/S$2*100000</f>
        <v>5.0707367780538517</v>
      </c>
      <c r="T37" s="201">
        <f>Data!BD39/T$2*100000</f>
        <v>0</v>
      </c>
      <c r="U37" s="201">
        <f>Data!BE39/U$2*100000</f>
        <v>6.9676700111482717</v>
      </c>
      <c r="V37" s="201">
        <f>Data!E39/V$2*100000</f>
        <v>0.44407405378920989</v>
      </c>
      <c r="W37" s="178"/>
    </row>
    <row r="38" spans="1:23" ht="12" customHeight="1">
      <c r="A38" s="178"/>
      <c r="B38" s="197" t="str">
        <f>UPPER(LEFT(TRIM(Data!B40),1)) &amp; MID(TRIM(Data!B40),2,50)</f>
        <v>Ne Hodžkino limfomos</v>
      </c>
      <c r="C38" s="198" t="str">
        <f>Data!C40</f>
        <v>C82-C85</v>
      </c>
      <c r="D38" s="202">
        <f>Data!AN40/D$2*100000</f>
        <v>0</v>
      </c>
      <c r="E38" s="202">
        <f>Data!AO40/E$2*100000</f>
        <v>0</v>
      </c>
      <c r="F38" s="202">
        <f>Data!AP40/F$2*100000</f>
        <v>0</v>
      </c>
      <c r="G38" s="202">
        <f>Data!AQ40/G$2*100000</f>
        <v>1.1200089600716805</v>
      </c>
      <c r="H38" s="202">
        <f>Data!AR40/H$2*100000</f>
        <v>0.92405215350354375</v>
      </c>
      <c r="I38" s="202">
        <f>Data!AS40/I$2*100000</f>
        <v>0</v>
      </c>
      <c r="J38" s="202">
        <f>Data!AT40/J$2*100000</f>
        <v>0</v>
      </c>
      <c r="K38" s="202">
        <f>Data!AU40/K$2*100000</f>
        <v>0</v>
      </c>
      <c r="L38" s="202">
        <f>Data!AV40/L$2*100000</f>
        <v>0</v>
      </c>
      <c r="M38" s="202">
        <f>Data!AW40/M$2*100000</f>
        <v>1.9899903485468096</v>
      </c>
      <c r="N38" s="202">
        <f>Data!AX40/N$2*100000</f>
        <v>6.4488194054188517</v>
      </c>
      <c r="O38" s="202">
        <f>Data!AY40/O$2*100000</f>
        <v>5.3938596301969834</v>
      </c>
      <c r="P38" s="202">
        <f>Data!AZ40/P$2*100000</f>
        <v>8.2750630973561172</v>
      </c>
      <c r="Q38" s="202">
        <f>Data!BA40/Q$2*100000</f>
        <v>16.309961762200757</v>
      </c>
      <c r="R38" s="202">
        <f>Data!BB40/R$2*100000</f>
        <v>26.405589860253496</v>
      </c>
      <c r="S38" s="202">
        <f>Data!BC40/S$2*100000</f>
        <v>45.636631002484663</v>
      </c>
      <c r="T38" s="202">
        <f>Data!BD40/T$2*100000</f>
        <v>24.029796948215786</v>
      </c>
      <c r="U38" s="202">
        <f>Data!BE40/U$2*100000</f>
        <v>48.773690078037909</v>
      </c>
      <c r="V38" s="202">
        <f>Data!E40/V$2*100000</f>
        <v>5.5509256723651239</v>
      </c>
      <c r="W38" s="178"/>
    </row>
    <row r="39" spans="1:23" ht="12" customHeight="1">
      <c r="A39" s="178"/>
      <c r="B39" s="183" t="str">
        <f>UPPER(LEFT(TRIM(Data!B41),1)) &amp; MID(TRIM(Data!B41),2,50)</f>
        <v>Mielominės ligos</v>
      </c>
      <c r="C39" s="184" t="str">
        <f>Data!C41</f>
        <v>C90</v>
      </c>
      <c r="D39" s="201">
        <f>Data!AN41/D$2*100000</f>
        <v>0</v>
      </c>
      <c r="E39" s="201">
        <f>Data!AO41/E$2*100000</f>
        <v>0</v>
      </c>
      <c r="F39" s="201">
        <f>Data!AP41/F$2*100000</f>
        <v>0</v>
      </c>
      <c r="G39" s="201">
        <f>Data!AQ41/G$2*100000</f>
        <v>0</v>
      </c>
      <c r="H39" s="201">
        <f>Data!AR41/H$2*100000</f>
        <v>0</v>
      </c>
      <c r="I39" s="201">
        <f>Data!AS41/I$2*100000</f>
        <v>0</v>
      </c>
      <c r="J39" s="201">
        <f>Data!AT41/J$2*100000</f>
        <v>0</v>
      </c>
      <c r="K39" s="201">
        <f>Data!AU41/K$2*100000</f>
        <v>0</v>
      </c>
      <c r="L39" s="201">
        <f>Data!AV41/L$2*100000</f>
        <v>0</v>
      </c>
      <c r="M39" s="201">
        <f>Data!AW41/M$2*100000</f>
        <v>1.9899903485468096</v>
      </c>
      <c r="N39" s="201">
        <f>Data!AX41/N$2*100000</f>
        <v>3.6850396602393429</v>
      </c>
      <c r="O39" s="201">
        <f>Data!AY41/O$2*100000</f>
        <v>6.4726315562363803</v>
      </c>
      <c r="P39" s="201">
        <f>Data!AZ41/P$2*100000</f>
        <v>2.7583543657853724</v>
      </c>
      <c r="Q39" s="201">
        <f>Data!BA41/Q$2*100000</f>
        <v>1.8122179735778619</v>
      </c>
      <c r="R39" s="201">
        <f>Data!BB41/R$2*100000</f>
        <v>6.0935976600584985</v>
      </c>
      <c r="S39" s="201">
        <f>Data!BC41/S$2*100000</f>
        <v>32.959789057350029</v>
      </c>
      <c r="T39" s="201">
        <f>Data!BD41/T$2*100000</f>
        <v>16.019864632143857</v>
      </c>
      <c r="U39" s="201">
        <f>Data!BE41/U$2*100000</f>
        <v>20.903010033444815</v>
      </c>
      <c r="V39" s="201">
        <f>Data!E41/V$2*100000</f>
        <v>2.8124690073316625</v>
      </c>
      <c r="W39" s="178"/>
    </row>
    <row r="40" spans="1:23" ht="12" customHeight="1">
      <c r="A40" s="178"/>
      <c r="B40" s="197" t="str">
        <f>UPPER(LEFT(TRIM(Data!B42),1)) &amp; MID(TRIM(Data!B42),2,50)</f>
        <v>Leukemijos</v>
      </c>
      <c r="C40" s="198" t="str">
        <f>Data!C42</f>
        <v>C91-C95</v>
      </c>
      <c r="D40" s="202">
        <f>Data!AN42/D$2*100000</f>
        <v>0</v>
      </c>
      <c r="E40" s="202">
        <f>Data!AO42/E$2*100000</f>
        <v>1.4299605330892866</v>
      </c>
      <c r="F40" s="202">
        <f>Data!AP42/F$2*100000</f>
        <v>1.3888503097136191</v>
      </c>
      <c r="G40" s="202">
        <f>Data!AQ42/G$2*100000</f>
        <v>1.1200089600716805</v>
      </c>
      <c r="H40" s="202">
        <f>Data!AR42/H$2*100000</f>
        <v>1.8481043070070875</v>
      </c>
      <c r="I40" s="202">
        <f>Data!AS42/I$2*100000</f>
        <v>0</v>
      </c>
      <c r="J40" s="202">
        <f>Data!AT42/J$2*100000</f>
        <v>2.2376120204517735</v>
      </c>
      <c r="K40" s="202">
        <f>Data!AU42/K$2*100000</f>
        <v>2.2420770601885587</v>
      </c>
      <c r="L40" s="202">
        <f>Data!AV42/L$2*100000</f>
        <v>1.0151768945738795</v>
      </c>
      <c r="M40" s="202">
        <f>Data!AW42/M$2*100000</f>
        <v>0.99499517427340478</v>
      </c>
      <c r="N40" s="202">
        <f>Data!AX42/N$2*100000</f>
        <v>5.5275594903590148</v>
      </c>
      <c r="O40" s="202">
        <f>Data!AY42/O$2*100000</f>
        <v>3.2363157781181902</v>
      </c>
      <c r="P40" s="202">
        <f>Data!AZ42/P$2*100000</f>
        <v>12.412594646034176</v>
      </c>
      <c r="Q40" s="202">
        <f>Data!BA42/Q$2*100000</f>
        <v>27.183269603667931</v>
      </c>
      <c r="R40" s="202">
        <f>Data!BB42/R$2*100000</f>
        <v>46.717582060448485</v>
      </c>
      <c r="S40" s="202">
        <f>Data!BC42/S$2*100000</f>
        <v>63.384209725673145</v>
      </c>
      <c r="T40" s="202">
        <f>Data!BD42/T$2*100000</f>
        <v>72.089390844647369</v>
      </c>
      <c r="U40" s="202">
        <f>Data!BE42/U$2*100000</f>
        <v>97.547380156075818</v>
      </c>
      <c r="V40" s="202">
        <f>Data!E42/V$2*100000</f>
        <v>9.1775304449770054</v>
      </c>
      <c r="W40" s="178"/>
    </row>
    <row r="41" spans="1:23" ht="12" customHeight="1">
      <c r="A41" s="178"/>
      <c r="B41" s="183" t="str">
        <f>UPPER(LEFT(TRIM(Data!B43),1)) &amp; MID(TRIM(Data!B43),2,50)</f>
        <v>Kiti limfinio, kraujodaros audinių</v>
      </c>
      <c r="C41" s="184" t="str">
        <f>Data!C43</f>
        <v>C88, C96</v>
      </c>
      <c r="D41" s="201">
        <f>Data!AN43/D$2*100000</f>
        <v>0</v>
      </c>
      <c r="E41" s="201">
        <f>Data!AO43/E$2*100000</f>
        <v>0</v>
      </c>
      <c r="F41" s="201">
        <f>Data!AP43/F$2*100000</f>
        <v>0</v>
      </c>
      <c r="G41" s="201">
        <f>Data!AQ43/G$2*100000</f>
        <v>0</v>
      </c>
      <c r="H41" s="201">
        <f>Data!AR43/H$2*100000</f>
        <v>0</v>
      </c>
      <c r="I41" s="201">
        <f>Data!AS43/I$2*100000</f>
        <v>0</v>
      </c>
      <c r="J41" s="201">
        <f>Data!AT43/J$2*100000</f>
        <v>0</v>
      </c>
      <c r="K41" s="201">
        <f>Data!AU43/K$2*100000</f>
        <v>0</v>
      </c>
      <c r="L41" s="201">
        <f>Data!AV43/L$2*100000</f>
        <v>0</v>
      </c>
      <c r="M41" s="201">
        <f>Data!AW43/M$2*100000</f>
        <v>0</v>
      </c>
      <c r="N41" s="201">
        <f>Data!AX43/N$2*100000</f>
        <v>0</v>
      </c>
      <c r="O41" s="201">
        <f>Data!AY43/O$2*100000</f>
        <v>1.0787719260393969</v>
      </c>
      <c r="P41" s="201">
        <f>Data!AZ43/P$2*100000</f>
        <v>0</v>
      </c>
      <c r="Q41" s="201">
        <f>Data!BA43/Q$2*100000</f>
        <v>0</v>
      </c>
      <c r="R41" s="201">
        <f>Data!BB43/R$2*100000</f>
        <v>0</v>
      </c>
      <c r="S41" s="201">
        <f>Data!BC43/S$2*100000</f>
        <v>0</v>
      </c>
      <c r="T41" s="201">
        <f>Data!BD43/T$2*100000</f>
        <v>0</v>
      </c>
      <c r="U41" s="201">
        <f>Data!BE43/U$2*100000</f>
        <v>0</v>
      </c>
      <c r="V41" s="201">
        <f>Data!E43/V$2*100000</f>
        <v>7.4012342298201653E-2</v>
      </c>
      <c r="W41" s="178"/>
    </row>
    <row r="42" spans="1:23" ht="24" customHeight="1">
      <c r="A42" s="178"/>
      <c r="B42" s="185"/>
      <c r="C42" s="186"/>
      <c r="D42" s="187"/>
      <c r="E42" s="187"/>
      <c r="F42" s="187"/>
      <c r="G42" s="187"/>
      <c r="H42" s="187"/>
      <c r="I42" s="187"/>
      <c r="J42" s="187"/>
      <c r="K42" s="187"/>
      <c r="L42" s="187"/>
      <c r="M42" s="187"/>
      <c r="N42" s="187"/>
      <c r="O42" s="187"/>
      <c r="P42" s="187"/>
      <c r="Q42" s="187"/>
      <c r="R42" s="187"/>
      <c r="S42" s="187"/>
      <c r="T42" s="187"/>
      <c r="U42" s="187"/>
      <c r="V42" s="187"/>
      <c r="W42" s="178"/>
    </row>
    <row r="43" spans="1:23">
      <c r="A43" s="178"/>
      <c r="B43" s="178"/>
      <c r="C43" s="178"/>
      <c r="D43" s="178"/>
      <c r="E43" s="178"/>
      <c r="F43" s="178"/>
      <c r="G43" s="178"/>
      <c r="H43" s="178"/>
      <c r="I43" s="178"/>
      <c r="J43" s="178"/>
      <c r="K43" s="178"/>
      <c r="L43" s="178"/>
      <c r="M43" s="178"/>
      <c r="N43" s="178"/>
      <c r="O43" s="178"/>
      <c r="P43" s="178"/>
      <c r="Q43" s="178"/>
      <c r="R43" s="178"/>
      <c r="S43" s="178"/>
      <c r="T43" s="178"/>
      <c r="U43" s="178"/>
      <c r="V43" s="178"/>
      <c r="W43" s="178"/>
    </row>
    <row r="44" spans="1:23">
      <c r="A44" s="178"/>
      <c r="B44" s="178"/>
      <c r="C44" s="178"/>
      <c r="D44" s="178"/>
      <c r="E44" s="178"/>
      <c r="F44" s="178"/>
      <c r="G44" s="178"/>
      <c r="H44" s="178"/>
      <c r="I44" s="178"/>
      <c r="J44" s="178"/>
      <c r="K44" s="178"/>
      <c r="L44" s="178"/>
      <c r="M44" s="178"/>
      <c r="N44" s="178"/>
      <c r="O44" s="178"/>
      <c r="P44" s="178"/>
      <c r="Q44" s="178"/>
      <c r="R44" s="178"/>
      <c r="S44" s="178"/>
      <c r="T44" s="178"/>
      <c r="U44" s="178"/>
      <c r="V44" s="178"/>
      <c r="W44" s="178"/>
    </row>
    <row r="45" spans="1:23">
      <c r="A45" s="178"/>
      <c r="B45" s="178"/>
      <c r="C45" s="178"/>
      <c r="D45" s="178"/>
      <c r="E45" s="178"/>
      <c r="F45" s="178"/>
      <c r="G45" s="178"/>
      <c r="H45" s="178"/>
      <c r="I45" s="178"/>
      <c r="J45" s="178"/>
      <c r="K45" s="178"/>
      <c r="L45" s="178"/>
      <c r="M45" s="178"/>
      <c r="N45" s="178"/>
      <c r="O45" s="178"/>
      <c r="P45" s="178"/>
      <c r="Q45" s="178"/>
      <c r="R45" s="178"/>
      <c r="S45" s="178"/>
      <c r="T45" s="178"/>
      <c r="U45" s="178"/>
      <c r="V45" s="178"/>
      <c r="W45" s="178"/>
    </row>
  </sheetData>
  <mergeCells count="4">
    <mergeCell ref="B5:B6"/>
    <mergeCell ref="C5:C6"/>
    <mergeCell ref="D5:U5"/>
    <mergeCell ref="V5:V6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2">
    <tabColor theme="5"/>
  </sheetPr>
  <dimension ref="A1:W55"/>
  <sheetViews>
    <sheetView zoomScaleNormal="100" workbookViewId="0">
      <selection activeCell="B4" sqref="B4:H4"/>
    </sheetView>
  </sheetViews>
  <sheetFormatPr defaultRowHeight="11.25"/>
  <cols>
    <col min="1" max="1" width="1.7109375" style="179" customWidth="1"/>
    <col min="2" max="2" width="28.7109375" style="179" customWidth="1"/>
    <col min="3" max="3" width="23.7109375" style="179" customWidth="1"/>
    <col min="4" max="19" width="6" style="179" customWidth="1"/>
    <col min="20" max="22" width="6.28515625" style="179" customWidth="1"/>
    <col min="23" max="30" width="0.85546875" style="179" customWidth="1"/>
    <col min="31" max="16384" width="9.140625" style="179"/>
  </cols>
  <sheetData>
    <row r="1" spans="1:23" ht="15">
      <c r="A1" s="188"/>
      <c r="B1" s="532" t="s">
        <v>405</v>
      </c>
      <c r="C1" s="533"/>
      <c r="D1" s="533"/>
      <c r="E1" s="533"/>
      <c r="F1" s="533"/>
      <c r="G1" s="533"/>
      <c r="H1" s="533"/>
      <c r="I1" s="533"/>
      <c r="J1" s="533"/>
      <c r="K1" s="533"/>
      <c r="L1" s="533"/>
      <c r="M1" s="533"/>
      <c r="N1" s="533"/>
      <c r="O1" s="533"/>
      <c r="P1" s="533"/>
      <c r="Q1" s="533"/>
      <c r="R1" s="533"/>
      <c r="S1" s="533"/>
      <c r="T1" s="533"/>
      <c r="U1" s="533"/>
      <c r="V1" s="533"/>
      <c r="W1" s="188"/>
    </row>
    <row r="2" spans="1:23" ht="12.75" customHeight="1">
      <c r="A2" s="188"/>
      <c r="B2" s="532"/>
      <c r="C2" s="535"/>
      <c r="D2" s="536">
        <f>Lent02m!S4</f>
        <v>73541</v>
      </c>
      <c r="E2" s="536">
        <f>Lent02m!T4</f>
        <v>66902</v>
      </c>
      <c r="F2" s="536">
        <f>Lent02m!U4</f>
        <v>68149</v>
      </c>
      <c r="G2" s="536">
        <f>Lent02m!V4</f>
        <v>84512</v>
      </c>
      <c r="H2" s="536">
        <f>Lent02m!W4</f>
        <v>101894</v>
      </c>
      <c r="I2" s="536">
        <f>Lent02m!X4</f>
        <v>94972</v>
      </c>
      <c r="J2" s="536">
        <f>Lent02m!Y4</f>
        <v>87211</v>
      </c>
      <c r="K2" s="536">
        <f>Lent02m!Z4</f>
        <v>92351</v>
      </c>
      <c r="L2" s="536">
        <f>Lent02m!AA4</f>
        <v>105582</v>
      </c>
      <c r="M2" s="536">
        <f>Lent02m!AB4</f>
        <v>110249</v>
      </c>
      <c r="N2" s="536">
        <f>Lent02m!AC4</f>
        <v>123313</v>
      </c>
      <c r="O2" s="536">
        <f>Lent02m!AD4</f>
        <v>112753</v>
      </c>
      <c r="P2" s="536">
        <f>Lent02m!AE4</f>
        <v>98061</v>
      </c>
      <c r="Q2" s="536">
        <f>Lent02m!AF4</f>
        <v>85261</v>
      </c>
      <c r="R2" s="536">
        <f>Lent02m!AG4</f>
        <v>87053</v>
      </c>
      <c r="S2" s="536">
        <f>Lent02m!AH4</f>
        <v>81043</v>
      </c>
      <c r="T2" s="536">
        <f>Lent02m!AI4</f>
        <v>60746</v>
      </c>
      <c r="U2" s="536">
        <f>Lent02m!AJ4</f>
        <v>47648</v>
      </c>
      <c r="V2" s="536">
        <f>SUM(D2:U2)</f>
        <v>1581241</v>
      </c>
      <c r="W2" s="188"/>
    </row>
    <row r="3" spans="1:23" ht="12.75" customHeight="1">
      <c r="A3" s="188"/>
      <c r="B3" s="534" t="str">
        <f>"Mirčių dėl piktybinių navikų atvejų skaičius 100 000 gyventojų, pagal amžiaus grupes  " &amp; GrafikaiSerg!A1 &amp; " metais. Moterys."</f>
        <v>Mirčių dėl piktybinių navikų atvejų skaičius 100 000 gyventojų, pagal amžiaus grupes  2014 metais. Moterys.</v>
      </c>
      <c r="C3" s="534"/>
      <c r="D3" s="533"/>
      <c r="E3" s="533"/>
      <c r="F3" s="533"/>
      <c r="G3" s="533"/>
      <c r="H3" s="533"/>
      <c r="I3" s="533"/>
      <c r="J3" s="533"/>
      <c r="K3" s="188"/>
      <c r="L3" s="188"/>
      <c r="M3" s="188"/>
      <c r="N3" s="188"/>
      <c r="O3" s="188"/>
      <c r="P3" s="188"/>
      <c r="Q3" s="188"/>
      <c r="R3" s="188"/>
      <c r="S3" s="188"/>
      <c r="T3" s="188"/>
      <c r="U3" s="188"/>
      <c r="V3" s="188"/>
      <c r="W3" s="188"/>
    </row>
    <row r="4" spans="1:23" ht="12.75" customHeight="1">
      <c r="A4" s="188"/>
      <c r="B4" s="540" t="s">
        <v>633</v>
      </c>
      <c r="C4" s="540"/>
      <c r="D4" s="540"/>
      <c r="E4" s="540"/>
      <c r="F4" s="540"/>
      <c r="G4" s="540"/>
      <c r="H4" s="540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1"/>
      <c r="T4" s="191"/>
      <c r="U4" s="191"/>
      <c r="V4" s="191"/>
      <c r="W4" s="188"/>
    </row>
    <row r="5" spans="1:23" ht="12" customHeight="1">
      <c r="A5" s="188"/>
      <c r="B5" s="437" t="s">
        <v>243</v>
      </c>
      <c r="C5" s="437" t="s">
        <v>244</v>
      </c>
      <c r="D5" s="439" t="s">
        <v>419</v>
      </c>
      <c r="E5" s="440"/>
      <c r="F5" s="440"/>
      <c r="G5" s="440"/>
      <c r="H5" s="440"/>
      <c r="I5" s="440"/>
      <c r="J5" s="440"/>
      <c r="K5" s="440"/>
      <c r="L5" s="440"/>
      <c r="M5" s="440"/>
      <c r="N5" s="440"/>
      <c r="O5" s="440"/>
      <c r="P5" s="440"/>
      <c r="Q5" s="440"/>
      <c r="R5" s="440"/>
      <c r="S5" s="440"/>
      <c r="T5" s="440"/>
      <c r="U5" s="441"/>
      <c r="V5" s="442" t="s">
        <v>429</v>
      </c>
      <c r="W5" s="188"/>
    </row>
    <row r="6" spans="1:23" ht="12" customHeight="1" thickBot="1">
      <c r="A6" s="188"/>
      <c r="B6" s="438"/>
      <c r="C6" s="438"/>
      <c r="D6" s="195" t="s">
        <v>13</v>
      </c>
      <c r="E6" s="195" t="s">
        <v>11</v>
      </c>
      <c r="F6" s="195" t="s">
        <v>12</v>
      </c>
      <c r="G6" s="195" t="s">
        <v>14</v>
      </c>
      <c r="H6" s="195" t="s">
        <v>15</v>
      </c>
      <c r="I6" s="195" t="s">
        <v>16</v>
      </c>
      <c r="J6" s="195" t="s">
        <v>158</v>
      </c>
      <c r="K6" s="195" t="s">
        <v>17</v>
      </c>
      <c r="L6" s="195" t="s">
        <v>18</v>
      </c>
      <c r="M6" s="195" t="s">
        <v>19</v>
      </c>
      <c r="N6" s="195" t="s">
        <v>20</v>
      </c>
      <c r="O6" s="195" t="s">
        <v>21</v>
      </c>
      <c r="P6" s="195" t="s">
        <v>159</v>
      </c>
      <c r="Q6" s="195" t="s">
        <v>160</v>
      </c>
      <c r="R6" s="195" t="s">
        <v>161</v>
      </c>
      <c r="S6" s="195" t="s">
        <v>162</v>
      </c>
      <c r="T6" s="195" t="s">
        <v>22</v>
      </c>
      <c r="U6" s="195" t="s">
        <v>23</v>
      </c>
      <c r="V6" s="443"/>
      <c r="W6" s="188"/>
    </row>
    <row r="7" spans="1:23" ht="12" customHeight="1" thickTop="1">
      <c r="A7" s="188"/>
      <c r="B7" s="183" t="str">
        <f>UPPER(LEFT(TRIM(Data!B5),1)) &amp; MID(TRIM(Data!B5),2,50)</f>
        <v>Piktybiniai navikai</v>
      </c>
      <c r="C7" s="184" t="str">
        <f>Data!C5</f>
        <v>C00-C96</v>
      </c>
      <c r="D7" s="205">
        <f>Data!DA5/D$2*100000</f>
        <v>2.7195713955480616</v>
      </c>
      <c r="E7" s="205">
        <f>Data!DB5/E$2*100000</f>
        <v>2.9894472512032526</v>
      </c>
      <c r="F7" s="205">
        <f>Data!DC5/F$2*100000</f>
        <v>1.4673729621857987</v>
      </c>
      <c r="G7" s="205">
        <f>Data!DD5/G$2*100000</f>
        <v>1.1832639151836426</v>
      </c>
      <c r="H7" s="205">
        <f>Data!DE5/H$2*100000</f>
        <v>3.9256482226627671</v>
      </c>
      <c r="I7" s="205">
        <f>Data!DF5/I$2*100000</f>
        <v>7.3705934380659572</v>
      </c>
      <c r="J7" s="205">
        <f>Data!DG5/J$2*100000</f>
        <v>17.199665179851166</v>
      </c>
      <c r="K7" s="205">
        <f>Data!DH5/K$2*100000</f>
        <v>23.822156771448061</v>
      </c>
      <c r="L7" s="205">
        <f>Data!DI5/L$2*100000</f>
        <v>57.774999526434428</v>
      </c>
      <c r="M7" s="205">
        <f>Data!DJ5/M$2*100000</f>
        <v>107.93748696133298</v>
      </c>
      <c r="N7" s="205">
        <f>Data!DK5/N$2*100000</f>
        <v>150.02473380746557</v>
      </c>
      <c r="O7" s="205">
        <f>Data!DL5/O$2*100000</f>
        <v>236.80079465734838</v>
      </c>
      <c r="P7" s="205">
        <f>Data!DM5/P$2*100000</f>
        <v>329.38681025076227</v>
      </c>
      <c r="Q7" s="205">
        <f>Data!DN5/Q$2*100000</f>
        <v>419.88716998393164</v>
      </c>
      <c r="R7" s="205">
        <f>Data!DO5/R$2*100000</f>
        <v>551.38823475354093</v>
      </c>
      <c r="S7" s="205">
        <f>Data!DP5/S$2*100000</f>
        <v>688.52337647915306</v>
      </c>
      <c r="T7" s="205">
        <f>Data!DQ5/T$2*100000</f>
        <v>959.73397425344888</v>
      </c>
      <c r="U7" s="205">
        <f>Data!DR5/U$2*100000</f>
        <v>1072.4479516453996</v>
      </c>
      <c r="V7" s="205">
        <f>Data!BR5/V$2*100000</f>
        <v>221.28189188112376</v>
      </c>
      <c r="W7" s="188"/>
    </row>
    <row r="8" spans="1:23" ht="12" customHeight="1">
      <c r="A8" s="188"/>
      <c r="B8" s="197" t="str">
        <f>UPPER(LEFT(TRIM(Data!B6),1)) &amp; MID(TRIM(Data!B6),2,50)</f>
        <v>Lūpos</v>
      </c>
      <c r="C8" s="198" t="str">
        <f>Data!C6</f>
        <v>C00</v>
      </c>
      <c r="D8" s="203">
        <f>Data!DA6/D$2*100000</f>
        <v>0</v>
      </c>
      <c r="E8" s="203">
        <f>Data!DB6/E$2*100000</f>
        <v>0</v>
      </c>
      <c r="F8" s="203">
        <f>Data!DC6/F$2*100000</f>
        <v>0</v>
      </c>
      <c r="G8" s="203">
        <f>Data!DD6/G$2*100000</f>
        <v>0</v>
      </c>
      <c r="H8" s="203">
        <f>Data!DE6/H$2*100000</f>
        <v>0</v>
      </c>
      <c r="I8" s="203">
        <f>Data!DF6/I$2*100000</f>
        <v>0</v>
      </c>
      <c r="J8" s="203">
        <f>Data!DG6/J$2*100000</f>
        <v>0</v>
      </c>
      <c r="K8" s="203">
        <f>Data!DH6/K$2*100000</f>
        <v>0</v>
      </c>
      <c r="L8" s="203">
        <f>Data!DI6/L$2*100000</f>
        <v>0</v>
      </c>
      <c r="M8" s="203">
        <f>Data!DJ6/M$2*100000</f>
        <v>0</v>
      </c>
      <c r="N8" s="203">
        <f>Data!DK6/N$2*100000</f>
        <v>0</v>
      </c>
      <c r="O8" s="203">
        <f>Data!DL6/O$2*100000</f>
        <v>0</v>
      </c>
      <c r="P8" s="203">
        <f>Data!DM6/P$2*100000</f>
        <v>0</v>
      </c>
      <c r="Q8" s="203">
        <f>Data!DN6/Q$2*100000</f>
        <v>0</v>
      </c>
      <c r="R8" s="203">
        <f>Data!DO6/R$2*100000</f>
        <v>0</v>
      </c>
      <c r="S8" s="203">
        <f>Data!DP6/S$2*100000</f>
        <v>0</v>
      </c>
      <c r="T8" s="203">
        <f>Data!DQ6/T$2*100000</f>
        <v>0</v>
      </c>
      <c r="U8" s="203">
        <f>Data!DR6/U$2*100000</f>
        <v>0</v>
      </c>
      <c r="V8" s="203">
        <f>Data!BR6/V$2*100000</f>
        <v>0</v>
      </c>
      <c r="W8" s="188"/>
    </row>
    <row r="9" spans="1:23" ht="12" customHeight="1">
      <c r="A9" s="188"/>
      <c r="B9" s="183" t="str">
        <f>UPPER(LEFT(TRIM(Data!B7),1)) &amp; MID(TRIM(Data!B7),2,50)</f>
        <v>Burnos ertmės ir ryklės</v>
      </c>
      <c r="C9" s="184" t="str">
        <f>Data!C7</f>
        <v>C01-C14</v>
      </c>
      <c r="D9" s="205">
        <f>Data!DA7/D$2*100000</f>
        <v>0</v>
      </c>
      <c r="E9" s="205">
        <f>Data!DB7/E$2*100000</f>
        <v>0</v>
      </c>
      <c r="F9" s="205">
        <f>Data!DC7/F$2*100000</f>
        <v>0</v>
      </c>
      <c r="G9" s="205">
        <f>Data!DD7/G$2*100000</f>
        <v>0</v>
      </c>
      <c r="H9" s="205">
        <f>Data!DE7/H$2*100000</f>
        <v>0</v>
      </c>
      <c r="I9" s="205">
        <f>Data!DF7/I$2*100000</f>
        <v>0</v>
      </c>
      <c r="J9" s="205">
        <f>Data!DG7/J$2*100000</f>
        <v>0</v>
      </c>
      <c r="K9" s="205">
        <f>Data!DH7/K$2*100000</f>
        <v>0</v>
      </c>
      <c r="L9" s="205">
        <f>Data!DI7/L$2*100000</f>
        <v>0</v>
      </c>
      <c r="M9" s="205">
        <f>Data!DJ7/M$2*100000</f>
        <v>3.6281508222296801</v>
      </c>
      <c r="N9" s="205">
        <f>Data!DK7/N$2*100000</f>
        <v>2.4328335212021441</v>
      </c>
      <c r="O9" s="205">
        <f>Data!DL7/O$2*100000</f>
        <v>1.7737887240250816</v>
      </c>
      <c r="P9" s="205">
        <f>Data!DM7/P$2*100000</f>
        <v>6.1186404380946557</v>
      </c>
      <c r="Q9" s="205">
        <f>Data!DN7/Q$2*100000</f>
        <v>2.345738379798501</v>
      </c>
      <c r="R9" s="205">
        <f>Data!DO7/R$2*100000</f>
        <v>5.743627445349385</v>
      </c>
      <c r="S9" s="205">
        <f>Data!DP7/S$2*100000</f>
        <v>4.9356514442950035</v>
      </c>
      <c r="T9" s="205">
        <f>Data!DQ7/T$2*100000</f>
        <v>3.2923978533565994</v>
      </c>
      <c r="U9" s="205">
        <f>Data!DR7/U$2*100000</f>
        <v>4.1974479516454002</v>
      </c>
      <c r="V9" s="205">
        <f>Data!BR7/V$2*100000</f>
        <v>1.8972440001239532</v>
      </c>
      <c r="W9" s="188"/>
    </row>
    <row r="10" spans="1:23" ht="12" customHeight="1">
      <c r="A10" s="188"/>
      <c r="B10" s="197" t="str">
        <f>UPPER(LEFT(TRIM(Data!B8),1)) &amp; MID(TRIM(Data!B8),2,50)</f>
        <v>Stemplės</v>
      </c>
      <c r="C10" s="198" t="str">
        <f>Data!C8</f>
        <v>C15</v>
      </c>
      <c r="D10" s="203">
        <f>Data!DA8/D$2*100000</f>
        <v>0</v>
      </c>
      <c r="E10" s="203">
        <f>Data!DB8/E$2*100000</f>
        <v>0</v>
      </c>
      <c r="F10" s="203">
        <f>Data!DC8/F$2*100000</f>
        <v>0</v>
      </c>
      <c r="G10" s="203">
        <f>Data!DD8/G$2*100000</f>
        <v>0</v>
      </c>
      <c r="H10" s="203">
        <f>Data!DE8/H$2*100000</f>
        <v>0</v>
      </c>
      <c r="I10" s="203">
        <f>Data!DF8/I$2*100000</f>
        <v>0</v>
      </c>
      <c r="J10" s="203">
        <f>Data!DG8/J$2*100000</f>
        <v>0</v>
      </c>
      <c r="K10" s="203">
        <f>Data!DH8/K$2*100000</f>
        <v>0</v>
      </c>
      <c r="L10" s="203">
        <f>Data!DI8/L$2*100000</f>
        <v>0</v>
      </c>
      <c r="M10" s="203">
        <f>Data!DJ8/M$2*100000</f>
        <v>0</v>
      </c>
      <c r="N10" s="203">
        <f>Data!DK8/N$2*100000</f>
        <v>3.2437780282695257</v>
      </c>
      <c r="O10" s="203">
        <f>Data!DL8/O$2*100000</f>
        <v>3.5475774480501632</v>
      </c>
      <c r="P10" s="203">
        <f>Data!DM8/P$2*100000</f>
        <v>5.098867031745546</v>
      </c>
      <c r="Q10" s="203">
        <f>Data!DN8/Q$2*100000</f>
        <v>4.6914767595970019</v>
      </c>
      <c r="R10" s="203">
        <f>Data!DO8/R$2*100000</f>
        <v>2.2974509781397541</v>
      </c>
      <c r="S10" s="203">
        <f>Data!DP8/S$2*100000</f>
        <v>2.4678257221475017</v>
      </c>
      <c r="T10" s="203">
        <f>Data!DQ8/T$2*100000</f>
        <v>6.5847957067131988</v>
      </c>
      <c r="U10" s="203">
        <f>Data!DR8/U$2*100000</f>
        <v>8.3948959032908004</v>
      </c>
      <c r="V10" s="203">
        <f>Data!BR8/V$2*100000</f>
        <v>1.8340025334531549</v>
      </c>
      <c r="W10" s="188"/>
    </row>
    <row r="11" spans="1:23" ht="12" customHeight="1">
      <c r="A11" s="188"/>
      <c r="B11" s="183" t="str">
        <f>UPPER(LEFT(TRIM(Data!B9),1)) &amp; MID(TRIM(Data!B9),2,50)</f>
        <v>Skrandžio</v>
      </c>
      <c r="C11" s="184" t="str">
        <f>Data!C9</f>
        <v>C16</v>
      </c>
      <c r="D11" s="205">
        <f>Data!DA9/D$2*100000</f>
        <v>0</v>
      </c>
      <c r="E11" s="205">
        <f>Data!DB9/E$2*100000</f>
        <v>0</v>
      </c>
      <c r="F11" s="205">
        <f>Data!DC9/F$2*100000</f>
        <v>0</v>
      </c>
      <c r="G11" s="205">
        <f>Data!DD9/G$2*100000</f>
        <v>0</v>
      </c>
      <c r="H11" s="205">
        <f>Data!DE9/H$2*100000</f>
        <v>1.9628241113313836</v>
      </c>
      <c r="I11" s="205">
        <f>Data!DF9/I$2*100000</f>
        <v>0</v>
      </c>
      <c r="J11" s="205">
        <f>Data!DG9/J$2*100000</f>
        <v>5.7332217266170549</v>
      </c>
      <c r="K11" s="205">
        <f>Data!DH9/K$2*100000</f>
        <v>4.3313012311723744</v>
      </c>
      <c r="L11" s="205">
        <f>Data!DI9/L$2*100000</f>
        <v>1.8942622795552271</v>
      </c>
      <c r="M11" s="205">
        <f>Data!DJ9/M$2*100000</f>
        <v>6.3492639389019399</v>
      </c>
      <c r="N11" s="205">
        <f>Data!DK9/N$2*100000</f>
        <v>12.975112113078103</v>
      </c>
      <c r="O11" s="205">
        <f>Data!DL9/O$2*100000</f>
        <v>19.511675964275895</v>
      </c>
      <c r="P11" s="205">
        <f>Data!DM9/P$2*100000</f>
        <v>23.454788346029513</v>
      </c>
      <c r="Q11" s="205">
        <f>Data!DN9/Q$2*100000</f>
        <v>41.050421646473772</v>
      </c>
      <c r="R11" s="205">
        <f>Data!DO9/R$2*100000</f>
        <v>44.800294073725205</v>
      </c>
      <c r="S11" s="205">
        <f>Data!DP9/S$2*100000</f>
        <v>55.526078748318795</v>
      </c>
      <c r="T11" s="205">
        <f>Data!DQ9/T$2*100000</f>
        <v>69.140354920488591</v>
      </c>
      <c r="U11" s="205">
        <f>Data!DR9/U$2*100000</f>
        <v>90.245130960376088</v>
      </c>
      <c r="V11" s="205">
        <f>Data!BR9/V$2*100000</f>
        <v>18.023818001177556</v>
      </c>
      <c r="W11" s="188"/>
    </row>
    <row r="12" spans="1:23" ht="12" customHeight="1">
      <c r="A12" s="188"/>
      <c r="B12" s="197" t="str">
        <f>UPPER(LEFT(TRIM(Data!B10),1)) &amp; MID(TRIM(Data!B10),2,50)</f>
        <v>Gaubtinės žarnos</v>
      </c>
      <c r="C12" s="198" t="str">
        <f>Data!C10</f>
        <v>C18</v>
      </c>
      <c r="D12" s="203">
        <f>Data!DA10/D$2*100000</f>
        <v>0</v>
      </c>
      <c r="E12" s="203">
        <f>Data!DB10/E$2*100000</f>
        <v>0</v>
      </c>
      <c r="F12" s="203">
        <f>Data!DC10/F$2*100000</f>
        <v>0</v>
      </c>
      <c r="G12" s="203">
        <f>Data!DD10/G$2*100000</f>
        <v>0</v>
      </c>
      <c r="H12" s="203">
        <f>Data!DE10/H$2*100000</f>
        <v>0.98141205566569178</v>
      </c>
      <c r="I12" s="203">
        <f>Data!DF10/I$2*100000</f>
        <v>0</v>
      </c>
      <c r="J12" s="203">
        <f>Data!DG10/J$2*100000</f>
        <v>1.146644345323411</v>
      </c>
      <c r="K12" s="203">
        <f>Data!DH10/K$2*100000</f>
        <v>0</v>
      </c>
      <c r="L12" s="203">
        <f>Data!DI10/L$2*100000</f>
        <v>1.8942622795552271</v>
      </c>
      <c r="M12" s="203">
        <f>Data!DJ10/M$2*100000</f>
        <v>4.5351885277871</v>
      </c>
      <c r="N12" s="203">
        <f>Data!DK10/N$2*100000</f>
        <v>8.1094450706738126</v>
      </c>
      <c r="O12" s="203">
        <f>Data!DL10/O$2*100000</f>
        <v>11.529626706163029</v>
      </c>
      <c r="P12" s="203">
        <f>Data!DM10/P$2*100000</f>
        <v>14.276827688887529</v>
      </c>
      <c r="Q12" s="203">
        <f>Data!DN10/Q$2*100000</f>
        <v>23.45738379798501</v>
      </c>
      <c r="R12" s="203">
        <f>Data!DO10/R$2*100000</f>
        <v>35.610490161166183</v>
      </c>
      <c r="S12" s="203">
        <f>Data!DP10/S$2*100000</f>
        <v>53.058253026171293</v>
      </c>
      <c r="T12" s="203">
        <f>Data!DQ10/T$2*100000</f>
        <v>103.71053238073289</v>
      </c>
      <c r="U12" s="203">
        <f>Data!DR10/U$2*100000</f>
        <v>102.83747481531229</v>
      </c>
      <c r="V12" s="203">
        <f>Data!BR10/V$2*100000</f>
        <v>15.936849601041208</v>
      </c>
      <c r="W12" s="188"/>
    </row>
    <row r="13" spans="1:23" ht="12" customHeight="1">
      <c r="A13" s="188"/>
      <c r="B13" s="183" t="str">
        <f>UPPER(LEFT(TRIM(Data!B11),1)) &amp; MID(TRIM(Data!B11),2,50)</f>
        <v>Tiesiosios žarnos, išangės</v>
      </c>
      <c r="C13" s="184" t="str">
        <f>Data!C11</f>
        <v>C19-C21</v>
      </c>
      <c r="D13" s="205">
        <f>Data!DA11/D$2*100000</f>
        <v>0</v>
      </c>
      <c r="E13" s="205">
        <f>Data!DB11/E$2*100000</f>
        <v>0</v>
      </c>
      <c r="F13" s="205">
        <f>Data!DC11/F$2*100000</f>
        <v>0</v>
      </c>
      <c r="G13" s="205">
        <f>Data!DD11/G$2*100000</f>
        <v>0</v>
      </c>
      <c r="H13" s="205">
        <f>Data!DE11/H$2*100000</f>
        <v>0</v>
      </c>
      <c r="I13" s="205">
        <f>Data!DF11/I$2*100000</f>
        <v>0</v>
      </c>
      <c r="J13" s="205">
        <f>Data!DG11/J$2*100000</f>
        <v>0</v>
      </c>
      <c r="K13" s="205">
        <f>Data!DH11/K$2*100000</f>
        <v>1.0828253077930936</v>
      </c>
      <c r="L13" s="205">
        <f>Data!DI11/L$2*100000</f>
        <v>0</v>
      </c>
      <c r="M13" s="205">
        <f>Data!DJ11/M$2*100000</f>
        <v>5.4422262333445204</v>
      </c>
      <c r="N13" s="205">
        <f>Data!DK11/N$2*100000</f>
        <v>2.4328335212021441</v>
      </c>
      <c r="O13" s="205">
        <f>Data!DL11/O$2*100000</f>
        <v>12.416521068175571</v>
      </c>
      <c r="P13" s="205">
        <f>Data!DM11/P$2*100000</f>
        <v>17.336147907934855</v>
      </c>
      <c r="Q13" s="205">
        <f>Data!DN11/Q$2*100000</f>
        <v>17.593037848488759</v>
      </c>
      <c r="R13" s="205">
        <f>Data!DO11/R$2*100000</f>
        <v>20.677058803257786</v>
      </c>
      <c r="S13" s="205">
        <f>Data!DP11/S$2*100000</f>
        <v>40.719124415433782</v>
      </c>
      <c r="T13" s="205">
        <f>Data!DQ11/T$2*100000</f>
        <v>65.847957067131986</v>
      </c>
      <c r="U13" s="205">
        <f>Data!DR11/U$2*100000</f>
        <v>77.652787105439884</v>
      </c>
      <c r="V13" s="205">
        <f>Data!BR11/V$2*100000</f>
        <v>11.636429867426914</v>
      </c>
      <c r="W13" s="188"/>
    </row>
    <row r="14" spans="1:23" ht="12" customHeight="1">
      <c r="A14" s="188"/>
      <c r="B14" s="197" t="str">
        <f>UPPER(LEFT(TRIM(Data!B12),1)) &amp; MID(TRIM(Data!B12),2,50)</f>
        <v>Kepenų</v>
      </c>
      <c r="C14" s="198" t="str">
        <f>Data!C12</f>
        <v>C22</v>
      </c>
      <c r="D14" s="203">
        <f>Data!DA12/D$2*100000</f>
        <v>0</v>
      </c>
      <c r="E14" s="203">
        <f>Data!DB12/E$2*100000</f>
        <v>0</v>
      </c>
      <c r="F14" s="203">
        <f>Data!DC12/F$2*100000</f>
        <v>0</v>
      </c>
      <c r="G14" s="203">
        <f>Data!DD12/G$2*100000</f>
        <v>0</v>
      </c>
      <c r="H14" s="203">
        <f>Data!DE12/H$2*100000</f>
        <v>0.98141205566569178</v>
      </c>
      <c r="I14" s="203">
        <f>Data!DF12/I$2*100000</f>
        <v>0</v>
      </c>
      <c r="J14" s="203">
        <f>Data!DG12/J$2*100000</f>
        <v>0</v>
      </c>
      <c r="K14" s="203">
        <f>Data!DH12/K$2*100000</f>
        <v>1.0828253077930936</v>
      </c>
      <c r="L14" s="203">
        <f>Data!DI12/L$2*100000</f>
        <v>0.94713113977761354</v>
      </c>
      <c r="M14" s="203">
        <f>Data!DJ12/M$2*100000</f>
        <v>0.90703770555742003</v>
      </c>
      <c r="N14" s="203">
        <f>Data!DK12/N$2*100000</f>
        <v>4.8656670424042883</v>
      </c>
      <c r="O14" s="203">
        <f>Data!DL12/O$2*100000</f>
        <v>7.0951548961003263</v>
      </c>
      <c r="P14" s="203">
        <f>Data!DM12/P$2*100000</f>
        <v>8.1581872507928743</v>
      </c>
      <c r="Q14" s="203">
        <f>Data!DN12/Q$2*100000</f>
        <v>1.1728691898992505</v>
      </c>
      <c r="R14" s="203">
        <f>Data!DO12/R$2*100000</f>
        <v>14.933431357908399</v>
      </c>
      <c r="S14" s="203">
        <f>Data!DP12/S$2*100000</f>
        <v>11.10521574966376</v>
      </c>
      <c r="T14" s="203">
        <f>Data!DQ12/T$2*100000</f>
        <v>26.339182826852795</v>
      </c>
      <c r="U14" s="203">
        <f>Data!DR12/U$2*100000</f>
        <v>29.382135661517797</v>
      </c>
      <c r="V14" s="203">
        <f>Data!BR12/V$2*100000</f>
        <v>4.9960758669930767</v>
      </c>
      <c r="W14" s="188"/>
    </row>
    <row r="15" spans="1:23" ht="12" customHeight="1">
      <c r="A15" s="188"/>
      <c r="B15" s="183" t="str">
        <f>UPPER(LEFT(TRIM(Data!B13),1)) &amp; MID(TRIM(Data!B13),2,50)</f>
        <v>Tulžies pūslės, ekstrahepatinių takų</v>
      </c>
      <c r="C15" s="184" t="str">
        <f>Data!C13</f>
        <v>C23, C24</v>
      </c>
      <c r="D15" s="205">
        <f>Data!DA13/D$2*100000</f>
        <v>0</v>
      </c>
      <c r="E15" s="205">
        <f>Data!DB13/E$2*100000</f>
        <v>0</v>
      </c>
      <c r="F15" s="205">
        <f>Data!DC13/F$2*100000</f>
        <v>0</v>
      </c>
      <c r="G15" s="205">
        <f>Data!DD13/G$2*100000</f>
        <v>0</v>
      </c>
      <c r="H15" s="205">
        <f>Data!DE13/H$2*100000</f>
        <v>0</v>
      </c>
      <c r="I15" s="205">
        <f>Data!DF13/I$2*100000</f>
        <v>0</v>
      </c>
      <c r="J15" s="205">
        <f>Data!DG13/J$2*100000</f>
        <v>0</v>
      </c>
      <c r="K15" s="205">
        <f>Data!DH13/K$2*100000</f>
        <v>0</v>
      </c>
      <c r="L15" s="205">
        <f>Data!DI13/L$2*100000</f>
        <v>0</v>
      </c>
      <c r="M15" s="205">
        <f>Data!DJ13/M$2*100000</f>
        <v>1.8140754111148401</v>
      </c>
      <c r="N15" s="205">
        <f>Data!DK13/N$2*100000</f>
        <v>2.4328335212021441</v>
      </c>
      <c r="O15" s="205">
        <f>Data!DL13/O$2*100000</f>
        <v>3.5475774480501632</v>
      </c>
      <c r="P15" s="205">
        <f>Data!DM13/P$2*100000</f>
        <v>6.1186404380946557</v>
      </c>
      <c r="Q15" s="205">
        <f>Data!DN13/Q$2*100000</f>
        <v>7.0372151393955029</v>
      </c>
      <c r="R15" s="205">
        <f>Data!DO13/R$2*100000</f>
        <v>9.1898039125590163</v>
      </c>
      <c r="S15" s="205">
        <f>Data!DP13/S$2*100000</f>
        <v>8.6373900275162576</v>
      </c>
      <c r="T15" s="205">
        <f>Data!DQ13/T$2*100000</f>
        <v>11.523392486748097</v>
      </c>
      <c r="U15" s="205">
        <f>Data!DR13/U$2*100000</f>
        <v>29.382135661517797</v>
      </c>
      <c r="V15" s="205">
        <f>Data!BR13/V$2*100000</f>
        <v>3.6047636002355112</v>
      </c>
      <c r="W15" s="188"/>
    </row>
    <row r="16" spans="1:23" ht="12" customHeight="1">
      <c r="A16" s="188"/>
      <c r="B16" s="197" t="str">
        <f>UPPER(LEFT(TRIM(Data!B14),1)) &amp; MID(TRIM(Data!B14),2,50)</f>
        <v>Kasos</v>
      </c>
      <c r="C16" s="198" t="str">
        <f>Data!C14</f>
        <v>C25</v>
      </c>
      <c r="D16" s="203">
        <f>Data!DA14/D$2*100000</f>
        <v>0</v>
      </c>
      <c r="E16" s="203">
        <f>Data!DB14/E$2*100000</f>
        <v>0</v>
      </c>
      <c r="F16" s="203">
        <f>Data!DC14/F$2*100000</f>
        <v>0</v>
      </c>
      <c r="G16" s="203">
        <f>Data!DD14/G$2*100000</f>
        <v>0</v>
      </c>
      <c r="H16" s="203">
        <f>Data!DE14/H$2*100000</f>
        <v>0</v>
      </c>
      <c r="I16" s="203">
        <f>Data!DF14/I$2*100000</f>
        <v>0</v>
      </c>
      <c r="J16" s="203">
        <f>Data!DG14/J$2*100000</f>
        <v>0</v>
      </c>
      <c r="K16" s="203">
        <f>Data!DH14/K$2*100000</f>
        <v>0</v>
      </c>
      <c r="L16" s="203">
        <f>Data!DI14/L$2*100000</f>
        <v>0.94713113977761354</v>
      </c>
      <c r="M16" s="203">
        <f>Data!DJ14/M$2*100000</f>
        <v>4.5351885277871</v>
      </c>
      <c r="N16" s="203">
        <f>Data!DK14/N$2*100000</f>
        <v>7.2985005636064324</v>
      </c>
      <c r="O16" s="203">
        <f>Data!DL14/O$2*100000</f>
        <v>14.190309792200653</v>
      </c>
      <c r="P16" s="203">
        <f>Data!DM14/P$2*100000</f>
        <v>22.435014939680404</v>
      </c>
      <c r="Q16" s="203">
        <f>Data!DN14/Q$2*100000</f>
        <v>36.358944886876763</v>
      </c>
      <c r="R16" s="203">
        <f>Data!DO14/R$2*100000</f>
        <v>41.354117606515572</v>
      </c>
      <c r="S16" s="203">
        <f>Data!DP14/S$2*100000</f>
        <v>56.759991609392543</v>
      </c>
      <c r="T16" s="203">
        <f>Data!DQ14/T$2*100000</f>
        <v>57.616962433740497</v>
      </c>
      <c r="U16" s="203">
        <f>Data!DR14/U$2*100000</f>
        <v>79.751511081262592</v>
      </c>
      <c r="V16" s="203">
        <f>Data!BR14/V$2*100000</f>
        <v>15.114710534320826</v>
      </c>
      <c r="W16" s="188"/>
    </row>
    <row r="17" spans="1:23" ht="12" customHeight="1">
      <c r="A17" s="188"/>
      <c r="B17" s="183" t="str">
        <f>UPPER(LEFT(TRIM(Data!B15),1)) &amp; MID(TRIM(Data!B15),2,50)</f>
        <v>Kitų virškinimo sistemos organų</v>
      </c>
      <c r="C17" s="184" t="str">
        <f>Data!C15</f>
        <v>C17, C26, C48</v>
      </c>
      <c r="D17" s="205">
        <f>Data!DA15/D$2*100000</f>
        <v>1.3597856977740308</v>
      </c>
      <c r="E17" s="205">
        <f>Data!DB15/E$2*100000</f>
        <v>0</v>
      </c>
      <c r="F17" s="205">
        <f>Data!DC15/F$2*100000</f>
        <v>0</v>
      </c>
      <c r="G17" s="205">
        <f>Data!DD15/G$2*100000</f>
        <v>0</v>
      </c>
      <c r="H17" s="205">
        <f>Data!DE15/H$2*100000</f>
        <v>0</v>
      </c>
      <c r="I17" s="205">
        <f>Data!DF15/I$2*100000</f>
        <v>0</v>
      </c>
      <c r="J17" s="205">
        <f>Data!DG15/J$2*100000</f>
        <v>0</v>
      </c>
      <c r="K17" s="205">
        <f>Data!DH15/K$2*100000</f>
        <v>1.0828253077930936</v>
      </c>
      <c r="L17" s="205">
        <f>Data!DI15/L$2*100000</f>
        <v>0</v>
      </c>
      <c r="M17" s="205">
        <f>Data!DJ15/M$2*100000</f>
        <v>0.90703770555742003</v>
      </c>
      <c r="N17" s="205">
        <f>Data!DK15/N$2*100000</f>
        <v>0.81094450706738141</v>
      </c>
      <c r="O17" s="205">
        <f>Data!DL15/O$2*100000</f>
        <v>0.88689436201254079</v>
      </c>
      <c r="P17" s="205">
        <f>Data!DM15/P$2*100000</f>
        <v>1.0197734063491093</v>
      </c>
      <c r="Q17" s="205">
        <f>Data!DN15/Q$2*100000</f>
        <v>5.8643459494962524</v>
      </c>
      <c r="R17" s="205">
        <f>Data!DO15/R$2*100000</f>
        <v>3.4461764672096309</v>
      </c>
      <c r="S17" s="205">
        <f>Data!DP15/S$2*100000</f>
        <v>9.8713028885900069</v>
      </c>
      <c r="T17" s="205">
        <f>Data!DQ15/T$2*100000</f>
        <v>16.461989266782997</v>
      </c>
      <c r="U17" s="205">
        <f>Data!DR15/U$2*100000</f>
        <v>14.691067830758898</v>
      </c>
      <c r="V17" s="205">
        <f>Data!BR15/V$2*100000</f>
        <v>2.4664172001611391</v>
      </c>
      <c r="W17" s="188"/>
    </row>
    <row r="18" spans="1:23" ht="12" customHeight="1">
      <c r="A18" s="188"/>
      <c r="B18" s="197" t="str">
        <f>UPPER(LEFT(TRIM(Data!B16),1)) &amp; MID(TRIM(Data!B16),2,50)</f>
        <v>Nosies ertmės, vid.ausies ir ančių</v>
      </c>
      <c r="C18" s="198" t="str">
        <f>Data!C16</f>
        <v>C30, C31</v>
      </c>
      <c r="D18" s="203">
        <f>Data!DA16/D$2*100000</f>
        <v>0</v>
      </c>
      <c r="E18" s="203">
        <f>Data!DB16/E$2*100000</f>
        <v>0</v>
      </c>
      <c r="F18" s="203">
        <f>Data!DC16/F$2*100000</f>
        <v>0</v>
      </c>
      <c r="G18" s="203">
        <f>Data!DD16/G$2*100000</f>
        <v>0</v>
      </c>
      <c r="H18" s="203">
        <f>Data!DE16/H$2*100000</f>
        <v>0</v>
      </c>
      <c r="I18" s="203">
        <f>Data!DF16/I$2*100000</f>
        <v>0</v>
      </c>
      <c r="J18" s="203">
        <f>Data!DG16/J$2*100000</f>
        <v>0</v>
      </c>
      <c r="K18" s="203">
        <f>Data!DH16/K$2*100000</f>
        <v>0</v>
      </c>
      <c r="L18" s="203">
        <f>Data!DI16/L$2*100000</f>
        <v>0</v>
      </c>
      <c r="M18" s="203">
        <f>Data!DJ16/M$2*100000</f>
        <v>0</v>
      </c>
      <c r="N18" s="203">
        <f>Data!DK16/N$2*100000</f>
        <v>0</v>
      </c>
      <c r="O18" s="203">
        <f>Data!DL16/O$2*100000</f>
        <v>0.88689436201254079</v>
      </c>
      <c r="P18" s="203">
        <f>Data!DM16/P$2*100000</f>
        <v>3.0593202190473279</v>
      </c>
      <c r="Q18" s="203">
        <f>Data!DN16/Q$2*100000</f>
        <v>1.1728691898992505</v>
      </c>
      <c r="R18" s="203">
        <f>Data!DO16/R$2*100000</f>
        <v>2.2974509781397541</v>
      </c>
      <c r="S18" s="203">
        <f>Data!DP16/S$2*100000</f>
        <v>0</v>
      </c>
      <c r="T18" s="203">
        <f>Data!DQ16/T$2*100000</f>
        <v>3.2923978533565994</v>
      </c>
      <c r="U18" s="203">
        <f>Data!DR16/U$2*100000</f>
        <v>4.1974479516454002</v>
      </c>
      <c r="V18" s="203">
        <f>Data!BR16/V$2*100000</f>
        <v>0.69565613337878285</v>
      </c>
      <c r="W18" s="188"/>
    </row>
    <row r="19" spans="1:23" ht="12" customHeight="1">
      <c r="A19" s="188"/>
      <c r="B19" s="183" t="str">
        <f>UPPER(LEFT(TRIM(Data!B17),1)) &amp; MID(TRIM(Data!B17),2,50)</f>
        <v>Gerklų</v>
      </c>
      <c r="C19" s="184" t="str">
        <f>Data!C17</f>
        <v>C32</v>
      </c>
      <c r="D19" s="205">
        <f>Data!DA17/D$2*100000</f>
        <v>0</v>
      </c>
      <c r="E19" s="205">
        <f>Data!DB17/E$2*100000</f>
        <v>0</v>
      </c>
      <c r="F19" s="205">
        <f>Data!DC17/F$2*100000</f>
        <v>0</v>
      </c>
      <c r="G19" s="205">
        <f>Data!DD17/G$2*100000</f>
        <v>0</v>
      </c>
      <c r="H19" s="205">
        <f>Data!DE17/H$2*100000</f>
        <v>0</v>
      </c>
      <c r="I19" s="205">
        <f>Data!DF17/I$2*100000</f>
        <v>0</v>
      </c>
      <c r="J19" s="205">
        <f>Data!DG17/J$2*100000</f>
        <v>0</v>
      </c>
      <c r="K19" s="205">
        <f>Data!DH17/K$2*100000</f>
        <v>0</v>
      </c>
      <c r="L19" s="205">
        <f>Data!DI17/L$2*100000</f>
        <v>0</v>
      </c>
      <c r="M19" s="205">
        <f>Data!DJ17/M$2*100000</f>
        <v>0.90703770555742003</v>
      </c>
      <c r="N19" s="205">
        <f>Data!DK17/N$2*100000</f>
        <v>0</v>
      </c>
      <c r="O19" s="205">
        <f>Data!DL17/O$2*100000</f>
        <v>0.88689436201254079</v>
      </c>
      <c r="P19" s="205">
        <f>Data!DM17/P$2*100000</f>
        <v>1.0197734063491093</v>
      </c>
      <c r="Q19" s="205">
        <f>Data!DN17/Q$2*100000</f>
        <v>0</v>
      </c>
      <c r="R19" s="205">
        <f>Data!DO17/R$2*100000</f>
        <v>1.148725489069877</v>
      </c>
      <c r="S19" s="205">
        <f>Data!DP17/S$2*100000</f>
        <v>1.2339128610737509</v>
      </c>
      <c r="T19" s="205">
        <f>Data!DQ17/T$2*100000</f>
        <v>0</v>
      </c>
      <c r="U19" s="205">
        <f>Data!DR17/U$2*100000</f>
        <v>2.0987239758227001</v>
      </c>
      <c r="V19" s="205">
        <f>Data!BR17/V$2*100000</f>
        <v>0.37944880002479064</v>
      </c>
      <c r="W19" s="188"/>
    </row>
    <row r="20" spans="1:23" ht="12" customHeight="1">
      <c r="A20" s="188"/>
      <c r="B20" s="197" t="str">
        <f>UPPER(LEFT(TRIM(Data!B18),1)) &amp; MID(TRIM(Data!B18),2,50)</f>
        <v>Plaučių, trachėjos, bronchų</v>
      </c>
      <c r="C20" s="198" t="str">
        <f>Data!C18</f>
        <v>C33, C34</v>
      </c>
      <c r="D20" s="203">
        <f>Data!DA18/D$2*100000</f>
        <v>0</v>
      </c>
      <c r="E20" s="203">
        <f>Data!DB18/E$2*100000</f>
        <v>0</v>
      </c>
      <c r="F20" s="203">
        <f>Data!DC18/F$2*100000</f>
        <v>0</v>
      </c>
      <c r="G20" s="203">
        <f>Data!DD18/G$2*100000</f>
        <v>0</v>
      </c>
      <c r="H20" s="203">
        <f>Data!DE18/H$2*100000</f>
        <v>0</v>
      </c>
      <c r="I20" s="203">
        <f>Data!DF18/I$2*100000</f>
        <v>0</v>
      </c>
      <c r="J20" s="203">
        <f>Data!DG18/J$2*100000</f>
        <v>0</v>
      </c>
      <c r="K20" s="203">
        <f>Data!DH18/K$2*100000</f>
        <v>0</v>
      </c>
      <c r="L20" s="203">
        <f>Data!DI18/L$2*100000</f>
        <v>0.94713113977761354</v>
      </c>
      <c r="M20" s="203">
        <f>Data!DJ18/M$2*100000</f>
        <v>7.2563016444593602</v>
      </c>
      <c r="N20" s="203">
        <f>Data!DK18/N$2*100000</f>
        <v>11.353223098943339</v>
      </c>
      <c r="O20" s="203">
        <f>Data!DL18/O$2*100000</f>
        <v>21.285464688300976</v>
      </c>
      <c r="P20" s="203">
        <f>Data!DM18/P$2*100000</f>
        <v>28.553655377775058</v>
      </c>
      <c r="Q20" s="203">
        <f>Data!DN18/Q$2*100000</f>
        <v>35.186075696977518</v>
      </c>
      <c r="R20" s="203">
        <f>Data!DO18/R$2*100000</f>
        <v>50.543921519074587</v>
      </c>
      <c r="S20" s="203">
        <f>Data!DP18/S$2*100000</f>
        <v>56.759991609392543</v>
      </c>
      <c r="T20" s="203">
        <f>Data!DQ18/T$2*100000</f>
        <v>64.201758140453691</v>
      </c>
      <c r="U20" s="203">
        <f>Data!DR18/U$2*100000</f>
        <v>56.665547347212893</v>
      </c>
      <c r="V20" s="203">
        <f>Data!BR18/V$2*100000</f>
        <v>16.506022801078394</v>
      </c>
      <c r="W20" s="188"/>
    </row>
    <row r="21" spans="1:23" ht="12" customHeight="1">
      <c r="A21" s="188"/>
      <c r="B21" s="183" t="str">
        <f>UPPER(LEFT(TRIM(Data!B19),1)) &amp; MID(TRIM(Data!B19),2,50)</f>
        <v>Kitų kvėpavimo sistemos organų</v>
      </c>
      <c r="C21" s="184" t="str">
        <f>Data!C19</f>
        <v>C37-C39</v>
      </c>
      <c r="D21" s="205">
        <f>Data!DA19/D$2*100000</f>
        <v>0</v>
      </c>
      <c r="E21" s="205">
        <f>Data!DB19/E$2*100000</f>
        <v>0</v>
      </c>
      <c r="F21" s="205">
        <f>Data!DC19/F$2*100000</f>
        <v>0</v>
      </c>
      <c r="G21" s="205">
        <f>Data!DD19/G$2*100000</f>
        <v>1.1832639151836426</v>
      </c>
      <c r="H21" s="205">
        <f>Data!DE19/H$2*100000</f>
        <v>0</v>
      </c>
      <c r="I21" s="205">
        <f>Data!DF19/I$2*100000</f>
        <v>0</v>
      </c>
      <c r="J21" s="205">
        <f>Data!DG19/J$2*100000</f>
        <v>0</v>
      </c>
      <c r="K21" s="205">
        <f>Data!DH19/K$2*100000</f>
        <v>0</v>
      </c>
      <c r="L21" s="205">
        <f>Data!DI19/L$2*100000</f>
        <v>0</v>
      </c>
      <c r="M21" s="205">
        <f>Data!DJ19/M$2*100000</f>
        <v>0.90703770555742003</v>
      </c>
      <c r="N21" s="205">
        <f>Data!DK19/N$2*100000</f>
        <v>0</v>
      </c>
      <c r="O21" s="205">
        <f>Data!DL19/O$2*100000</f>
        <v>0</v>
      </c>
      <c r="P21" s="205">
        <f>Data!DM19/P$2*100000</f>
        <v>1.0197734063491093</v>
      </c>
      <c r="Q21" s="205">
        <f>Data!DN19/Q$2*100000</f>
        <v>2.345738379798501</v>
      </c>
      <c r="R21" s="205">
        <f>Data!DO19/R$2*100000</f>
        <v>0</v>
      </c>
      <c r="S21" s="205">
        <f>Data!DP19/S$2*100000</f>
        <v>2.4678257221475017</v>
      </c>
      <c r="T21" s="205">
        <f>Data!DQ19/T$2*100000</f>
        <v>1.6461989266782997</v>
      </c>
      <c r="U21" s="205">
        <f>Data!DR19/U$2*100000</f>
        <v>2.0987239758227001</v>
      </c>
      <c r="V21" s="205">
        <f>Data!BR19/V$2*100000</f>
        <v>0.56917320003718597</v>
      </c>
      <c r="W21" s="188"/>
    </row>
    <row r="22" spans="1:23" ht="12" customHeight="1">
      <c r="A22" s="188"/>
      <c r="B22" s="197" t="str">
        <f>UPPER(LEFT(TRIM(Data!B20),1)) &amp; MID(TRIM(Data!B20),2,50)</f>
        <v>Kaulų ir jungiamojo audinio</v>
      </c>
      <c r="C22" s="198" t="str">
        <f>Data!C20</f>
        <v>C40-C41, C45-C47, C49</v>
      </c>
      <c r="D22" s="203">
        <f>Data!DA20/D$2*100000</f>
        <v>0</v>
      </c>
      <c r="E22" s="203">
        <f>Data!DB20/E$2*100000</f>
        <v>0</v>
      </c>
      <c r="F22" s="203">
        <f>Data!DC20/F$2*100000</f>
        <v>0</v>
      </c>
      <c r="G22" s="203">
        <f>Data!DD20/G$2*100000</f>
        <v>0</v>
      </c>
      <c r="H22" s="203">
        <f>Data!DE20/H$2*100000</f>
        <v>0</v>
      </c>
      <c r="I22" s="203">
        <f>Data!DF20/I$2*100000</f>
        <v>2.105883839447416</v>
      </c>
      <c r="J22" s="203">
        <f>Data!DG20/J$2*100000</f>
        <v>0</v>
      </c>
      <c r="K22" s="203">
        <f>Data!DH20/K$2*100000</f>
        <v>0</v>
      </c>
      <c r="L22" s="203">
        <f>Data!DI20/L$2*100000</f>
        <v>1.8942622795552271</v>
      </c>
      <c r="M22" s="203">
        <f>Data!DJ20/M$2*100000</f>
        <v>2.7211131166722602</v>
      </c>
      <c r="N22" s="203">
        <f>Data!DK20/N$2*100000</f>
        <v>2.4328335212021441</v>
      </c>
      <c r="O22" s="203">
        <f>Data!DL20/O$2*100000</f>
        <v>1.7737887240250816</v>
      </c>
      <c r="P22" s="203">
        <f>Data!DM20/P$2*100000</f>
        <v>3.0593202190473279</v>
      </c>
      <c r="Q22" s="203">
        <f>Data!DN20/Q$2*100000</f>
        <v>4.6914767595970019</v>
      </c>
      <c r="R22" s="203">
        <f>Data!DO20/R$2*100000</f>
        <v>2.2974509781397541</v>
      </c>
      <c r="S22" s="203">
        <f>Data!DP20/S$2*100000</f>
        <v>6.1695643053687554</v>
      </c>
      <c r="T22" s="203">
        <f>Data!DQ20/T$2*100000</f>
        <v>9.8771935600697987</v>
      </c>
      <c r="U22" s="203">
        <f>Data!DR20/U$2*100000</f>
        <v>14.691067830758898</v>
      </c>
      <c r="V22" s="203">
        <f>Data!BR20/V$2*100000</f>
        <v>2.4664172001611391</v>
      </c>
      <c r="W22" s="188"/>
    </row>
    <row r="23" spans="1:23" ht="12" customHeight="1">
      <c r="A23" s="188"/>
      <c r="B23" s="183" t="str">
        <f>UPPER(LEFT(TRIM(Data!B21),1)) &amp; MID(TRIM(Data!B21),2,50)</f>
        <v>Odos melanoma</v>
      </c>
      <c r="C23" s="184" t="str">
        <f>Data!C21</f>
        <v>C43</v>
      </c>
      <c r="D23" s="205">
        <f>Data!DA21/D$2*100000</f>
        <v>0</v>
      </c>
      <c r="E23" s="205">
        <f>Data!DB21/E$2*100000</f>
        <v>0</v>
      </c>
      <c r="F23" s="205">
        <f>Data!DC21/F$2*100000</f>
        <v>0</v>
      </c>
      <c r="G23" s="205">
        <f>Data!DD21/G$2*100000</f>
        <v>0</v>
      </c>
      <c r="H23" s="205">
        <f>Data!DE21/H$2*100000</f>
        <v>0</v>
      </c>
      <c r="I23" s="205">
        <f>Data!DF21/I$2*100000</f>
        <v>0</v>
      </c>
      <c r="J23" s="205">
        <f>Data!DG21/J$2*100000</f>
        <v>0</v>
      </c>
      <c r="K23" s="205">
        <f>Data!DH21/K$2*100000</f>
        <v>0</v>
      </c>
      <c r="L23" s="205">
        <f>Data!DI21/L$2*100000</f>
        <v>0.94713113977761354</v>
      </c>
      <c r="M23" s="205">
        <f>Data!DJ21/M$2*100000</f>
        <v>0.90703770555742003</v>
      </c>
      <c r="N23" s="205">
        <f>Data!DK21/N$2*100000</f>
        <v>1.6218890141347628</v>
      </c>
      <c r="O23" s="205">
        <f>Data!DL21/O$2*100000</f>
        <v>3.5475774480501632</v>
      </c>
      <c r="P23" s="205">
        <f>Data!DM21/P$2*100000</f>
        <v>7.1384138444437646</v>
      </c>
      <c r="Q23" s="205">
        <f>Data!DN21/Q$2*100000</f>
        <v>7.0372151393955029</v>
      </c>
      <c r="R23" s="205">
        <f>Data!DO21/R$2*100000</f>
        <v>2.2974509781397541</v>
      </c>
      <c r="S23" s="205">
        <f>Data!DP21/S$2*100000</f>
        <v>8.6373900275162576</v>
      </c>
      <c r="T23" s="205">
        <f>Data!DQ21/T$2*100000</f>
        <v>8.2309946333914983</v>
      </c>
      <c r="U23" s="205">
        <f>Data!DR21/U$2*100000</f>
        <v>16.789791806581601</v>
      </c>
      <c r="V23" s="205">
        <f>Data!BR21/V$2*100000</f>
        <v>2.7193830668443328</v>
      </c>
      <c r="W23" s="188"/>
    </row>
    <row r="24" spans="1:23" ht="12" customHeight="1">
      <c r="A24" s="188"/>
      <c r="B24" s="197" t="str">
        <f>UPPER(LEFT(TRIM(Data!B22),1)) &amp; MID(TRIM(Data!B22),2,50)</f>
        <v>Kiti odos piktybiniai navikai</v>
      </c>
      <c r="C24" s="198" t="str">
        <f>Data!C22</f>
        <v>C44</v>
      </c>
      <c r="D24" s="203">
        <f>Data!DA22/D$2*100000</f>
        <v>0</v>
      </c>
      <c r="E24" s="203">
        <f>Data!DB22/E$2*100000</f>
        <v>0</v>
      </c>
      <c r="F24" s="203">
        <f>Data!DC22/F$2*100000</f>
        <v>0</v>
      </c>
      <c r="G24" s="203">
        <f>Data!DD22/G$2*100000</f>
        <v>0</v>
      </c>
      <c r="H24" s="203">
        <f>Data!DE22/H$2*100000</f>
        <v>0</v>
      </c>
      <c r="I24" s="203">
        <f>Data!DF22/I$2*100000</f>
        <v>0</v>
      </c>
      <c r="J24" s="203">
        <f>Data!DG22/J$2*100000</f>
        <v>0</v>
      </c>
      <c r="K24" s="203">
        <f>Data!DH22/K$2*100000</f>
        <v>0</v>
      </c>
      <c r="L24" s="203">
        <f>Data!DI22/L$2*100000</f>
        <v>0</v>
      </c>
      <c r="M24" s="203">
        <f>Data!DJ22/M$2*100000</f>
        <v>0</v>
      </c>
      <c r="N24" s="203">
        <f>Data!DK22/N$2*100000</f>
        <v>0</v>
      </c>
      <c r="O24" s="203">
        <f>Data!DL22/O$2*100000</f>
        <v>0.88689436201254079</v>
      </c>
      <c r="P24" s="203">
        <f>Data!DM22/P$2*100000</f>
        <v>1.0197734063491093</v>
      </c>
      <c r="Q24" s="203">
        <f>Data!DN22/Q$2*100000</f>
        <v>1.1728691898992505</v>
      </c>
      <c r="R24" s="203">
        <f>Data!DO22/R$2*100000</f>
        <v>5.743627445349385</v>
      </c>
      <c r="S24" s="203">
        <f>Data!DP22/S$2*100000</f>
        <v>3.7017385832212528</v>
      </c>
      <c r="T24" s="203">
        <f>Data!DQ22/T$2*100000</f>
        <v>9.8771935600697987</v>
      </c>
      <c r="U24" s="203">
        <f>Data!DR22/U$2*100000</f>
        <v>18.888515782404298</v>
      </c>
      <c r="V24" s="203">
        <f>Data!BR22/V$2*100000</f>
        <v>1.6442781334407595</v>
      </c>
      <c r="W24" s="188"/>
    </row>
    <row r="25" spans="1:23" ht="12" customHeight="1">
      <c r="A25" s="188"/>
      <c r="B25" s="183" t="str">
        <f>UPPER(LEFT(TRIM(Data!B23),1)) &amp; MID(TRIM(Data!B23),2,50)</f>
        <v>Krūties</v>
      </c>
      <c r="C25" s="184" t="str">
        <f>Data!C23</f>
        <v>C50</v>
      </c>
      <c r="D25" s="205">
        <f>Data!DA23/D$2*100000</f>
        <v>0</v>
      </c>
      <c r="E25" s="205">
        <f>Data!DB23/E$2*100000</f>
        <v>0</v>
      </c>
      <c r="F25" s="205">
        <f>Data!DC23/F$2*100000</f>
        <v>0</v>
      </c>
      <c r="G25" s="205">
        <f>Data!DD23/G$2*100000</f>
        <v>0</v>
      </c>
      <c r="H25" s="205">
        <f>Data!DE23/H$2*100000</f>
        <v>0</v>
      </c>
      <c r="I25" s="205">
        <f>Data!DF23/I$2*100000</f>
        <v>1.052941919723708</v>
      </c>
      <c r="J25" s="205">
        <f>Data!DG23/J$2*100000</f>
        <v>2.2932886906468219</v>
      </c>
      <c r="K25" s="205">
        <f>Data!DH23/K$2*100000</f>
        <v>5.4141265389654682</v>
      </c>
      <c r="L25" s="205">
        <f>Data!DI23/L$2*100000</f>
        <v>16.101229376219433</v>
      </c>
      <c r="M25" s="205">
        <f>Data!DJ23/M$2*100000</f>
        <v>19.954829522263243</v>
      </c>
      <c r="N25" s="205">
        <f>Data!DK23/N$2*100000</f>
        <v>29.19400225442573</v>
      </c>
      <c r="O25" s="205">
        <f>Data!DL23/O$2*100000</f>
        <v>49.666084272702285</v>
      </c>
      <c r="P25" s="205">
        <f>Data!DM23/P$2*100000</f>
        <v>64.245724599993878</v>
      </c>
      <c r="Q25" s="205">
        <f>Data!DN23/Q$2*100000</f>
        <v>55.124851925264778</v>
      </c>
      <c r="R25" s="205">
        <f>Data!DO23/R$2*100000</f>
        <v>88.451862658380534</v>
      </c>
      <c r="S25" s="205">
        <f>Data!DP23/S$2*100000</f>
        <v>95.01129030267883</v>
      </c>
      <c r="T25" s="205">
        <f>Data!DQ23/T$2*100000</f>
        <v>88.894742040628188</v>
      </c>
      <c r="U25" s="205">
        <f>Data!DR23/U$2*100000</f>
        <v>115.42981867024848</v>
      </c>
      <c r="V25" s="205">
        <f>Data!BR23/V$2*100000</f>
        <v>32.379630935448802</v>
      </c>
      <c r="W25" s="188"/>
    </row>
    <row r="26" spans="1:23" ht="12" customHeight="1">
      <c r="A26" s="188"/>
      <c r="B26" s="197" t="str">
        <f>UPPER(LEFT(TRIM(Data!B24),1)) &amp; MID(TRIM(Data!B24),2,50)</f>
        <v>Vulvos</v>
      </c>
      <c r="C26" s="198" t="str">
        <f>Data!C24</f>
        <v>C51</v>
      </c>
      <c r="D26" s="203">
        <f>Data!DA24/D$2*100000</f>
        <v>0</v>
      </c>
      <c r="E26" s="203">
        <f>Data!DB24/E$2*100000</f>
        <v>0</v>
      </c>
      <c r="F26" s="203">
        <f>Data!DC24/F$2*100000</f>
        <v>0</v>
      </c>
      <c r="G26" s="203">
        <f>Data!DD24/G$2*100000</f>
        <v>0</v>
      </c>
      <c r="H26" s="203">
        <f>Data!DE24/H$2*100000</f>
        <v>0</v>
      </c>
      <c r="I26" s="203">
        <f>Data!DF24/I$2*100000</f>
        <v>0</v>
      </c>
      <c r="J26" s="203">
        <f>Data!DG24/J$2*100000</f>
        <v>0</v>
      </c>
      <c r="K26" s="203">
        <f>Data!DH24/K$2*100000</f>
        <v>1.0828253077930936</v>
      </c>
      <c r="L26" s="203">
        <f>Data!DI24/L$2*100000</f>
        <v>0</v>
      </c>
      <c r="M26" s="203">
        <f>Data!DJ24/M$2*100000</f>
        <v>0</v>
      </c>
      <c r="N26" s="203">
        <f>Data!DK24/N$2*100000</f>
        <v>0.81094450706738141</v>
      </c>
      <c r="O26" s="203">
        <f>Data!DL24/O$2*100000</f>
        <v>1.7737887240250816</v>
      </c>
      <c r="P26" s="203">
        <f>Data!DM24/P$2*100000</f>
        <v>3.0593202190473279</v>
      </c>
      <c r="Q26" s="203">
        <f>Data!DN24/Q$2*100000</f>
        <v>2.345738379798501</v>
      </c>
      <c r="R26" s="203">
        <f>Data!DO24/R$2*100000</f>
        <v>2.2974509781397541</v>
      </c>
      <c r="S26" s="203">
        <f>Data!DP24/S$2*100000</f>
        <v>6.1695643053687554</v>
      </c>
      <c r="T26" s="203">
        <f>Data!DQ24/T$2*100000</f>
        <v>11.523392486748097</v>
      </c>
      <c r="U26" s="203">
        <f>Data!DR24/U$2*100000</f>
        <v>14.691067830758898</v>
      </c>
      <c r="V26" s="203">
        <f>Data!BR24/V$2*100000</f>
        <v>1.8972440001239532</v>
      </c>
      <c r="W26" s="188"/>
    </row>
    <row r="27" spans="1:23" ht="12" customHeight="1">
      <c r="A27" s="188"/>
      <c r="B27" s="183" t="str">
        <f>UPPER(LEFT(TRIM(Data!B25),1)) &amp; MID(TRIM(Data!B25),2,50)</f>
        <v>Gimdos kaklelio</v>
      </c>
      <c r="C27" s="184" t="str">
        <f>Data!C25</f>
        <v>C53</v>
      </c>
      <c r="D27" s="205">
        <f>Data!DA25/D$2*100000</f>
        <v>0</v>
      </c>
      <c r="E27" s="205">
        <f>Data!DB25/E$2*100000</f>
        <v>0</v>
      </c>
      <c r="F27" s="205">
        <f>Data!DC25/F$2*100000</f>
        <v>0</v>
      </c>
      <c r="G27" s="205">
        <f>Data!DD25/G$2*100000</f>
        <v>0</v>
      </c>
      <c r="H27" s="205">
        <f>Data!DE25/H$2*100000</f>
        <v>0</v>
      </c>
      <c r="I27" s="205">
        <f>Data!DF25/I$2*100000</f>
        <v>1.052941919723708</v>
      </c>
      <c r="J27" s="205">
        <f>Data!DG25/J$2*100000</f>
        <v>4.5865773812936439</v>
      </c>
      <c r="K27" s="205">
        <f>Data!DH25/K$2*100000</f>
        <v>5.4141265389654682</v>
      </c>
      <c r="L27" s="205">
        <f>Data!DI25/L$2*100000</f>
        <v>14.206967096664204</v>
      </c>
      <c r="M27" s="205">
        <f>Data!DJ25/M$2*100000</f>
        <v>12.69852787780388</v>
      </c>
      <c r="N27" s="205">
        <f>Data!DK25/N$2*100000</f>
        <v>16.218890141347625</v>
      </c>
      <c r="O27" s="205">
        <f>Data!DL25/O$2*100000</f>
        <v>17.737887240250814</v>
      </c>
      <c r="P27" s="205">
        <f>Data!DM25/P$2*100000</f>
        <v>22.435014939680404</v>
      </c>
      <c r="Q27" s="205">
        <f>Data!DN25/Q$2*100000</f>
        <v>19.93877622828726</v>
      </c>
      <c r="R27" s="205">
        <f>Data!DO25/R$2*100000</f>
        <v>16.082156846978279</v>
      </c>
      <c r="S27" s="205">
        <f>Data!DP25/S$2*100000</f>
        <v>18.508692916106266</v>
      </c>
      <c r="T27" s="205">
        <f>Data!DQ25/T$2*100000</f>
        <v>34.570177460244295</v>
      </c>
      <c r="U27" s="205">
        <f>Data!DR25/U$2*100000</f>
        <v>25.184687709872396</v>
      </c>
      <c r="V27" s="205">
        <f>Data!BR25/V$2*100000</f>
        <v>11.38346400074372</v>
      </c>
      <c r="W27" s="188"/>
    </row>
    <row r="28" spans="1:23" ht="12" customHeight="1">
      <c r="A28" s="188"/>
      <c r="B28" s="197" t="str">
        <f>UPPER(LEFT(TRIM(Data!B26),1)) &amp; MID(TRIM(Data!B26),2,50)</f>
        <v>Gimdos kūno</v>
      </c>
      <c r="C28" s="198" t="str">
        <f>Data!C26</f>
        <v>C54, C55</v>
      </c>
      <c r="D28" s="203">
        <f>Data!DA26/D$2*100000</f>
        <v>0</v>
      </c>
      <c r="E28" s="203">
        <f>Data!DB26/E$2*100000</f>
        <v>0</v>
      </c>
      <c r="F28" s="203">
        <f>Data!DC26/F$2*100000</f>
        <v>0</v>
      </c>
      <c r="G28" s="203">
        <f>Data!DD26/G$2*100000</f>
        <v>0</v>
      </c>
      <c r="H28" s="203">
        <f>Data!DE26/H$2*100000</f>
        <v>0</v>
      </c>
      <c r="I28" s="203">
        <f>Data!DF26/I$2*100000</f>
        <v>0</v>
      </c>
      <c r="J28" s="203">
        <f>Data!DG26/J$2*100000</f>
        <v>0</v>
      </c>
      <c r="K28" s="203">
        <f>Data!DH26/K$2*100000</f>
        <v>1.0828253077930936</v>
      </c>
      <c r="L28" s="203">
        <f>Data!DI26/L$2*100000</f>
        <v>0.94713113977761354</v>
      </c>
      <c r="M28" s="203">
        <f>Data!DJ26/M$2*100000</f>
        <v>6.3492639389019399</v>
      </c>
      <c r="N28" s="203">
        <f>Data!DK26/N$2*100000</f>
        <v>5.6766115494716693</v>
      </c>
      <c r="O28" s="203">
        <f>Data!DL26/O$2*100000</f>
        <v>4.4344718100627034</v>
      </c>
      <c r="P28" s="203">
        <f>Data!DM26/P$2*100000</f>
        <v>14.276827688887529</v>
      </c>
      <c r="Q28" s="203">
        <f>Data!DN26/Q$2*100000</f>
        <v>26.975991367682763</v>
      </c>
      <c r="R28" s="203">
        <f>Data!DO26/R$2*100000</f>
        <v>35.610490161166183</v>
      </c>
      <c r="S28" s="203">
        <f>Data!DP26/S$2*100000</f>
        <v>34.54956011006503</v>
      </c>
      <c r="T28" s="203">
        <f>Data!DQ26/T$2*100000</f>
        <v>34.570177460244295</v>
      </c>
      <c r="U28" s="203">
        <f>Data!DR26/U$2*100000</f>
        <v>33.579583613163202</v>
      </c>
      <c r="V28" s="203">
        <f>Data!BR26/V$2*100000</f>
        <v>9.739185867302961</v>
      </c>
      <c r="W28" s="188"/>
    </row>
    <row r="29" spans="1:23" ht="12" customHeight="1">
      <c r="A29" s="188"/>
      <c r="B29" s="183" t="str">
        <f>UPPER(LEFT(TRIM(Data!B27),1)) &amp; MID(TRIM(Data!B27),2,50)</f>
        <v>Kiaušidžių</v>
      </c>
      <c r="C29" s="184" t="str">
        <f>Data!C27</f>
        <v>C56</v>
      </c>
      <c r="D29" s="205">
        <f>Data!DA27/D$2*100000</f>
        <v>0</v>
      </c>
      <c r="E29" s="205">
        <f>Data!DB27/E$2*100000</f>
        <v>0</v>
      </c>
      <c r="F29" s="205">
        <f>Data!DC27/F$2*100000</f>
        <v>0</v>
      </c>
      <c r="G29" s="205">
        <f>Data!DD27/G$2*100000</f>
        <v>0</v>
      </c>
      <c r="H29" s="205">
        <f>Data!DE27/H$2*100000</f>
        <v>0</v>
      </c>
      <c r="I29" s="205">
        <f>Data!DF27/I$2*100000</f>
        <v>0</v>
      </c>
      <c r="J29" s="205">
        <f>Data!DG27/J$2*100000</f>
        <v>1.146644345323411</v>
      </c>
      <c r="K29" s="205">
        <f>Data!DH27/K$2*100000</f>
        <v>0</v>
      </c>
      <c r="L29" s="205">
        <f>Data!DI27/L$2*100000</f>
        <v>6.629917978443296</v>
      </c>
      <c r="M29" s="205">
        <f>Data!DJ27/M$2*100000</f>
        <v>12.69852787780388</v>
      </c>
      <c r="N29" s="205">
        <f>Data!DK27/N$2*100000</f>
        <v>17.840779155482391</v>
      </c>
      <c r="O29" s="205">
        <f>Data!DL27/O$2*100000</f>
        <v>25.71993649836368</v>
      </c>
      <c r="P29" s="205">
        <f>Data!DM27/P$2*100000</f>
        <v>20.395468126982184</v>
      </c>
      <c r="Q29" s="205">
        <f>Data!DN27/Q$2*100000</f>
        <v>44.569029216171522</v>
      </c>
      <c r="R29" s="205">
        <f>Data!DO27/R$2*100000</f>
        <v>42.502843095585447</v>
      </c>
      <c r="S29" s="205">
        <f>Data!DP27/S$2*100000</f>
        <v>51.824340165097546</v>
      </c>
      <c r="T29" s="205">
        <f>Data!DQ27/T$2*100000</f>
        <v>74.07895170052349</v>
      </c>
      <c r="U29" s="205">
        <f>Data!DR27/U$2*100000</f>
        <v>35.678307588985895</v>
      </c>
      <c r="V29" s="205">
        <f>Data!BR27/V$2*100000</f>
        <v>17.201678934457178</v>
      </c>
      <c r="W29" s="188"/>
    </row>
    <row r="30" spans="1:23" ht="12" customHeight="1">
      <c r="A30" s="188"/>
      <c r="B30" s="197" t="str">
        <f>UPPER(LEFT(TRIM(Data!B30),1)) &amp; MID(TRIM(Data!B30),2,50)</f>
        <v>Kitų lyties organų</v>
      </c>
      <c r="C30" s="198" t="s">
        <v>418</v>
      </c>
      <c r="D30" s="203">
        <f>Data!DA30/D$2*100000</f>
        <v>0</v>
      </c>
      <c r="E30" s="203">
        <f>Data!DB30/E$2*100000</f>
        <v>0</v>
      </c>
      <c r="F30" s="203">
        <f>Data!DC30/F$2*100000</f>
        <v>0</v>
      </c>
      <c r="G30" s="203">
        <f>Data!DD30/G$2*100000</f>
        <v>0</v>
      </c>
      <c r="H30" s="203">
        <f>Data!DE30/H$2*100000</f>
        <v>0</v>
      </c>
      <c r="I30" s="203">
        <f>Data!DF30/I$2*100000</f>
        <v>0</v>
      </c>
      <c r="J30" s="203">
        <f>Data!DG30/J$2*100000</f>
        <v>0</v>
      </c>
      <c r="K30" s="203">
        <f>Data!DH30/K$2*100000</f>
        <v>0</v>
      </c>
      <c r="L30" s="203">
        <f>Data!DI30/L$2*100000</f>
        <v>0</v>
      </c>
      <c r="M30" s="203">
        <f>Data!DJ30/M$2*100000</f>
        <v>0.90703770555742003</v>
      </c>
      <c r="N30" s="203">
        <f>Data!DK30/N$2*100000</f>
        <v>0</v>
      </c>
      <c r="O30" s="203">
        <f>Data!DL30/O$2*100000</f>
        <v>1.7737887240250816</v>
      </c>
      <c r="P30" s="203">
        <f>Data!DM30/P$2*100000</f>
        <v>1.0197734063491093</v>
      </c>
      <c r="Q30" s="203">
        <f>Data!DN30/Q$2*100000</f>
        <v>1.1728691898992505</v>
      </c>
      <c r="R30" s="203">
        <f>Data!DO30/R$2*100000</f>
        <v>1.148725489069877</v>
      </c>
      <c r="S30" s="203">
        <f>Data!DP30/S$2*100000</f>
        <v>2.4678257221475017</v>
      </c>
      <c r="T30" s="203">
        <f>Data!DQ30/T$2*100000</f>
        <v>6.5847957067131988</v>
      </c>
      <c r="U30" s="203">
        <f>Data!DR30/U$2*100000</f>
        <v>2.0987239758227001</v>
      </c>
      <c r="V30" s="203">
        <f>Data!BR30/V$2*100000</f>
        <v>0.82213906672037973</v>
      </c>
      <c r="W30" s="188"/>
    </row>
    <row r="31" spans="1:23" ht="12" customHeight="1">
      <c r="A31" s="188"/>
      <c r="B31" s="183" t="str">
        <f>UPPER(LEFT(TRIM(Data!B31),1)) &amp; MID(TRIM(Data!B31),2,50)</f>
        <v>Inkstų</v>
      </c>
      <c r="C31" s="184" t="str">
        <f>Data!C31</f>
        <v>C64</v>
      </c>
      <c r="D31" s="205">
        <f>Data!DA31/D$2*100000</f>
        <v>0</v>
      </c>
      <c r="E31" s="205">
        <f>Data!DB31/E$2*100000</f>
        <v>0</v>
      </c>
      <c r="F31" s="205">
        <f>Data!DC31/F$2*100000</f>
        <v>0</v>
      </c>
      <c r="G31" s="205">
        <f>Data!DD31/G$2*100000</f>
        <v>0</v>
      </c>
      <c r="H31" s="205">
        <f>Data!DE31/H$2*100000</f>
        <v>0</v>
      </c>
      <c r="I31" s="205">
        <f>Data!DF31/I$2*100000</f>
        <v>0</v>
      </c>
      <c r="J31" s="205">
        <f>Data!DG31/J$2*100000</f>
        <v>0</v>
      </c>
      <c r="K31" s="205">
        <f>Data!DH31/K$2*100000</f>
        <v>0</v>
      </c>
      <c r="L31" s="205">
        <f>Data!DI31/L$2*100000</f>
        <v>0</v>
      </c>
      <c r="M31" s="205">
        <f>Data!DJ31/M$2*100000</f>
        <v>0.90703770555742003</v>
      </c>
      <c r="N31" s="205">
        <f>Data!DK31/N$2*100000</f>
        <v>3.2437780282695257</v>
      </c>
      <c r="O31" s="205">
        <f>Data!DL31/O$2*100000</f>
        <v>4.4344718100627034</v>
      </c>
      <c r="P31" s="205">
        <f>Data!DM31/P$2*100000</f>
        <v>6.1186404380946557</v>
      </c>
      <c r="Q31" s="205">
        <f>Data!DN31/Q$2*100000</f>
        <v>14.074430278791006</v>
      </c>
      <c r="R31" s="205">
        <f>Data!DO31/R$2*100000</f>
        <v>13.784705868838524</v>
      </c>
      <c r="S31" s="205">
        <f>Data!DP31/S$2*100000</f>
        <v>22.21043149932752</v>
      </c>
      <c r="T31" s="205">
        <f>Data!DQ31/T$2*100000</f>
        <v>31.277779606887698</v>
      </c>
      <c r="U31" s="205">
        <f>Data!DR31/U$2*100000</f>
        <v>48.270651443922091</v>
      </c>
      <c r="V31" s="205">
        <f>Data!BR31/V$2*100000</f>
        <v>6.3241466670798436</v>
      </c>
      <c r="W31" s="188"/>
    </row>
    <row r="32" spans="1:23" ht="12" customHeight="1">
      <c r="A32" s="188"/>
      <c r="B32" s="197" t="str">
        <f>UPPER(LEFT(TRIM(Data!B32),1)) &amp; MID(TRIM(Data!B32),2,50)</f>
        <v>Šlapimo pūslės</v>
      </c>
      <c r="C32" s="198" t="str">
        <f>Data!C32</f>
        <v>C67</v>
      </c>
      <c r="D32" s="203">
        <f>Data!DA32/D$2*100000</f>
        <v>0</v>
      </c>
      <c r="E32" s="203">
        <f>Data!DB32/E$2*100000</f>
        <v>0</v>
      </c>
      <c r="F32" s="203">
        <f>Data!DC32/F$2*100000</f>
        <v>0</v>
      </c>
      <c r="G32" s="203">
        <f>Data!DD32/G$2*100000</f>
        <v>0</v>
      </c>
      <c r="H32" s="203">
        <f>Data!DE32/H$2*100000</f>
        <v>0</v>
      </c>
      <c r="I32" s="203">
        <f>Data!DF32/I$2*100000</f>
        <v>0</v>
      </c>
      <c r="J32" s="203">
        <f>Data!DG32/J$2*100000</f>
        <v>0</v>
      </c>
      <c r="K32" s="203">
        <f>Data!DH32/K$2*100000</f>
        <v>0</v>
      </c>
      <c r="L32" s="203">
        <f>Data!DI32/L$2*100000</f>
        <v>0</v>
      </c>
      <c r="M32" s="203">
        <f>Data!DJ32/M$2*100000</f>
        <v>0</v>
      </c>
      <c r="N32" s="203">
        <f>Data!DK32/N$2*100000</f>
        <v>0</v>
      </c>
      <c r="O32" s="203">
        <f>Data!DL32/O$2*100000</f>
        <v>0.88689436201254079</v>
      </c>
      <c r="P32" s="203">
        <f>Data!DM32/P$2*100000</f>
        <v>2.0395468126982186</v>
      </c>
      <c r="Q32" s="203">
        <f>Data!DN32/Q$2*100000</f>
        <v>3.5186075696977515</v>
      </c>
      <c r="R32" s="203">
        <f>Data!DO32/R$2*100000</f>
        <v>10.338529401628893</v>
      </c>
      <c r="S32" s="203">
        <f>Data!DP32/S$2*100000</f>
        <v>14.806954332885011</v>
      </c>
      <c r="T32" s="203">
        <f>Data!DQ32/T$2*100000</f>
        <v>29.631580680209396</v>
      </c>
      <c r="U32" s="203">
        <f>Data!DR32/U$2*100000</f>
        <v>23.085963734049699</v>
      </c>
      <c r="V32" s="203">
        <f>Data!BR32/V$2*100000</f>
        <v>3.5415221335647131</v>
      </c>
      <c r="W32" s="188"/>
    </row>
    <row r="33" spans="1:23" ht="12" customHeight="1">
      <c r="A33" s="188"/>
      <c r="B33" s="183" t="str">
        <f>UPPER(LEFT(TRIM(Data!B33),1)) &amp; MID(TRIM(Data!B33),2,50)</f>
        <v>Kitų šlapimą išskiriančių organų</v>
      </c>
      <c r="C33" s="184" t="str">
        <f>Data!C33</f>
        <v>C65, C66, C68</v>
      </c>
      <c r="D33" s="205">
        <f>Data!DA33/D$2*100000</f>
        <v>0</v>
      </c>
      <c r="E33" s="205">
        <f>Data!DB33/E$2*100000</f>
        <v>0</v>
      </c>
      <c r="F33" s="205">
        <f>Data!DC33/F$2*100000</f>
        <v>0</v>
      </c>
      <c r="G33" s="205">
        <f>Data!DD33/G$2*100000</f>
        <v>0</v>
      </c>
      <c r="H33" s="205">
        <f>Data!DE33/H$2*100000</f>
        <v>0</v>
      </c>
      <c r="I33" s="205">
        <f>Data!DF33/I$2*100000</f>
        <v>0</v>
      </c>
      <c r="J33" s="205">
        <f>Data!DG33/J$2*100000</f>
        <v>0</v>
      </c>
      <c r="K33" s="205">
        <f>Data!DH33/K$2*100000</f>
        <v>0</v>
      </c>
      <c r="L33" s="205">
        <f>Data!DI33/L$2*100000</f>
        <v>0</v>
      </c>
      <c r="M33" s="205">
        <f>Data!DJ33/M$2*100000</f>
        <v>0</v>
      </c>
      <c r="N33" s="205">
        <f>Data!DK33/N$2*100000</f>
        <v>0.81094450706738141</v>
      </c>
      <c r="O33" s="205">
        <f>Data!DL33/O$2*100000</f>
        <v>0</v>
      </c>
      <c r="P33" s="205">
        <f>Data!DM33/P$2*100000</f>
        <v>0</v>
      </c>
      <c r="Q33" s="205">
        <f>Data!DN33/Q$2*100000</f>
        <v>1.1728691898992505</v>
      </c>
      <c r="R33" s="205">
        <f>Data!DO33/R$2*100000</f>
        <v>1.148725489069877</v>
      </c>
      <c r="S33" s="205">
        <f>Data!DP33/S$2*100000</f>
        <v>6.1695643053687554</v>
      </c>
      <c r="T33" s="205">
        <f>Data!DQ33/T$2*100000</f>
        <v>3.2923978533565994</v>
      </c>
      <c r="U33" s="205">
        <f>Data!DR33/U$2*100000</f>
        <v>2.0987239758227001</v>
      </c>
      <c r="V33" s="205">
        <f>Data!BR33/V$2*100000</f>
        <v>0.69565613337878285</v>
      </c>
      <c r="W33" s="188"/>
    </row>
    <row r="34" spans="1:23" ht="12" customHeight="1">
      <c r="A34" s="188"/>
      <c r="B34" s="197" t="str">
        <f>UPPER(LEFT(TRIM(Data!B34),1)) &amp; MID(TRIM(Data!B34),2,50)</f>
        <v>Akių</v>
      </c>
      <c r="C34" s="198" t="str">
        <f>Data!C34</f>
        <v>C69</v>
      </c>
      <c r="D34" s="203">
        <f>Data!DA34/D$2*100000</f>
        <v>0</v>
      </c>
      <c r="E34" s="203">
        <f>Data!DB34/E$2*100000</f>
        <v>0</v>
      </c>
      <c r="F34" s="203">
        <f>Data!DC34/F$2*100000</f>
        <v>0</v>
      </c>
      <c r="G34" s="203">
        <f>Data!DD34/G$2*100000</f>
        <v>0</v>
      </c>
      <c r="H34" s="203">
        <f>Data!DE34/H$2*100000</f>
        <v>0</v>
      </c>
      <c r="I34" s="203">
        <f>Data!DF34/I$2*100000</f>
        <v>0</v>
      </c>
      <c r="J34" s="203">
        <f>Data!DG34/J$2*100000</f>
        <v>0</v>
      </c>
      <c r="K34" s="203">
        <f>Data!DH34/K$2*100000</f>
        <v>0</v>
      </c>
      <c r="L34" s="203">
        <f>Data!DI34/L$2*100000</f>
        <v>0</v>
      </c>
      <c r="M34" s="203">
        <f>Data!DJ34/M$2*100000</f>
        <v>0</v>
      </c>
      <c r="N34" s="203">
        <f>Data!DK34/N$2*100000</f>
        <v>0</v>
      </c>
      <c r="O34" s="203">
        <f>Data!DL34/O$2*100000</f>
        <v>1.7737887240250816</v>
      </c>
      <c r="P34" s="203">
        <f>Data!DM34/P$2*100000</f>
        <v>1.0197734063491093</v>
      </c>
      <c r="Q34" s="203">
        <f>Data!DN34/Q$2*100000</f>
        <v>0</v>
      </c>
      <c r="R34" s="203">
        <f>Data!DO34/R$2*100000</f>
        <v>1.148725489069877</v>
      </c>
      <c r="S34" s="203">
        <f>Data!DP34/S$2*100000</f>
        <v>0</v>
      </c>
      <c r="T34" s="203">
        <f>Data!DQ34/T$2*100000</f>
        <v>0</v>
      </c>
      <c r="U34" s="203">
        <f>Data!DR34/U$2*100000</f>
        <v>4.1974479516454002</v>
      </c>
      <c r="V34" s="203">
        <f>Data!BR34/V$2*100000</f>
        <v>0.37944880002479064</v>
      </c>
      <c r="W34" s="188"/>
    </row>
    <row r="35" spans="1:23" ht="12" customHeight="1">
      <c r="A35" s="188"/>
      <c r="B35" s="183" t="str">
        <f>UPPER(LEFT(TRIM(Data!B35),1)) &amp; MID(TRIM(Data!B35),2,50)</f>
        <v>Smegenų</v>
      </c>
      <c r="C35" s="184" t="str">
        <f>Data!C35</f>
        <v>C70-C72</v>
      </c>
      <c r="D35" s="205">
        <f>Data!DA35/D$2*100000</f>
        <v>0</v>
      </c>
      <c r="E35" s="205">
        <f>Data!DB35/E$2*100000</f>
        <v>2.9894472512032526</v>
      </c>
      <c r="F35" s="205">
        <f>Data!DC35/F$2*100000</f>
        <v>1.4673729621857987</v>
      </c>
      <c r="G35" s="205">
        <f>Data!DD35/G$2*100000</f>
        <v>0</v>
      </c>
      <c r="H35" s="205">
        <f>Data!DE35/H$2*100000</f>
        <v>0</v>
      </c>
      <c r="I35" s="205">
        <f>Data!DF35/I$2*100000</f>
        <v>0</v>
      </c>
      <c r="J35" s="205">
        <f>Data!DG35/J$2*100000</f>
        <v>2.2932886906468219</v>
      </c>
      <c r="K35" s="205">
        <f>Data!DH35/K$2*100000</f>
        <v>1.0828253077930936</v>
      </c>
      <c r="L35" s="205">
        <f>Data!DI35/L$2*100000</f>
        <v>3.7885245591104542</v>
      </c>
      <c r="M35" s="205">
        <f>Data!DJ35/M$2*100000</f>
        <v>3.6281508222296801</v>
      </c>
      <c r="N35" s="205">
        <f>Data!DK35/N$2*100000</f>
        <v>3.2437780282695257</v>
      </c>
      <c r="O35" s="205">
        <f>Data!DL35/O$2*100000</f>
        <v>8.8689436201254068</v>
      </c>
      <c r="P35" s="205">
        <f>Data!DM35/P$2*100000</f>
        <v>13.257054282538421</v>
      </c>
      <c r="Q35" s="205">
        <f>Data!DN35/Q$2*100000</f>
        <v>10.555822709093254</v>
      </c>
      <c r="R35" s="205">
        <f>Data!DO35/R$2*100000</f>
        <v>25.271960759537293</v>
      </c>
      <c r="S35" s="205">
        <f>Data!DP35/S$2*100000</f>
        <v>22.21043149932752</v>
      </c>
      <c r="T35" s="205">
        <f>Data!DQ35/T$2*100000</f>
        <v>19.754387120139597</v>
      </c>
      <c r="U35" s="205">
        <f>Data!DR35/U$2*100000</f>
        <v>20.987239758226998</v>
      </c>
      <c r="V35" s="205">
        <f>Data!BR35/V$2*100000</f>
        <v>7.0830442671294263</v>
      </c>
      <c r="W35" s="188"/>
    </row>
    <row r="36" spans="1:23" ht="12" customHeight="1">
      <c r="A36" s="188"/>
      <c r="B36" s="197" t="str">
        <f>UPPER(LEFT(TRIM(Data!B36),1)) &amp; MID(TRIM(Data!B36),2,50)</f>
        <v>Skydliaukės</v>
      </c>
      <c r="C36" s="198" t="str">
        <f>Data!C36</f>
        <v>C73</v>
      </c>
      <c r="D36" s="203">
        <f>Data!DA36/D$2*100000</f>
        <v>0</v>
      </c>
      <c r="E36" s="203">
        <f>Data!DB36/E$2*100000</f>
        <v>0</v>
      </c>
      <c r="F36" s="203">
        <f>Data!DC36/F$2*100000</f>
        <v>0</v>
      </c>
      <c r="G36" s="203">
        <f>Data!DD36/G$2*100000</f>
        <v>0</v>
      </c>
      <c r="H36" s="203">
        <f>Data!DE36/H$2*100000</f>
        <v>0</v>
      </c>
      <c r="I36" s="203">
        <f>Data!DF36/I$2*100000</f>
        <v>0</v>
      </c>
      <c r="J36" s="203">
        <f>Data!DG36/J$2*100000</f>
        <v>0</v>
      </c>
      <c r="K36" s="203">
        <f>Data!DH36/K$2*100000</f>
        <v>0</v>
      </c>
      <c r="L36" s="203">
        <f>Data!DI36/L$2*100000</f>
        <v>0</v>
      </c>
      <c r="M36" s="203">
        <f>Data!DJ36/M$2*100000</f>
        <v>0</v>
      </c>
      <c r="N36" s="203">
        <f>Data!DK36/N$2*100000</f>
        <v>0</v>
      </c>
      <c r="O36" s="203">
        <f>Data!DL36/O$2*100000</f>
        <v>0.88689436201254079</v>
      </c>
      <c r="P36" s="203">
        <f>Data!DM36/P$2*100000</f>
        <v>2.0395468126982186</v>
      </c>
      <c r="Q36" s="203">
        <f>Data!DN36/Q$2*100000</f>
        <v>2.345738379798501</v>
      </c>
      <c r="R36" s="203">
        <f>Data!DO36/R$2*100000</f>
        <v>3.4461764672096309</v>
      </c>
      <c r="S36" s="203">
        <f>Data!DP36/S$2*100000</f>
        <v>4.9356514442950035</v>
      </c>
      <c r="T36" s="203">
        <f>Data!DQ36/T$2*100000</f>
        <v>6.5847957067131988</v>
      </c>
      <c r="U36" s="203">
        <f>Data!DR36/U$2*100000</f>
        <v>6.2961719274680989</v>
      </c>
      <c r="V36" s="203">
        <f>Data!BR36/V$2*100000</f>
        <v>1.2015878667451705</v>
      </c>
      <c r="W36" s="188"/>
    </row>
    <row r="37" spans="1:23" ht="12" customHeight="1">
      <c r="A37" s="188"/>
      <c r="B37" s="183" t="str">
        <f>UPPER(LEFT(TRIM(Data!B37),1)) &amp; MID(TRIM(Data!B37),2,50)</f>
        <v>Kitų endokrininių liaukų</v>
      </c>
      <c r="C37" s="184" t="str">
        <f>Data!C37</f>
        <v>C74-C75</v>
      </c>
      <c r="D37" s="205">
        <f>Data!DA37/D$2*100000</f>
        <v>0</v>
      </c>
      <c r="E37" s="205">
        <f>Data!DB37/E$2*100000</f>
        <v>0</v>
      </c>
      <c r="F37" s="205">
        <f>Data!DC37/F$2*100000</f>
        <v>0</v>
      </c>
      <c r="G37" s="205">
        <f>Data!DD37/G$2*100000</f>
        <v>0</v>
      </c>
      <c r="H37" s="205">
        <f>Data!DE37/H$2*100000</f>
        <v>0</v>
      </c>
      <c r="I37" s="205">
        <f>Data!DF37/I$2*100000</f>
        <v>0</v>
      </c>
      <c r="J37" s="205">
        <f>Data!DG37/J$2*100000</f>
        <v>0</v>
      </c>
      <c r="K37" s="205">
        <f>Data!DH37/K$2*100000</f>
        <v>0</v>
      </c>
      <c r="L37" s="205">
        <f>Data!DI37/L$2*100000</f>
        <v>0</v>
      </c>
      <c r="M37" s="205">
        <f>Data!DJ37/M$2*100000</f>
        <v>0</v>
      </c>
      <c r="N37" s="205">
        <f>Data!DK37/N$2*100000</f>
        <v>1.6218890141347628</v>
      </c>
      <c r="O37" s="205">
        <f>Data!DL37/O$2*100000</f>
        <v>0</v>
      </c>
      <c r="P37" s="205">
        <f>Data!DM37/P$2*100000</f>
        <v>1.0197734063491093</v>
      </c>
      <c r="Q37" s="205">
        <f>Data!DN37/Q$2*100000</f>
        <v>2.345738379798501</v>
      </c>
      <c r="R37" s="205">
        <f>Data!DO37/R$2*100000</f>
        <v>0</v>
      </c>
      <c r="S37" s="205">
        <f>Data!DP37/S$2*100000</f>
        <v>1.2339128610737509</v>
      </c>
      <c r="T37" s="205">
        <f>Data!DQ37/T$2*100000</f>
        <v>0</v>
      </c>
      <c r="U37" s="205">
        <f>Data!DR37/U$2*100000</f>
        <v>2.0987239758227001</v>
      </c>
      <c r="V37" s="205">
        <f>Data!BR37/V$2*100000</f>
        <v>0.44269026669558914</v>
      </c>
      <c r="W37" s="188"/>
    </row>
    <row r="38" spans="1:23" ht="12" customHeight="1">
      <c r="A38" s="188"/>
      <c r="B38" s="197" t="str">
        <f>UPPER(LEFT(TRIM(Data!B38),1)) &amp; MID(TRIM(Data!B38),2,50)</f>
        <v>Nepatikslintos lokalizacijos</v>
      </c>
      <c r="C38" s="198" t="str">
        <f>Data!C38</f>
        <v>C76-C80</v>
      </c>
      <c r="D38" s="203">
        <f>Data!DA38/D$2*100000</f>
        <v>0</v>
      </c>
      <c r="E38" s="203">
        <f>Data!DB38/E$2*100000</f>
        <v>0</v>
      </c>
      <c r="F38" s="203">
        <f>Data!DC38/F$2*100000</f>
        <v>0</v>
      </c>
      <c r="G38" s="203">
        <f>Data!DD38/G$2*100000</f>
        <v>0</v>
      </c>
      <c r="H38" s="203">
        <f>Data!DE38/H$2*100000</f>
        <v>0</v>
      </c>
      <c r="I38" s="203">
        <f>Data!DF38/I$2*100000</f>
        <v>0</v>
      </c>
      <c r="J38" s="203">
        <f>Data!DG38/J$2*100000</f>
        <v>0</v>
      </c>
      <c r="K38" s="203">
        <f>Data!DH38/K$2*100000</f>
        <v>0</v>
      </c>
      <c r="L38" s="203">
        <f>Data!DI38/L$2*100000</f>
        <v>2.841393419332841</v>
      </c>
      <c r="M38" s="203">
        <f>Data!DJ38/M$2*100000</f>
        <v>6.3492639389019399</v>
      </c>
      <c r="N38" s="203">
        <f>Data!DK38/N$2*100000</f>
        <v>5.6766115494716693</v>
      </c>
      <c r="O38" s="203">
        <f>Data!DL38/O$2*100000</f>
        <v>7.0951548961003263</v>
      </c>
      <c r="P38" s="203">
        <f>Data!DM38/P$2*100000</f>
        <v>7.1384138444437646</v>
      </c>
      <c r="Q38" s="203">
        <f>Data!DN38/Q$2*100000</f>
        <v>18.765907038388008</v>
      </c>
      <c r="R38" s="203">
        <f>Data!DO38/R$2*100000</f>
        <v>22.97450978139754</v>
      </c>
      <c r="S38" s="203">
        <f>Data!DP38/S$2*100000</f>
        <v>28.379995804696271</v>
      </c>
      <c r="T38" s="203">
        <f>Data!DQ38/T$2*100000</f>
        <v>64.201758140453691</v>
      </c>
      <c r="U38" s="203">
        <f>Data!DR38/U$2*100000</f>
        <v>88.146406984553394</v>
      </c>
      <c r="V38" s="203">
        <f>Data!BR38/V$2*100000</f>
        <v>10.877532267377331</v>
      </c>
      <c r="W38" s="188"/>
    </row>
    <row r="39" spans="1:23" ht="12" customHeight="1">
      <c r="A39" s="188"/>
      <c r="B39" s="183" t="str">
        <f>UPPER(LEFT(TRIM(Data!B39),1)) &amp; MID(TRIM(Data!B39),2,50)</f>
        <v>Hodžkino limfomos</v>
      </c>
      <c r="C39" s="184" t="str">
        <f>Data!C39</f>
        <v>C81</v>
      </c>
      <c r="D39" s="205">
        <f>Data!DA39/D$2*100000</f>
        <v>0</v>
      </c>
      <c r="E39" s="205">
        <f>Data!DB39/E$2*100000</f>
        <v>0</v>
      </c>
      <c r="F39" s="205">
        <f>Data!DC39/F$2*100000</f>
        <v>0</v>
      </c>
      <c r="G39" s="205">
        <f>Data!DD39/G$2*100000</f>
        <v>0</v>
      </c>
      <c r="H39" s="205">
        <f>Data!DE39/H$2*100000</f>
        <v>0</v>
      </c>
      <c r="I39" s="205">
        <f>Data!DF39/I$2*100000</f>
        <v>0</v>
      </c>
      <c r="J39" s="205">
        <f>Data!DG39/J$2*100000</f>
        <v>0</v>
      </c>
      <c r="K39" s="205">
        <f>Data!DH39/K$2*100000</f>
        <v>1.0828253077930936</v>
      </c>
      <c r="L39" s="205">
        <f>Data!DI39/L$2*100000</f>
        <v>0.94713113977761354</v>
      </c>
      <c r="M39" s="205">
        <f>Data!DJ39/M$2*100000</f>
        <v>0</v>
      </c>
      <c r="N39" s="205">
        <f>Data!DK39/N$2*100000</f>
        <v>0</v>
      </c>
      <c r="O39" s="205">
        <f>Data!DL39/O$2*100000</f>
        <v>0</v>
      </c>
      <c r="P39" s="205">
        <f>Data!DM39/P$2*100000</f>
        <v>0</v>
      </c>
      <c r="Q39" s="205">
        <f>Data!DN39/Q$2*100000</f>
        <v>0</v>
      </c>
      <c r="R39" s="205">
        <f>Data!DO39/R$2*100000</f>
        <v>1.148725489069877</v>
      </c>
      <c r="S39" s="205">
        <f>Data!DP39/S$2*100000</f>
        <v>0</v>
      </c>
      <c r="T39" s="205">
        <f>Data!DQ39/T$2*100000</f>
        <v>1.6461989266782997</v>
      </c>
      <c r="U39" s="205">
        <f>Data!DR39/U$2*100000</f>
        <v>2.0987239758227001</v>
      </c>
      <c r="V39" s="205">
        <f>Data!BR39/V$2*100000</f>
        <v>0.3162073333539922</v>
      </c>
      <c r="W39" s="188"/>
    </row>
    <row r="40" spans="1:23" ht="12" customHeight="1">
      <c r="A40" s="188"/>
      <c r="B40" s="197" t="str">
        <f>UPPER(LEFT(TRIM(Data!B40),1)) &amp; MID(TRIM(Data!B40),2,50)</f>
        <v>Ne Hodžkino limfomos</v>
      </c>
      <c r="C40" s="198" t="str">
        <f>Data!C40</f>
        <v>C82-C85</v>
      </c>
      <c r="D40" s="203">
        <f>Data!DA40/D$2*100000</f>
        <v>0</v>
      </c>
      <c r="E40" s="203">
        <f>Data!DB40/E$2*100000</f>
        <v>0</v>
      </c>
      <c r="F40" s="203">
        <f>Data!DC40/F$2*100000</f>
        <v>0</v>
      </c>
      <c r="G40" s="203">
        <f>Data!DD40/G$2*100000</f>
        <v>0</v>
      </c>
      <c r="H40" s="203">
        <f>Data!DE40/H$2*100000</f>
        <v>0</v>
      </c>
      <c r="I40" s="203">
        <f>Data!DF40/I$2*100000</f>
        <v>0</v>
      </c>
      <c r="J40" s="203">
        <f>Data!DG40/J$2*100000</f>
        <v>0</v>
      </c>
      <c r="K40" s="203">
        <f>Data!DH40/K$2*100000</f>
        <v>1.0828253077930936</v>
      </c>
      <c r="L40" s="203">
        <f>Data!DI40/L$2*100000</f>
        <v>0.94713113977761354</v>
      </c>
      <c r="M40" s="203">
        <f>Data!DJ40/M$2*100000</f>
        <v>0.90703770555742003</v>
      </c>
      <c r="N40" s="203">
        <f>Data!DK40/N$2*100000</f>
        <v>0.81094450706738141</v>
      </c>
      <c r="O40" s="203">
        <f>Data!DL40/O$2*100000</f>
        <v>1.7737887240250816</v>
      </c>
      <c r="P40" s="203">
        <f>Data!DM40/P$2*100000</f>
        <v>7.1384138444437646</v>
      </c>
      <c r="Q40" s="203">
        <f>Data!DN40/Q$2*100000</f>
        <v>5.8643459494962524</v>
      </c>
      <c r="R40" s="203">
        <f>Data!DO40/R$2*100000</f>
        <v>13.784705868838524</v>
      </c>
      <c r="S40" s="203">
        <f>Data!DP40/S$2*100000</f>
        <v>13.57304147181126</v>
      </c>
      <c r="T40" s="203">
        <f>Data!DQ40/T$2*100000</f>
        <v>26.339182826852795</v>
      </c>
      <c r="U40" s="203">
        <f>Data!DR40/U$2*100000</f>
        <v>25.184687709872396</v>
      </c>
      <c r="V40" s="203">
        <f>Data!BR40/V$2*100000</f>
        <v>4.3636612002850921</v>
      </c>
      <c r="W40" s="188"/>
    </row>
    <row r="41" spans="1:23" ht="12" customHeight="1">
      <c r="A41" s="188"/>
      <c r="B41" s="183" t="str">
        <f>UPPER(LEFT(TRIM(Data!B41),1)) &amp; MID(TRIM(Data!B41),2,50)</f>
        <v>Mielominės ligos</v>
      </c>
      <c r="C41" s="184" t="str">
        <f>Data!C41</f>
        <v>C90</v>
      </c>
      <c r="D41" s="205">
        <f>Data!DA41/D$2*100000</f>
        <v>0</v>
      </c>
      <c r="E41" s="205">
        <f>Data!DB41/E$2*100000</f>
        <v>0</v>
      </c>
      <c r="F41" s="205">
        <f>Data!DC41/F$2*100000</f>
        <v>0</v>
      </c>
      <c r="G41" s="205">
        <f>Data!DD41/G$2*100000</f>
        <v>0</v>
      </c>
      <c r="H41" s="205">
        <f>Data!DE41/H$2*100000</f>
        <v>0</v>
      </c>
      <c r="I41" s="205">
        <f>Data!DF41/I$2*100000</f>
        <v>1.052941919723708</v>
      </c>
      <c r="J41" s="205">
        <f>Data!DG41/J$2*100000</f>
        <v>0</v>
      </c>
      <c r="K41" s="205">
        <f>Data!DH41/K$2*100000</f>
        <v>0</v>
      </c>
      <c r="L41" s="205">
        <f>Data!DI41/L$2*100000</f>
        <v>0</v>
      </c>
      <c r="M41" s="205">
        <f>Data!DJ41/M$2*100000</f>
        <v>0</v>
      </c>
      <c r="N41" s="205">
        <f>Data!DK41/N$2*100000</f>
        <v>0.81094450706738141</v>
      </c>
      <c r="O41" s="205">
        <f>Data!DL41/O$2*100000</f>
        <v>4.4344718100627034</v>
      </c>
      <c r="P41" s="205">
        <f>Data!DM41/P$2*100000</f>
        <v>5.098867031745546</v>
      </c>
      <c r="Q41" s="205">
        <f>Data!DN41/Q$2*100000</f>
        <v>8.2100843292947534</v>
      </c>
      <c r="R41" s="205">
        <f>Data!DO41/R$2*100000</f>
        <v>8.0410784234891395</v>
      </c>
      <c r="S41" s="205">
        <f>Data!DP41/S$2*100000</f>
        <v>8.6373900275162576</v>
      </c>
      <c r="T41" s="205">
        <f>Data!DQ41/T$2*100000</f>
        <v>13.169591413426398</v>
      </c>
      <c r="U41" s="205">
        <f>Data!DR41/U$2*100000</f>
        <v>16.789791806581601</v>
      </c>
      <c r="V41" s="205">
        <f>Data!BR41/V$2*100000</f>
        <v>3.0988318668691237</v>
      </c>
      <c r="W41" s="188"/>
    </row>
    <row r="42" spans="1:23" ht="12" customHeight="1">
      <c r="A42" s="188"/>
      <c r="B42" s="197" t="str">
        <f>UPPER(LEFT(TRIM(Data!B42),1)) &amp; MID(TRIM(Data!B42),2,50)</f>
        <v>Leukemijos</v>
      </c>
      <c r="C42" s="198" t="str">
        <f>Data!C42</f>
        <v>C91-C95</v>
      </c>
      <c r="D42" s="203">
        <f>Data!DA42/D$2*100000</f>
        <v>1.3597856977740308</v>
      </c>
      <c r="E42" s="203">
        <f>Data!DB42/E$2*100000</f>
        <v>0</v>
      </c>
      <c r="F42" s="203">
        <f>Data!DC42/F$2*100000</f>
        <v>0</v>
      </c>
      <c r="G42" s="203">
        <f>Data!DD42/G$2*100000</f>
        <v>0</v>
      </c>
      <c r="H42" s="203">
        <f>Data!DE42/H$2*100000</f>
        <v>0</v>
      </c>
      <c r="I42" s="203">
        <f>Data!DF42/I$2*100000</f>
        <v>2.105883839447416</v>
      </c>
      <c r="J42" s="203">
        <f>Data!DG42/J$2*100000</f>
        <v>0</v>
      </c>
      <c r="K42" s="203">
        <f>Data!DH42/K$2*100000</f>
        <v>0</v>
      </c>
      <c r="L42" s="203">
        <f>Data!DI42/L$2*100000</f>
        <v>1.8942622795552271</v>
      </c>
      <c r="M42" s="203">
        <f>Data!DJ42/M$2*100000</f>
        <v>2.7211131166722602</v>
      </c>
      <c r="N42" s="203">
        <f>Data!DK42/N$2*100000</f>
        <v>4.0547225353369063</v>
      </c>
      <c r="O42" s="203">
        <f>Data!DL42/O$2*100000</f>
        <v>1.7737887240250816</v>
      </c>
      <c r="P42" s="203">
        <f>Data!DM42/P$2*100000</f>
        <v>10.197734063491092</v>
      </c>
      <c r="Q42" s="203">
        <f>Data!DN42/Q$2*100000</f>
        <v>11.728691898992505</v>
      </c>
      <c r="R42" s="203">
        <f>Data!DO42/R$2*100000</f>
        <v>21.825784292327665</v>
      </c>
      <c r="S42" s="203">
        <f>Data!DP42/S$2*100000</f>
        <v>35.783472971138778</v>
      </c>
      <c r="T42" s="203">
        <f>Data!DQ42/T$2*100000</f>
        <v>55.970763507062195</v>
      </c>
      <c r="U42" s="203">
        <f>Data!DR42/U$2*100000</f>
        <v>54.5668233713902</v>
      </c>
      <c r="V42" s="203">
        <f>Data!BR42/V$2*100000</f>
        <v>9.043529733924176</v>
      </c>
      <c r="W42" s="188"/>
    </row>
    <row r="43" spans="1:23" ht="12" customHeight="1">
      <c r="A43" s="188"/>
      <c r="B43" s="183" t="str">
        <f>UPPER(LEFT(TRIM(Data!B43),1)) &amp; MID(TRIM(Data!B43),2,50)</f>
        <v>Kiti limfinio, kraujodaros audinių</v>
      </c>
      <c r="C43" s="184" t="str">
        <f>Data!C43</f>
        <v>C88, C96</v>
      </c>
      <c r="D43" s="205">
        <f>Data!DA43/D$2*100000</f>
        <v>0</v>
      </c>
      <c r="E43" s="205">
        <f>Data!DB43/E$2*100000</f>
        <v>0</v>
      </c>
      <c r="F43" s="205">
        <f>Data!DC43/F$2*100000</f>
        <v>0</v>
      </c>
      <c r="G43" s="205">
        <f>Data!DD43/G$2*100000</f>
        <v>0</v>
      </c>
      <c r="H43" s="205">
        <f>Data!DE43/H$2*100000</f>
        <v>0</v>
      </c>
      <c r="I43" s="205">
        <f>Data!DF43/I$2*100000</f>
        <v>0</v>
      </c>
      <c r="J43" s="205">
        <f>Data!DG43/J$2*100000</f>
        <v>0</v>
      </c>
      <c r="K43" s="205">
        <f>Data!DH43/K$2*100000</f>
        <v>0</v>
      </c>
      <c r="L43" s="205">
        <f>Data!DI43/L$2*100000</f>
        <v>0</v>
      </c>
      <c r="M43" s="205">
        <f>Data!DJ43/M$2*100000</f>
        <v>0</v>
      </c>
      <c r="N43" s="205">
        <f>Data!DK43/N$2*100000</f>
        <v>0</v>
      </c>
      <c r="O43" s="205">
        <f>Data!DL43/O$2*100000</f>
        <v>0</v>
      </c>
      <c r="P43" s="205">
        <f>Data!DM43/P$2*100000</f>
        <v>0</v>
      </c>
      <c r="Q43" s="205">
        <f>Data!DN43/Q$2*100000</f>
        <v>0</v>
      </c>
      <c r="R43" s="205">
        <f>Data!DO43/R$2*100000</f>
        <v>0</v>
      </c>
      <c r="S43" s="205">
        <f>Data!DP43/S$2*100000</f>
        <v>0</v>
      </c>
      <c r="T43" s="205">
        <f>Data!DQ43/T$2*100000</f>
        <v>0</v>
      </c>
      <c r="U43" s="205">
        <f>Data!DR43/U$2*100000</f>
        <v>0</v>
      </c>
      <c r="V43" s="205">
        <f>Data!BR43/V$2*100000</f>
        <v>0</v>
      </c>
      <c r="W43" s="188"/>
    </row>
    <row r="44" spans="1:23" ht="24" customHeight="1">
      <c r="A44" s="188"/>
      <c r="B44" s="192"/>
      <c r="C44" s="193"/>
      <c r="D44" s="194"/>
      <c r="E44" s="194"/>
      <c r="F44" s="194"/>
      <c r="G44" s="194"/>
      <c r="H44" s="194"/>
      <c r="I44" s="194"/>
      <c r="J44" s="194"/>
      <c r="K44" s="194"/>
      <c r="L44" s="194"/>
      <c r="M44" s="194"/>
      <c r="N44" s="194"/>
      <c r="O44" s="194"/>
      <c r="P44" s="194"/>
      <c r="Q44" s="194"/>
      <c r="R44" s="194"/>
      <c r="S44" s="194"/>
      <c r="T44" s="194"/>
      <c r="U44" s="194"/>
      <c r="V44" s="194"/>
      <c r="W44" s="188"/>
    </row>
    <row r="45" spans="1:23" ht="3" customHeight="1">
      <c r="A45" s="188"/>
      <c r="B45" s="188"/>
      <c r="C45" s="188"/>
      <c r="D45" s="188"/>
      <c r="E45" s="188"/>
      <c r="F45" s="188"/>
      <c r="G45" s="188"/>
      <c r="H45" s="188"/>
      <c r="I45" s="188"/>
      <c r="J45" s="188"/>
      <c r="K45" s="188"/>
      <c r="L45" s="188"/>
      <c r="M45" s="188"/>
      <c r="N45" s="188"/>
      <c r="O45" s="188"/>
      <c r="P45" s="188"/>
      <c r="Q45" s="188"/>
      <c r="R45" s="188"/>
      <c r="S45" s="188"/>
      <c r="T45" s="188"/>
      <c r="U45" s="188"/>
      <c r="V45" s="188"/>
      <c r="W45" s="188"/>
    </row>
    <row r="46" spans="1:23" ht="3" customHeight="1">
      <c r="A46" s="188"/>
      <c r="B46" s="188"/>
      <c r="C46" s="188"/>
      <c r="D46" s="188"/>
      <c r="E46" s="188"/>
      <c r="F46" s="188"/>
      <c r="G46" s="188"/>
      <c r="H46" s="188"/>
      <c r="I46" s="188"/>
      <c r="J46" s="188"/>
      <c r="K46" s="188"/>
      <c r="L46" s="188"/>
      <c r="M46" s="188"/>
      <c r="N46" s="188"/>
      <c r="O46" s="188"/>
      <c r="P46" s="188"/>
      <c r="Q46" s="188"/>
      <c r="R46" s="188"/>
      <c r="S46" s="188"/>
      <c r="T46" s="188"/>
      <c r="U46" s="188"/>
      <c r="V46" s="188"/>
      <c r="W46" s="188"/>
    </row>
    <row r="47" spans="1:23" ht="3" customHeight="1">
      <c r="A47" s="188"/>
      <c r="B47" s="188"/>
      <c r="C47" s="188"/>
      <c r="D47" s="188"/>
      <c r="E47" s="188"/>
      <c r="F47" s="188"/>
      <c r="G47" s="188"/>
      <c r="H47" s="188"/>
      <c r="I47" s="188"/>
      <c r="J47" s="188"/>
      <c r="K47" s="188"/>
      <c r="L47" s="188"/>
      <c r="M47" s="188"/>
      <c r="N47" s="188"/>
      <c r="O47" s="188"/>
      <c r="P47" s="188"/>
      <c r="Q47" s="188"/>
      <c r="R47" s="188"/>
      <c r="S47" s="188"/>
      <c r="T47" s="188"/>
      <c r="U47" s="188"/>
      <c r="V47" s="188"/>
      <c r="W47" s="188"/>
    </row>
    <row r="48" spans="1:23" ht="3" customHeight="1"/>
    <row r="49" ht="3" customHeight="1"/>
    <row r="50" ht="3" customHeight="1"/>
    <row r="51" ht="3" customHeight="1"/>
    <row r="52" ht="3" customHeight="1"/>
    <row r="53" ht="3" customHeight="1"/>
    <row r="54" ht="3" customHeight="1"/>
    <row r="55" ht="3" customHeight="1"/>
  </sheetData>
  <mergeCells count="5">
    <mergeCell ref="V5:V6"/>
    <mergeCell ref="B4:H4"/>
    <mergeCell ref="B5:B6"/>
    <mergeCell ref="C5:C6"/>
    <mergeCell ref="D5:U5"/>
  </mergeCells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tabColor theme="9" tint="0.39997558519241921"/>
  </sheetPr>
  <dimension ref="A1:H48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7" width="9.28515625" customWidth="1"/>
    <col min="8" max="8" width="3.28515625" customWidth="1"/>
    <col min="9" max="14" width="0.85546875" customWidth="1"/>
  </cols>
  <sheetData>
    <row r="1" spans="1:8" ht="15">
      <c r="A1" s="29"/>
      <c r="B1" s="519" t="s">
        <v>403</v>
      </c>
      <c r="C1" s="518"/>
      <c r="D1" s="518"/>
      <c r="E1" s="518"/>
      <c r="F1" s="518"/>
      <c r="G1" s="29"/>
      <c r="H1" s="30"/>
    </row>
    <row r="2" spans="1:8" ht="12.75" customHeight="1">
      <c r="A2" s="29"/>
      <c r="B2" s="516" t="str">
        <f>"Gyvi intervalo pabaigai, su metais po diagnozės nustatymo.  " &amp; GrafikaiSerg!A1 &amp; " metai. Vyrai."</f>
        <v>Gyvi intervalo pabaigai, su metais po diagnozės nustatymo.  2014 metai. Vyrai.</v>
      </c>
      <c r="C2" s="518"/>
      <c r="D2" s="518"/>
      <c r="E2" s="517"/>
      <c r="F2" s="518"/>
      <c r="G2" s="29"/>
      <c r="H2" s="30"/>
    </row>
    <row r="3" spans="1:8" ht="12.75" customHeight="1">
      <c r="A3" s="29"/>
      <c r="B3" s="63" t="s">
        <v>634</v>
      </c>
      <c r="C3" s="57"/>
      <c r="D3" s="29"/>
      <c r="E3" s="29"/>
      <c r="F3" s="29"/>
      <c r="G3" s="61"/>
      <c r="H3" s="30"/>
    </row>
    <row r="4" spans="1:8" ht="26.1" customHeight="1" thickBot="1">
      <c r="A4" s="29"/>
      <c r="B4" s="174" t="s">
        <v>243</v>
      </c>
      <c r="C4" s="174" t="s">
        <v>244</v>
      </c>
      <c r="D4" s="174" t="s">
        <v>438</v>
      </c>
      <c r="E4" s="174" t="s">
        <v>439</v>
      </c>
      <c r="F4" s="175" t="s">
        <v>440</v>
      </c>
      <c r="G4" s="176" t="s">
        <v>430</v>
      </c>
      <c r="H4" s="30"/>
    </row>
    <row r="5" spans="1:8" ht="12" customHeight="1" thickTop="1">
      <c r="A5" s="29"/>
      <c r="B5" s="146" t="str">
        <f>UPPER(LEFT(TRIM(Data!B5),1)) &amp; MID(TRIM(Data!B5),2,50)</f>
        <v>Piktybiniai navikai</v>
      </c>
      <c r="C5" s="146" t="str">
        <f>Data!C5</f>
        <v>C00-C96</v>
      </c>
      <c r="D5" s="165">
        <f>Data!BK5</f>
        <v>42791</v>
      </c>
      <c r="E5" s="165">
        <f>Data!BL5</f>
        <v>24346</v>
      </c>
      <c r="F5" s="165">
        <f>Data!BM5</f>
        <v>8566</v>
      </c>
      <c r="G5" s="165">
        <f>Data!BN5</f>
        <v>48737</v>
      </c>
      <c r="H5" s="30"/>
    </row>
    <row r="6" spans="1:8" ht="12" customHeight="1">
      <c r="A6" s="29"/>
      <c r="B6" s="141" t="str">
        <f>UPPER(LEFT(TRIM(Data!B6),1)) &amp; MID(TRIM(Data!B6),2,50)</f>
        <v>Lūpos</v>
      </c>
      <c r="C6" s="170" t="str">
        <f>Data!C6</f>
        <v>C00</v>
      </c>
      <c r="D6" s="171">
        <f>Data!BK6</f>
        <v>320</v>
      </c>
      <c r="E6" s="171">
        <f>Data!BL6</f>
        <v>259</v>
      </c>
      <c r="F6" s="171">
        <f>Data!BM6</f>
        <v>196</v>
      </c>
      <c r="G6" s="171">
        <f>Data!BN6</f>
        <v>335</v>
      </c>
      <c r="H6" s="30"/>
    </row>
    <row r="7" spans="1:8" ht="12" customHeight="1">
      <c r="A7" s="29"/>
      <c r="B7" s="146" t="str">
        <f>UPPER(LEFT(TRIM(Data!B7),1)) &amp; MID(TRIM(Data!B7),2,50)</f>
        <v>Burnos ertmės ir ryklės</v>
      </c>
      <c r="C7" s="146" t="str">
        <f>Data!C7</f>
        <v>C01-C14</v>
      </c>
      <c r="D7" s="165">
        <f>Data!BK7</f>
        <v>523</v>
      </c>
      <c r="E7" s="165">
        <f>Data!BL7</f>
        <v>301</v>
      </c>
      <c r="F7" s="165">
        <f>Data!BM7</f>
        <v>157</v>
      </c>
      <c r="G7" s="165">
        <f>Data!BN7</f>
        <v>651</v>
      </c>
      <c r="H7" s="30"/>
    </row>
    <row r="8" spans="1:8" ht="12" customHeight="1">
      <c r="A8" s="29"/>
      <c r="B8" s="141" t="str">
        <f>UPPER(LEFT(TRIM(Data!B8),1)) &amp; MID(TRIM(Data!B8),2,50)</f>
        <v>Stemplės</v>
      </c>
      <c r="C8" s="170" t="str">
        <f>Data!C8</f>
        <v>C15</v>
      </c>
      <c r="D8" s="171">
        <f>Data!BK8</f>
        <v>76</v>
      </c>
      <c r="E8" s="171">
        <f>Data!BL8</f>
        <v>39</v>
      </c>
      <c r="F8" s="171">
        <f>Data!BM8</f>
        <v>18</v>
      </c>
      <c r="G8" s="171">
        <f>Data!BN8</f>
        <v>138</v>
      </c>
      <c r="H8" s="30"/>
    </row>
    <row r="9" spans="1:8" ht="12" customHeight="1">
      <c r="A9" s="29"/>
      <c r="B9" s="146" t="str">
        <f>UPPER(LEFT(TRIM(Data!B9),1)) &amp; MID(TRIM(Data!B9),2,50)</f>
        <v>Skrandžio</v>
      </c>
      <c r="C9" s="146" t="str">
        <f>Data!C9</f>
        <v>C16</v>
      </c>
      <c r="D9" s="165">
        <f>Data!BK9</f>
        <v>1312</v>
      </c>
      <c r="E9" s="165">
        <f>Data!BL9</f>
        <v>854</v>
      </c>
      <c r="F9" s="165">
        <f>Data!BM9</f>
        <v>526</v>
      </c>
      <c r="G9" s="165">
        <f>Data!BN9</f>
        <v>1506</v>
      </c>
      <c r="H9" s="30"/>
    </row>
    <row r="10" spans="1:8" ht="12" customHeight="1">
      <c r="A10" s="29"/>
      <c r="B10" s="141" t="str">
        <f>UPPER(LEFT(TRIM(Data!B10),1)) &amp; MID(TRIM(Data!B10),2,50)</f>
        <v>Gaubtinės žarnos</v>
      </c>
      <c r="C10" s="170" t="str">
        <f>Data!C10</f>
        <v>C18</v>
      </c>
      <c r="D10" s="171">
        <f>Data!BK10</f>
        <v>1714</v>
      </c>
      <c r="E10" s="171">
        <f>Data!BL10</f>
        <v>1027</v>
      </c>
      <c r="F10" s="171">
        <f>Data!BM10</f>
        <v>529</v>
      </c>
      <c r="G10" s="171">
        <f>Data!BN10</f>
        <v>1913</v>
      </c>
      <c r="H10" s="30"/>
    </row>
    <row r="11" spans="1:8" ht="12" customHeight="1">
      <c r="A11" s="29"/>
      <c r="B11" s="146" t="str">
        <f>UPPER(LEFT(TRIM(Data!B11),1)) &amp; MID(TRIM(Data!B11),2,50)</f>
        <v>Tiesiosios žarnos, išangės</v>
      </c>
      <c r="C11" s="146" t="str">
        <f>Data!C11</f>
        <v>C19-C21</v>
      </c>
      <c r="D11" s="165">
        <f>Data!BK11</f>
        <v>1589</v>
      </c>
      <c r="E11" s="165">
        <f>Data!BL11</f>
        <v>979</v>
      </c>
      <c r="F11" s="165">
        <f>Data!BM11</f>
        <v>466</v>
      </c>
      <c r="G11" s="165">
        <f>Data!BN11</f>
        <v>1784</v>
      </c>
      <c r="H11" s="30"/>
    </row>
    <row r="12" spans="1:8" ht="12" customHeight="1">
      <c r="A12" s="29"/>
      <c r="B12" s="141" t="str">
        <f>UPPER(LEFT(TRIM(Data!B12),1)) &amp; MID(TRIM(Data!B12),2,50)</f>
        <v>Kepenų</v>
      </c>
      <c r="C12" s="170" t="str">
        <f>Data!C12</f>
        <v>C22</v>
      </c>
      <c r="D12" s="171">
        <f>Data!BK12</f>
        <v>82</v>
      </c>
      <c r="E12" s="171">
        <f>Data!BL12</f>
        <v>26</v>
      </c>
      <c r="F12" s="171">
        <f>Data!BM12</f>
        <v>12</v>
      </c>
      <c r="G12" s="171">
        <f>Data!BN12</f>
        <v>120</v>
      </c>
      <c r="H12" s="30"/>
    </row>
    <row r="13" spans="1:8" ht="12" customHeight="1">
      <c r="A13" s="29"/>
      <c r="B13" s="146" t="str">
        <f>UPPER(LEFT(TRIM(Data!B13),1)) &amp; MID(TRIM(Data!B13),2,50)</f>
        <v>Tulžies pūslės, ekstrahepatinių takų</v>
      </c>
      <c r="C13" s="146" t="str">
        <f>Data!C13</f>
        <v>C23, C24</v>
      </c>
      <c r="D13" s="165">
        <f>Data!BK13</f>
        <v>67</v>
      </c>
      <c r="E13" s="165">
        <f>Data!BL13</f>
        <v>39</v>
      </c>
      <c r="F13" s="165">
        <f>Data!BM13</f>
        <v>17</v>
      </c>
      <c r="G13" s="165">
        <f>Data!BN13</f>
        <v>88</v>
      </c>
      <c r="H13" s="30"/>
    </row>
    <row r="14" spans="1:8" ht="12" customHeight="1">
      <c r="A14" s="29"/>
      <c r="B14" s="141" t="str">
        <f>UPPER(LEFT(TRIM(Data!B14),1)) &amp; MID(TRIM(Data!B14),2,50)</f>
        <v>Kasos</v>
      </c>
      <c r="C14" s="170" t="str">
        <f>Data!C14</f>
        <v>C25</v>
      </c>
      <c r="D14" s="171">
        <f>Data!BK14</f>
        <v>120</v>
      </c>
      <c r="E14" s="171">
        <f>Data!BL14</f>
        <v>66</v>
      </c>
      <c r="F14" s="171">
        <f>Data!BM14</f>
        <v>40</v>
      </c>
      <c r="G14" s="171">
        <f>Data!BN14</f>
        <v>200</v>
      </c>
      <c r="H14" s="30"/>
    </row>
    <row r="15" spans="1:8" ht="12" customHeight="1">
      <c r="A15" s="29"/>
      <c r="B15" s="146" t="str">
        <f>UPPER(LEFT(TRIM(Data!B15),1)) &amp; MID(TRIM(Data!B15),2,50)</f>
        <v>Kitų virškinimo sistemos organų</v>
      </c>
      <c r="C15" s="146" t="str">
        <f>Data!C15</f>
        <v>C17, C26, C48</v>
      </c>
      <c r="D15" s="165">
        <f>Data!BK15</f>
        <v>77</v>
      </c>
      <c r="E15" s="165">
        <f>Data!BL15</f>
        <v>47</v>
      </c>
      <c r="F15" s="165">
        <f>Data!BM15</f>
        <v>19</v>
      </c>
      <c r="G15" s="165">
        <f>Data!BN15</f>
        <v>86</v>
      </c>
      <c r="H15" s="30"/>
    </row>
    <row r="16" spans="1:8" ht="12" customHeight="1">
      <c r="A16" s="29"/>
      <c r="B16" s="141" t="str">
        <f>UPPER(LEFT(TRIM(Data!B16),1)) &amp; MID(TRIM(Data!B16),2,50)</f>
        <v>Nosies ertmės, vid.ausies ir ančių</v>
      </c>
      <c r="C16" s="170" t="str">
        <f>Data!C16</f>
        <v>C30, C31</v>
      </c>
      <c r="D16" s="171">
        <f>Data!BK16</f>
        <v>61</v>
      </c>
      <c r="E16" s="171">
        <f>Data!BL16</f>
        <v>37</v>
      </c>
      <c r="F16" s="171">
        <f>Data!BM16</f>
        <v>19</v>
      </c>
      <c r="G16" s="171">
        <f>Data!BN16</f>
        <v>76</v>
      </c>
      <c r="H16" s="30"/>
    </row>
    <row r="17" spans="1:8" ht="12" customHeight="1">
      <c r="A17" s="29"/>
      <c r="B17" s="146" t="str">
        <f>UPPER(LEFT(TRIM(Data!B17),1)) &amp; MID(TRIM(Data!B17),2,50)</f>
        <v>Gerklų</v>
      </c>
      <c r="C17" s="146" t="str">
        <f>Data!C17</f>
        <v>C32</v>
      </c>
      <c r="D17" s="165">
        <f>Data!BK17</f>
        <v>860</v>
      </c>
      <c r="E17" s="165">
        <f>Data!BL17</f>
        <v>590</v>
      </c>
      <c r="F17" s="165">
        <f>Data!BM17</f>
        <v>325</v>
      </c>
      <c r="G17" s="165">
        <f>Data!BN17</f>
        <v>969</v>
      </c>
      <c r="H17" s="30"/>
    </row>
    <row r="18" spans="1:8" ht="12" customHeight="1">
      <c r="A18" s="29"/>
      <c r="B18" s="141" t="str">
        <f>UPPER(LEFT(TRIM(Data!B18),1)) &amp; MID(TRIM(Data!B18),2,50)</f>
        <v>Plaučių, trachėjos, bronchų</v>
      </c>
      <c r="C18" s="170" t="str">
        <f>Data!C18</f>
        <v>C33, C34</v>
      </c>
      <c r="D18" s="171">
        <f>Data!BK18</f>
        <v>922</v>
      </c>
      <c r="E18" s="171">
        <f>Data!BL18</f>
        <v>486</v>
      </c>
      <c r="F18" s="171">
        <f>Data!BM18</f>
        <v>256</v>
      </c>
      <c r="G18" s="171">
        <f>Data!BN18</f>
        <v>1275</v>
      </c>
      <c r="H18" s="30"/>
    </row>
    <row r="19" spans="1:8" ht="12" customHeight="1">
      <c r="A19" s="29"/>
      <c r="B19" s="146" t="str">
        <f>UPPER(LEFT(TRIM(Data!B19),1)) &amp; MID(TRIM(Data!B19),2,50)</f>
        <v>Kitų kvėpavimo sistemos organų</v>
      </c>
      <c r="C19" s="146" t="str">
        <f>Data!C19</f>
        <v>C37-C39</v>
      </c>
      <c r="D19" s="165">
        <f>Data!BK19</f>
        <v>35</v>
      </c>
      <c r="E19" s="165">
        <f>Data!BL19</f>
        <v>27</v>
      </c>
      <c r="F19" s="165">
        <f>Data!BM19</f>
        <v>19</v>
      </c>
      <c r="G19" s="165">
        <f>Data!BN19</f>
        <v>40</v>
      </c>
      <c r="H19" s="30"/>
    </row>
    <row r="20" spans="1:8" ht="12" customHeight="1">
      <c r="A20" s="29"/>
      <c r="B20" s="141" t="str">
        <f>UPPER(LEFT(TRIM(Data!B20),1)) &amp; MID(TRIM(Data!B20),2,50)</f>
        <v>Kaulų ir jungiamojo audinio</v>
      </c>
      <c r="C20" s="170" t="str">
        <f>Data!C20</f>
        <v>C40-C41, C45-C47, C49</v>
      </c>
      <c r="D20" s="171">
        <f>Data!BK20</f>
        <v>346</v>
      </c>
      <c r="E20" s="171">
        <f>Data!BL20</f>
        <v>234</v>
      </c>
      <c r="F20" s="171">
        <f>Data!BM20</f>
        <v>146</v>
      </c>
      <c r="G20" s="171">
        <f>Data!BN20</f>
        <v>392</v>
      </c>
      <c r="H20" s="30"/>
    </row>
    <row r="21" spans="1:8" ht="12" customHeight="1">
      <c r="A21" s="29"/>
      <c r="B21" s="146" t="str">
        <f>UPPER(LEFT(TRIM(Data!B21),1)) &amp; MID(TRIM(Data!B21),2,50)</f>
        <v>Odos melanoma</v>
      </c>
      <c r="C21" s="146" t="str">
        <f>Data!C21</f>
        <v>C43</v>
      </c>
      <c r="D21" s="165">
        <f>Data!BK21</f>
        <v>723</v>
      </c>
      <c r="E21" s="165">
        <f>Data!BL21</f>
        <v>430</v>
      </c>
      <c r="F21" s="165">
        <f>Data!BM21</f>
        <v>244</v>
      </c>
      <c r="G21" s="165">
        <f>Data!BN21</f>
        <v>796</v>
      </c>
      <c r="H21" s="30"/>
    </row>
    <row r="22" spans="1:8" ht="12" customHeight="1">
      <c r="A22" s="29"/>
      <c r="B22" s="141" t="str">
        <f>UPPER(LEFT(TRIM(Data!B22),1)) &amp; MID(TRIM(Data!B22),2,50)</f>
        <v>Kiti odos piktybiniai navikai</v>
      </c>
      <c r="C22" s="170" t="str">
        <f>Data!C22</f>
        <v>C44</v>
      </c>
      <c r="D22" s="171">
        <f>Data!BK22</f>
        <v>3167</v>
      </c>
      <c r="E22" s="171">
        <f>Data!BL22</f>
        <v>668</v>
      </c>
      <c r="F22" s="171">
        <f>Data!BM22</f>
        <v>399</v>
      </c>
      <c r="G22" s="171">
        <f>Data!BN22</f>
        <v>3820</v>
      </c>
      <c r="H22" s="30"/>
    </row>
    <row r="23" spans="1:8" ht="12" customHeight="1">
      <c r="A23" s="29"/>
      <c r="B23" s="146" t="str">
        <f>UPPER(LEFT(TRIM(Data!B23),1)) &amp; MID(TRIM(Data!B23),2,50)</f>
        <v>Krūties</v>
      </c>
      <c r="C23" s="146" t="str">
        <f>Data!C23</f>
        <v>C50</v>
      </c>
      <c r="D23" s="165">
        <f>Data!BK23</f>
        <v>73</v>
      </c>
      <c r="E23" s="165">
        <f>Data!BL23</f>
        <v>44</v>
      </c>
      <c r="F23" s="165">
        <f>Data!BM23</f>
        <v>20</v>
      </c>
      <c r="G23" s="165">
        <f>Data!BN23</f>
        <v>83</v>
      </c>
      <c r="H23" s="30"/>
    </row>
    <row r="24" spans="1:8" ht="12" customHeight="1">
      <c r="A24" s="29"/>
      <c r="B24" s="141" t="str">
        <f>UPPER(LEFT(TRIM(Data!B28),1)) &amp; MID(TRIM(Data!B28),2,50)</f>
        <v>Priešinės liaukos</v>
      </c>
      <c r="C24" s="170" t="str">
        <f>Data!C28</f>
        <v>C61</v>
      </c>
      <c r="D24" s="171">
        <f>Data!BK28</f>
        <v>22563</v>
      </c>
      <c r="E24" s="171">
        <f>Data!BL28</f>
        <v>12871</v>
      </c>
      <c r="F24" s="171">
        <f>Data!BM28</f>
        <v>2190</v>
      </c>
      <c r="G24" s="171">
        <f>Data!BN28</f>
        <v>25383</v>
      </c>
      <c r="H24" s="30"/>
    </row>
    <row r="25" spans="1:8" ht="12" customHeight="1">
      <c r="A25" s="29"/>
      <c r="B25" s="146" t="str">
        <f>UPPER(LEFT(TRIM(Data!B29),1)) &amp; MID(TRIM(Data!B29),2,50)</f>
        <v>Sėklidžių</v>
      </c>
      <c r="C25" s="146" t="str">
        <f>Data!C29</f>
        <v>C62</v>
      </c>
      <c r="D25" s="165">
        <f>Data!BK29</f>
        <v>540</v>
      </c>
      <c r="E25" s="165">
        <f>Data!BL29</f>
        <v>393</v>
      </c>
      <c r="F25" s="165">
        <f>Data!BM29</f>
        <v>248</v>
      </c>
      <c r="G25" s="165">
        <f>Data!BN29</f>
        <v>570</v>
      </c>
      <c r="H25" s="30"/>
    </row>
    <row r="26" spans="1:8" ht="12" customHeight="1">
      <c r="A26" s="29"/>
      <c r="B26" s="141" t="str">
        <f>UPPER(LEFT(TRIM(Data!B30),1)) &amp; MID(TRIM(Data!B30),2,50)</f>
        <v>Kitų lyties organų</v>
      </c>
      <c r="C26" s="170" t="s">
        <v>417</v>
      </c>
      <c r="D26" s="171">
        <f>Data!BK30</f>
        <v>169</v>
      </c>
      <c r="E26" s="171">
        <f>Data!BL30</f>
        <v>106</v>
      </c>
      <c r="F26" s="171">
        <f>Data!BM30</f>
        <v>60</v>
      </c>
      <c r="G26" s="171">
        <f>Data!BN30</f>
        <v>183</v>
      </c>
      <c r="H26" s="30"/>
    </row>
    <row r="27" spans="1:8" ht="12" customHeight="1">
      <c r="A27" s="29"/>
      <c r="B27" s="146" t="str">
        <f>UPPER(LEFT(TRIM(Data!B31),1)) &amp; MID(TRIM(Data!B31),2,50)</f>
        <v>Inkstų</v>
      </c>
      <c r="C27" s="146" t="str">
        <f>Data!C31</f>
        <v>C64</v>
      </c>
      <c r="D27" s="165">
        <f>Data!BK31</f>
        <v>2242</v>
      </c>
      <c r="E27" s="165">
        <f>Data!BL31</f>
        <v>1445</v>
      </c>
      <c r="F27" s="165">
        <f>Data!BM31</f>
        <v>717</v>
      </c>
      <c r="G27" s="165">
        <f>Data!BN31</f>
        <v>2486</v>
      </c>
      <c r="H27" s="30"/>
    </row>
    <row r="28" spans="1:8" ht="12" customHeight="1">
      <c r="A28" s="29"/>
      <c r="B28" s="141" t="str">
        <f>UPPER(LEFT(TRIM(Data!B32),1)) &amp; MID(TRIM(Data!B32),2,50)</f>
        <v>Šlapimo pūslės</v>
      </c>
      <c r="C28" s="170" t="str">
        <f>Data!C32</f>
        <v>C67</v>
      </c>
      <c r="D28" s="171">
        <f>Data!BK32</f>
        <v>1423</v>
      </c>
      <c r="E28" s="171">
        <f>Data!BL32</f>
        <v>958</v>
      </c>
      <c r="F28" s="171">
        <f>Data!BM32</f>
        <v>558</v>
      </c>
      <c r="G28" s="171">
        <f>Data!BN32</f>
        <v>1581</v>
      </c>
      <c r="H28" s="30"/>
    </row>
    <row r="29" spans="1:8" ht="12" customHeight="1">
      <c r="A29" s="29"/>
      <c r="B29" s="146" t="str">
        <f>UPPER(LEFT(TRIM(Data!B33),1)) &amp; MID(TRIM(Data!B33),2,50)</f>
        <v>Kitų šlapimą išskiriančių organų</v>
      </c>
      <c r="C29" s="146" t="str">
        <f>Data!C33</f>
        <v>C65, C66, C68</v>
      </c>
      <c r="D29" s="165">
        <f>Data!BK33</f>
        <v>68</v>
      </c>
      <c r="E29" s="165">
        <f>Data!BL33</f>
        <v>48</v>
      </c>
      <c r="F29" s="165">
        <f>Data!BM33</f>
        <v>30</v>
      </c>
      <c r="G29" s="165">
        <f>Data!BN33</f>
        <v>83</v>
      </c>
      <c r="H29" s="30"/>
    </row>
    <row r="30" spans="1:8" ht="12" customHeight="1">
      <c r="A30" s="29"/>
      <c r="B30" s="141" t="str">
        <f>UPPER(LEFT(TRIM(Data!B34),1)) &amp; MID(TRIM(Data!B34),2,50)</f>
        <v>Akių</v>
      </c>
      <c r="C30" s="170" t="str">
        <f>Data!C34</f>
        <v>C69</v>
      </c>
      <c r="D30" s="171">
        <f>Data!BK34</f>
        <v>89</v>
      </c>
      <c r="E30" s="171">
        <f>Data!BL34</f>
        <v>62</v>
      </c>
      <c r="F30" s="171">
        <f>Data!BM34</f>
        <v>39</v>
      </c>
      <c r="G30" s="171">
        <f>Data!BN34</f>
        <v>94</v>
      </c>
      <c r="H30" s="30"/>
    </row>
    <row r="31" spans="1:8" ht="12" customHeight="1">
      <c r="A31" s="29"/>
      <c r="B31" s="146" t="str">
        <f>UPPER(LEFT(TRIM(Data!B35),1)) &amp; MID(TRIM(Data!B35),2,50)</f>
        <v>Smegenų</v>
      </c>
      <c r="C31" s="146" t="str">
        <f>Data!C35</f>
        <v>C70-C72</v>
      </c>
      <c r="D31" s="165">
        <f>Data!BK35</f>
        <v>345</v>
      </c>
      <c r="E31" s="165">
        <f>Data!BL35</f>
        <v>228</v>
      </c>
      <c r="F31" s="165">
        <f>Data!BM35</f>
        <v>136</v>
      </c>
      <c r="G31" s="165">
        <f>Data!BN35</f>
        <v>426</v>
      </c>
      <c r="H31" s="30"/>
    </row>
    <row r="32" spans="1:8" ht="12" customHeight="1">
      <c r="A32" s="29"/>
      <c r="B32" s="141" t="str">
        <f>UPPER(LEFT(TRIM(Data!B36),1)) &amp; MID(TRIM(Data!B36),2,50)</f>
        <v>Skydliaukės</v>
      </c>
      <c r="C32" s="170" t="str">
        <f>Data!C36</f>
        <v>C73</v>
      </c>
      <c r="D32" s="171">
        <f>Data!BK36</f>
        <v>507</v>
      </c>
      <c r="E32" s="171">
        <f>Data!BL36</f>
        <v>322</v>
      </c>
      <c r="F32" s="171">
        <f>Data!BM36</f>
        <v>157</v>
      </c>
      <c r="G32" s="171">
        <f>Data!BN36</f>
        <v>555</v>
      </c>
      <c r="H32" s="30"/>
    </row>
    <row r="33" spans="1:8" ht="12" customHeight="1">
      <c r="A33" s="29"/>
      <c r="B33" s="146" t="str">
        <f>UPPER(LEFT(TRIM(Data!B37),1)) &amp; MID(TRIM(Data!B37),2,50)</f>
        <v>Kitų endokrininių liaukų</v>
      </c>
      <c r="C33" s="146" t="str">
        <f>Data!C37</f>
        <v>C74-C75</v>
      </c>
      <c r="D33" s="165">
        <f>Data!BK37</f>
        <v>35</v>
      </c>
      <c r="E33" s="165">
        <f>Data!BL37</f>
        <v>21</v>
      </c>
      <c r="F33" s="165">
        <f>Data!BM37</f>
        <v>11</v>
      </c>
      <c r="G33" s="165">
        <f>Data!BN37</f>
        <v>42</v>
      </c>
      <c r="H33" s="30"/>
    </row>
    <row r="34" spans="1:8" ht="12" customHeight="1">
      <c r="A34" s="29"/>
      <c r="B34" s="141" t="str">
        <f>UPPER(LEFT(TRIM(Data!B38),1)) &amp; MID(TRIM(Data!B38),2,50)</f>
        <v>Nepatikslintos lokalizacijos</v>
      </c>
      <c r="C34" s="170" t="str">
        <f>Data!C38</f>
        <v>C76-C80</v>
      </c>
      <c r="D34" s="171">
        <f>Data!BK38</f>
        <v>146</v>
      </c>
      <c r="E34" s="171">
        <f>Data!BL38</f>
        <v>81</v>
      </c>
      <c r="F34" s="171">
        <f>Data!BM38</f>
        <v>46</v>
      </c>
      <c r="G34" s="171">
        <f>Data!BN38</f>
        <v>169</v>
      </c>
      <c r="H34" s="30"/>
    </row>
    <row r="35" spans="1:8" ht="12" customHeight="1">
      <c r="A35" s="29"/>
      <c r="B35" s="146" t="str">
        <f>UPPER(LEFT(TRIM(Data!B39),1)) &amp; MID(TRIM(Data!B39),2,50)</f>
        <v>Hodžkino limfomos</v>
      </c>
      <c r="C35" s="146" t="str">
        <f>Data!C39</f>
        <v>C81</v>
      </c>
      <c r="D35" s="165">
        <f>Data!BK39</f>
        <v>495</v>
      </c>
      <c r="E35" s="165">
        <f>Data!BL39</f>
        <v>397</v>
      </c>
      <c r="F35" s="165">
        <f>Data!BM39</f>
        <v>287</v>
      </c>
      <c r="G35" s="165">
        <f>Data!BN39</f>
        <v>515</v>
      </c>
      <c r="H35" s="30"/>
    </row>
    <row r="36" spans="1:8" ht="12" customHeight="1">
      <c r="A36" s="29"/>
      <c r="B36" s="141" t="str">
        <f>UPPER(LEFT(TRIM(Data!B40),1)) &amp; MID(TRIM(Data!B40),2,50)</f>
        <v>Ne Hodžkino limfomos</v>
      </c>
      <c r="C36" s="170" t="str">
        <f>Data!C40</f>
        <v>C82-C85</v>
      </c>
      <c r="D36" s="171">
        <f>Data!BK40</f>
        <v>801</v>
      </c>
      <c r="E36" s="171">
        <f>Data!BL40</f>
        <v>482</v>
      </c>
      <c r="F36" s="171">
        <f>Data!BM40</f>
        <v>246</v>
      </c>
      <c r="G36" s="171">
        <f>Data!BN40</f>
        <v>897</v>
      </c>
      <c r="H36" s="30"/>
    </row>
    <row r="37" spans="1:8" ht="12" customHeight="1">
      <c r="A37" s="29"/>
      <c r="B37" s="146" t="str">
        <f>UPPER(LEFT(TRIM(Data!B41),1)) &amp; MID(TRIM(Data!B41),2,50)</f>
        <v>Mielominės ligos</v>
      </c>
      <c r="C37" s="146" t="str">
        <f>Data!C41</f>
        <v>C90</v>
      </c>
      <c r="D37" s="165">
        <f>Data!BK41</f>
        <v>219</v>
      </c>
      <c r="E37" s="165">
        <f>Data!BL41</f>
        <v>94</v>
      </c>
      <c r="F37" s="165">
        <f>Data!BM41</f>
        <v>29</v>
      </c>
      <c r="G37" s="165">
        <f>Data!BN41</f>
        <v>268</v>
      </c>
      <c r="H37" s="30"/>
    </row>
    <row r="38" spans="1:8" ht="12" customHeight="1">
      <c r="A38" s="29"/>
      <c r="B38" s="141" t="str">
        <f>UPPER(LEFT(TRIM(Data!B42),1)) &amp; MID(TRIM(Data!B42),2,50)</f>
        <v>Leukemijos</v>
      </c>
      <c r="C38" s="170" t="str">
        <f>Data!C42</f>
        <v>C91-C95</v>
      </c>
      <c r="D38" s="171">
        <f>Data!BK42</f>
        <v>1060</v>
      </c>
      <c r="E38" s="171">
        <f>Data!BL42</f>
        <v>673</v>
      </c>
      <c r="F38" s="171">
        <f>Data!BM42</f>
        <v>396</v>
      </c>
      <c r="G38" s="171">
        <f>Data!BN42</f>
        <v>1188</v>
      </c>
      <c r="H38" s="30"/>
    </row>
    <row r="39" spans="1:8" ht="12" customHeight="1">
      <c r="A39" s="29"/>
      <c r="B39" s="146" t="str">
        <f>UPPER(LEFT(TRIM(Data!B43),1)) &amp; MID(TRIM(Data!B43),2,50)</f>
        <v>Kiti limfinio, kraujodaros audinių</v>
      </c>
      <c r="C39" s="146" t="str">
        <f>Data!C43</f>
        <v>C88, C96</v>
      </c>
      <c r="D39" s="165">
        <f>Data!BK43</f>
        <v>22</v>
      </c>
      <c r="E39" s="165">
        <f>Data!BL43</f>
        <v>12</v>
      </c>
      <c r="F39" s="165">
        <f>Data!BM43</f>
        <v>8</v>
      </c>
      <c r="G39" s="165">
        <f>Data!BN43</f>
        <v>25</v>
      </c>
      <c r="H39" s="30"/>
    </row>
    <row r="40" spans="1:8" ht="22.5" customHeight="1">
      <c r="A40" s="29"/>
      <c r="B40" s="96"/>
      <c r="C40" s="113"/>
      <c r="D40" s="114"/>
      <c r="E40" s="114"/>
      <c r="F40" s="114"/>
      <c r="G40" s="114"/>
      <c r="H40" s="30"/>
    </row>
    <row r="41" spans="1:8" ht="11.25" customHeight="1">
      <c r="A41" s="29"/>
      <c r="B41" s="93" t="str">
        <f>UPPER(LEFT(TRIM(Data!B44),1)) &amp; MID(TRIM(Data!B44),2,50)</f>
        <v>Melanoma in situ</v>
      </c>
      <c r="C41" s="93" t="str">
        <f>Data!C44</f>
        <v>D03</v>
      </c>
      <c r="D41" s="110">
        <f>Data!BK44</f>
        <v>59</v>
      </c>
      <c r="E41" s="110">
        <f>Data!BL44</f>
        <v>17</v>
      </c>
      <c r="F41" s="110">
        <f>Data!BM44</f>
        <v>4</v>
      </c>
      <c r="G41" s="110">
        <f>Data!BN44</f>
        <v>69</v>
      </c>
      <c r="H41" s="30"/>
    </row>
    <row r="42" spans="1:8" ht="11.25" customHeight="1">
      <c r="A42" s="29"/>
      <c r="B42" s="95" t="str">
        <f>UPPER(LEFT(TRIM(Data!B45),1)) &amp; MID(TRIM(Data!B45),2,50)</f>
        <v>Krūties navikai in situ</v>
      </c>
      <c r="C42" s="111" t="str">
        <f>Data!C45</f>
        <v>D05</v>
      </c>
      <c r="D42" s="112">
        <f>Data!BK45</f>
        <v>5</v>
      </c>
      <c r="E42" s="112">
        <f>Data!BL45</f>
        <v>4</v>
      </c>
      <c r="F42" s="112">
        <f>Data!BM45</f>
        <v>2</v>
      </c>
      <c r="G42" s="112">
        <f>Data!BN45</f>
        <v>5</v>
      </c>
      <c r="H42" s="30"/>
    </row>
    <row r="43" spans="1:8" ht="11.25" customHeight="1">
      <c r="A43" s="29"/>
      <c r="B43" s="99" t="str">
        <f>UPPER(LEFT(TRIM(Data!B47),1)) &amp; MID(TRIM(Data!B47),2,50)</f>
        <v>Šlapimo pūslės in situ</v>
      </c>
      <c r="C43" s="99" t="str">
        <f>Data!C47</f>
        <v>D09.0</v>
      </c>
      <c r="D43" s="118">
        <f>Data!BK47</f>
        <v>497</v>
      </c>
      <c r="E43" s="118">
        <f>Data!BL47</f>
        <v>233</v>
      </c>
      <c r="F43" s="118">
        <f>Data!BM47</f>
        <v>61</v>
      </c>
      <c r="G43" s="118">
        <f>Data!BN47</f>
        <v>575</v>
      </c>
      <c r="H43" s="30"/>
    </row>
    <row r="44" spans="1:8" ht="11.25" customHeight="1">
      <c r="A44" s="29"/>
      <c r="B44" s="95" t="str">
        <f>UPPER(LEFT(TRIM(Data!B48),1)) &amp; MID(TRIM(Data!B48),2,50)</f>
        <v>Nervų sistemos gerybiniai navikai</v>
      </c>
      <c r="C44" s="111" t="str">
        <f>Data!C48</f>
        <v>D32, D33</v>
      </c>
      <c r="D44" s="112">
        <f>Data!BK48</f>
        <v>63</v>
      </c>
      <c r="E44" s="112">
        <f>Data!BL48</f>
        <v>14</v>
      </c>
      <c r="F44" s="112">
        <f>Data!BM48</f>
        <v>6</v>
      </c>
      <c r="G44" s="112">
        <f>Data!BN48</f>
        <v>95</v>
      </c>
      <c r="H44" s="30"/>
    </row>
    <row r="45" spans="1:8" ht="11.25" customHeight="1">
      <c r="A45" s="29"/>
      <c r="B45" s="99" t="str">
        <f>UPPER(LEFT(TRIM(Data!B50),1)) &amp; MID(TRIM(Data!B50),2,50)</f>
        <v>Kiti nervų sistemos</v>
      </c>
      <c r="C45" s="99" t="str">
        <f>Data!C50</f>
        <v>D42, D43</v>
      </c>
      <c r="D45" s="118">
        <f>Data!BK50</f>
        <v>40</v>
      </c>
      <c r="E45" s="118">
        <f>Data!BL50</f>
        <v>20</v>
      </c>
      <c r="F45" s="118">
        <f>Data!BM50</f>
        <v>8</v>
      </c>
      <c r="G45" s="118">
        <f>Data!BN50</f>
        <v>52</v>
      </c>
      <c r="H45" s="30"/>
    </row>
    <row r="46" spans="1:8" ht="11.25" customHeight="1">
      <c r="A46" s="29"/>
      <c r="B46" s="95" t="str">
        <f>UPPER(LEFT(TRIM(Data!B51),1)) &amp; MID(TRIM(Data!B51),2,50)</f>
        <v>Limfinio ir kraujodaros audinių</v>
      </c>
      <c r="C46" s="111" t="str">
        <f>Data!C51</f>
        <v>D45-D47</v>
      </c>
      <c r="D46" s="112">
        <f>Data!BK51</f>
        <v>571</v>
      </c>
      <c r="E46" s="112">
        <f>Data!BL51</f>
        <v>229</v>
      </c>
      <c r="F46" s="112">
        <f>Data!BM51</f>
        <v>33</v>
      </c>
      <c r="G46" s="112">
        <f>Data!BN51</f>
        <v>673</v>
      </c>
      <c r="H46" s="30"/>
    </row>
    <row r="47" spans="1:8">
      <c r="A47" s="30"/>
      <c r="B47" s="30"/>
      <c r="C47" s="30"/>
      <c r="D47" s="30"/>
      <c r="E47" s="30"/>
      <c r="F47" s="30"/>
      <c r="G47" s="30"/>
      <c r="H47" s="30"/>
    </row>
    <row r="48" spans="1:8">
      <c r="A48" s="30"/>
      <c r="B48" s="30"/>
      <c r="C48" s="30"/>
      <c r="D48" s="30"/>
      <c r="E48" s="30"/>
      <c r="F48" s="30"/>
      <c r="G48" s="30"/>
      <c r="H48" s="30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tabColor theme="9" tint="0.39997558519241921"/>
  </sheetPr>
  <dimension ref="A1:H52"/>
  <sheetViews>
    <sheetView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7" width="9.28515625" customWidth="1"/>
    <col min="8" max="8" width="3.28515625" customWidth="1"/>
    <col min="9" max="12" width="0.85546875" customWidth="1"/>
  </cols>
  <sheetData>
    <row r="1" spans="1:8" ht="15">
      <c r="A1" s="64"/>
      <c r="B1" s="507" t="s">
        <v>403</v>
      </c>
      <c r="C1" s="520"/>
      <c r="D1" s="520"/>
      <c r="E1" s="520"/>
      <c r="F1" s="520"/>
      <c r="G1" s="64"/>
      <c r="H1" s="66"/>
    </row>
    <row r="2" spans="1:8" ht="12.75" customHeight="1">
      <c r="A2" s="64"/>
      <c r="B2" s="508" t="str">
        <f>"Gyvi intervalo pabaigai, su metais po diagnozės nustatymo.  " &amp; GrafikaiSerg!A1 &amp; " metai. Moterys."</f>
        <v>Gyvi intervalo pabaigai, su metais po diagnozės nustatymo.  2014 metai. Moterys.</v>
      </c>
      <c r="C2" s="508"/>
      <c r="D2" s="520"/>
      <c r="E2" s="510"/>
      <c r="F2" s="520"/>
      <c r="G2" s="64"/>
      <c r="H2" s="66"/>
    </row>
    <row r="3" spans="1:8" ht="12.75" customHeight="1">
      <c r="A3" s="64"/>
      <c r="B3" s="68" t="s">
        <v>635</v>
      </c>
      <c r="C3" s="67"/>
      <c r="D3" s="64"/>
      <c r="E3" s="64"/>
      <c r="F3" s="64"/>
      <c r="G3" s="69"/>
      <c r="H3" s="66"/>
    </row>
    <row r="4" spans="1:8" ht="26.1" customHeight="1" thickBot="1">
      <c r="A4" s="64"/>
      <c r="B4" s="174" t="s">
        <v>243</v>
      </c>
      <c r="C4" s="174" t="s">
        <v>244</v>
      </c>
      <c r="D4" s="174" t="s">
        <v>438</v>
      </c>
      <c r="E4" s="174" t="s">
        <v>439</v>
      </c>
      <c r="F4" s="175" t="s">
        <v>440</v>
      </c>
      <c r="G4" s="176" t="s">
        <v>430</v>
      </c>
      <c r="H4" s="66"/>
    </row>
    <row r="5" spans="1:8" ht="12" customHeight="1" thickTop="1">
      <c r="A5" s="64"/>
      <c r="B5" s="146" t="str">
        <f>UPPER(LEFT(TRIM(Data!B5),1)) &amp; MID(TRIM(Data!B5),2,50)</f>
        <v>Piktybiniai navikai</v>
      </c>
      <c r="C5" s="146" t="str">
        <f>Data!C5</f>
        <v>C00-C96</v>
      </c>
      <c r="D5" s="165">
        <f>Data!DX5</f>
        <v>52610</v>
      </c>
      <c r="E5" s="165">
        <f>Data!DY5</f>
        <v>33392</v>
      </c>
      <c r="F5" s="165">
        <f>Data!DZ5</f>
        <v>19828</v>
      </c>
      <c r="G5" s="165">
        <f>Data!EA5</f>
        <v>58249</v>
      </c>
      <c r="H5" s="66"/>
    </row>
    <row r="6" spans="1:8" ht="12" customHeight="1">
      <c r="A6" s="64"/>
      <c r="B6" s="141" t="str">
        <f>UPPER(LEFT(TRIM(Data!B6),1)) &amp; MID(TRIM(Data!B6),2,50)</f>
        <v>Lūpos</v>
      </c>
      <c r="C6" s="170" t="str">
        <f>Data!C6</f>
        <v>C00</v>
      </c>
      <c r="D6" s="171">
        <f>Data!DX6</f>
        <v>117</v>
      </c>
      <c r="E6" s="171">
        <f>Data!DY6</f>
        <v>89</v>
      </c>
      <c r="F6" s="171">
        <f>Data!DZ6</f>
        <v>59</v>
      </c>
      <c r="G6" s="171">
        <f>Data!EA6</f>
        <v>122</v>
      </c>
      <c r="H6" s="66"/>
    </row>
    <row r="7" spans="1:8" ht="12" customHeight="1">
      <c r="A7" s="64"/>
      <c r="B7" s="146" t="str">
        <f>UPPER(LEFT(TRIM(Data!B7),1)) &amp; MID(TRIM(Data!B7),2,50)</f>
        <v>Burnos ertmės ir ryklės</v>
      </c>
      <c r="C7" s="146" t="str">
        <f>Data!C7</f>
        <v>C01-C14</v>
      </c>
      <c r="D7" s="165">
        <f>Data!DX7</f>
        <v>299</v>
      </c>
      <c r="E7" s="165">
        <f>Data!DY7</f>
        <v>199</v>
      </c>
      <c r="F7" s="165">
        <f>Data!DZ7</f>
        <v>126</v>
      </c>
      <c r="G7" s="165">
        <f>Data!EA7</f>
        <v>347</v>
      </c>
      <c r="H7" s="66"/>
    </row>
    <row r="8" spans="1:8" ht="12" customHeight="1">
      <c r="A8" s="64"/>
      <c r="B8" s="141" t="str">
        <f>UPPER(LEFT(TRIM(Data!B8),1)) &amp; MID(TRIM(Data!B8),2,50)</f>
        <v>Stemplės</v>
      </c>
      <c r="C8" s="170" t="str">
        <f>Data!C8</f>
        <v>C15</v>
      </c>
      <c r="D8" s="171">
        <f>Data!DX8</f>
        <v>31</v>
      </c>
      <c r="E8" s="171">
        <f>Data!DY8</f>
        <v>23</v>
      </c>
      <c r="F8" s="171">
        <f>Data!DZ8</f>
        <v>11</v>
      </c>
      <c r="G8" s="171">
        <f>Data!EA8</f>
        <v>41</v>
      </c>
      <c r="H8" s="66"/>
    </row>
    <row r="9" spans="1:8" ht="12" customHeight="1">
      <c r="A9" s="64"/>
      <c r="B9" s="146" t="str">
        <f>UPPER(LEFT(TRIM(Data!B9),1)) &amp; MID(TRIM(Data!B9),2,50)</f>
        <v>Skrandžio</v>
      </c>
      <c r="C9" s="146" t="str">
        <f>Data!C9</f>
        <v>C16</v>
      </c>
      <c r="D9" s="165">
        <f>Data!DX9</f>
        <v>1258</v>
      </c>
      <c r="E9" s="165">
        <f>Data!DY9</f>
        <v>878</v>
      </c>
      <c r="F9" s="165">
        <f>Data!DZ9</f>
        <v>566</v>
      </c>
      <c r="G9" s="165">
        <f>Data!EA9</f>
        <v>1403</v>
      </c>
      <c r="H9" s="66"/>
    </row>
    <row r="10" spans="1:8" ht="12" customHeight="1">
      <c r="A10" s="64"/>
      <c r="B10" s="141" t="str">
        <f>UPPER(LEFT(TRIM(Data!B10),1)) &amp; MID(TRIM(Data!B10),2,50)</f>
        <v>Gaubtinės žarnos</v>
      </c>
      <c r="C10" s="170" t="str">
        <f>Data!C10</f>
        <v>C18</v>
      </c>
      <c r="D10" s="171">
        <f>Data!DX10</f>
        <v>2396</v>
      </c>
      <c r="E10" s="171">
        <f>Data!DY10</f>
        <v>1488</v>
      </c>
      <c r="F10" s="171">
        <f>Data!DZ10</f>
        <v>880</v>
      </c>
      <c r="G10" s="171">
        <f>Data!EA10</f>
        <v>2659</v>
      </c>
      <c r="H10" s="66"/>
    </row>
    <row r="11" spans="1:8" ht="12" customHeight="1">
      <c r="A11" s="64"/>
      <c r="B11" s="146" t="str">
        <f>UPPER(LEFT(TRIM(Data!B11),1)) &amp; MID(TRIM(Data!B11),2,50)</f>
        <v>Tiesiosios žarnos, išangės</v>
      </c>
      <c r="C11" s="146" t="str">
        <f>Data!C11</f>
        <v>C19-C21</v>
      </c>
      <c r="D11" s="165">
        <f>Data!DX11</f>
        <v>1859</v>
      </c>
      <c r="E11" s="165">
        <f>Data!DY11</f>
        <v>1196</v>
      </c>
      <c r="F11" s="165">
        <f>Data!DZ11</f>
        <v>666</v>
      </c>
      <c r="G11" s="165">
        <f>Data!EA11</f>
        <v>2068</v>
      </c>
      <c r="H11" s="66"/>
    </row>
    <row r="12" spans="1:8" ht="12" customHeight="1">
      <c r="A12" s="64"/>
      <c r="B12" s="141" t="str">
        <f>UPPER(LEFT(TRIM(Data!B12),1)) &amp; MID(TRIM(Data!B12),2,50)</f>
        <v>Kepenų</v>
      </c>
      <c r="C12" s="170" t="str">
        <f>Data!C12</f>
        <v>C22</v>
      </c>
      <c r="D12" s="171">
        <f>Data!DX12</f>
        <v>66</v>
      </c>
      <c r="E12" s="171">
        <f>Data!DY12</f>
        <v>37</v>
      </c>
      <c r="F12" s="171">
        <f>Data!DZ12</f>
        <v>26</v>
      </c>
      <c r="G12" s="171">
        <f>Data!EA12</f>
        <v>83</v>
      </c>
      <c r="H12" s="66"/>
    </row>
    <row r="13" spans="1:8" ht="12" customHeight="1">
      <c r="A13" s="64"/>
      <c r="B13" s="146" t="str">
        <f>UPPER(LEFT(TRIM(Data!B13),1)) &amp; MID(TRIM(Data!B13),2,50)</f>
        <v>Tulžies pūslės, ekstrahepatinių takų</v>
      </c>
      <c r="C13" s="146" t="str">
        <f>Data!C13</f>
        <v>C23, C24</v>
      </c>
      <c r="D13" s="165">
        <f>Data!DX13</f>
        <v>99</v>
      </c>
      <c r="E13" s="165">
        <f>Data!DY13</f>
        <v>60</v>
      </c>
      <c r="F13" s="165">
        <f>Data!DZ13</f>
        <v>32</v>
      </c>
      <c r="G13" s="165">
        <f>Data!EA13</f>
        <v>132</v>
      </c>
      <c r="H13" s="66"/>
    </row>
    <row r="14" spans="1:8" ht="12" customHeight="1">
      <c r="A14" s="64"/>
      <c r="B14" s="141" t="str">
        <f>UPPER(LEFT(TRIM(Data!B14),1)) &amp; MID(TRIM(Data!B14),2,50)</f>
        <v>Kasos</v>
      </c>
      <c r="C14" s="170" t="str">
        <f>Data!C14</f>
        <v>C25</v>
      </c>
      <c r="D14" s="171">
        <f>Data!DX14</f>
        <v>159</v>
      </c>
      <c r="E14" s="171">
        <f>Data!DY14</f>
        <v>80</v>
      </c>
      <c r="F14" s="171">
        <f>Data!DZ14</f>
        <v>40</v>
      </c>
      <c r="G14" s="171">
        <f>Data!EA14</f>
        <v>238</v>
      </c>
      <c r="H14" s="66"/>
    </row>
    <row r="15" spans="1:8" ht="12" customHeight="1">
      <c r="A15" s="64"/>
      <c r="B15" s="146" t="str">
        <f>UPPER(LEFT(TRIM(Data!B15),1)) &amp; MID(TRIM(Data!B15),2,50)</f>
        <v>Kitų virškinimo sistemos organų</v>
      </c>
      <c r="C15" s="146" t="str">
        <f>Data!C15</f>
        <v>C17, C26, C48</v>
      </c>
      <c r="D15" s="165">
        <f>Data!DX15</f>
        <v>141</v>
      </c>
      <c r="E15" s="165">
        <f>Data!DY15</f>
        <v>88</v>
      </c>
      <c r="F15" s="165">
        <f>Data!DZ15</f>
        <v>49</v>
      </c>
      <c r="G15" s="165">
        <f>Data!EA15</f>
        <v>164</v>
      </c>
      <c r="H15" s="66"/>
    </row>
    <row r="16" spans="1:8" ht="12" customHeight="1">
      <c r="A16" s="64"/>
      <c r="B16" s="141" t="str">
        <f>UPPER(LEFT(TRIM(Data!B16),1)) &amp; MID(TRIM(Data!B16),2,50)</f>
        <v>Nosies ertmės, vid.ausies ir ančių</v>
      </c>
      <c r="C16" s="170" t="str">
        <f>Data!C16</f>
        <v>C30, C31</v>
      </c>
      <c r="D16" s="171">
        <f>Data!DX16</f>
        <v>61</v>
      </c>
      <c r="E16" s="171">
        <f>Data!DY16</f>
        <v>37</v>
      </c>
      <c r="F16" s="171">
        <f>Data!DZ16</f>
        <v>20</v>
      </c>
      <c r="G16" s="171">
        <f>Data!EA16</f>
        <v>67</v>
      </c>
      <c r="H16" s="66"/>
    </row>
    <row r="17" spans="1:8" ht="12" customHeight="1">
      <c r="A17" s="64"/>
      <c r="B17" s="146" t="str">
        <f>UPPER(LEFT(TRIM(Data!B17),1)) &amp; MID(TRIM(Data!B17),2,50)</f>
        <v>Gerklų</v>
      </c>
      <c r="C17" s="146" t="str">
        <f>Data!C17</f>
        <v>C32</v>
      </c>
      <c r="D17" s="165">
        <f>Data!DX17</f>
        <v>64</v>
      </c>
      <c r="E17" s="165">
        <f>Data!DY17</f>
        <v>46</v>
      </c>
      <c r="F17" s="165">
        <f>Data!DZ17</f>
        <v>28</v>
      </c>
      <c r="G17" s="165">
        <f>Data!EA17</f>
        <v>73</v>
      </c>
      <c r="H17" s="66"/>
    </row>
    <row r="18" spans="1:8" ht="12" customHeight="1">
      <c r="A18" s="64"/>
      <c r="B18" s="141" t="str">
        <f>UPPER(LEFT(TRIM(Data!B18),1)) &amp; MID(TRIM(Data!B18),2,50)</f>
        <v>Plaučių, trachėjos, bronchų</v>
      </c>
      <c r="C18" s="170" t="str">
        <f>Data!C18</f>
        <v>C33, C34</v>
      </c>
      <c r="D18" s="171">
        <f>Data!DX18</f>
        <v>390</v>
      </c>
      <c r="E18" s="171">
        <f>Data!DY18</f>
        <v>213</v>
      </c>
      <c r="F18" s="171">
        <f>Data!DZ18</f>
        <v>119</v>
      </c>
      <c r="G18" s="171">
        <f>Data!EA18</f>
        <v>467</v>
      </c>
      <c r="H18" s="66"/>
    </row>
    <row r="19" spans="1:8" ht="12" customHeight="1">
      <c r="A19" s="64"/>
      <c r="B19" s="146" t="str">
        <f>UPPER(LEFT(TRIM(Data!B19),1)) &amp; MID(TRIM(Data!B19),2,50)</f>
        <v>Kitų kvėpavimo sistemos organų</v>
      </c>
      <c r="C19" s="146" t="str">
        <f>Data!C19</f>
        <v>C37-C39</v>
      </c>
      <c r="D19" s="165">
        <f>Data!DX19</f>
        <v>30</v>
      </c>
      <c r="E19" s="165">
        <f>Data!DY19</f>
        <v>25</v>
      </c>
      <c r="F19" s="165">
        <f>Data!DZ19</f>
        <v>16</v>
      </c>
      <c r="G19" s="165">
        <f>Data!EA19</f>
        <v>31</v>
      </c>
      <c r="H19" s="66"/>
    </row>
    <row r="20" spans="1:8" ht="12" customHeight="1">
      <c r="A20" s="64"/>
      <c r="B20" s="141" t="str">
        <f>UPPER(LEFT(TRIM(Data!B20),1)) &amp; MID(TRIM(Data!B20),2,50)</f>
        <v>Kaulų ir jungiamojo audinio</v>
      </c>
      <c r="C20" s="170" t="str">
        <f>Data!C20</f>
        <v>C40-C41, C45-C47, C49</v>
      </c>
      <c r="D20" s="171">
        <f>Data!DX20</f>
        <v>464</v>
      </c>
      <c r="E20" s="171">
        <f>Data!DY20</f>
        <v>349</v>
      </c>
      <c r="F20" s="171">
        <f>Data!DZ20</f>
        <v>222</v>
      </c>
      <c r="G20" s="171">
        <f>Data!EA20</f>
        <v>504</v>
      </c>
      <c r="H20" s="66"/>
    </row>
    <row r="21" spans="1:8" ht="12" customHeight="1">
      <c r="A21" s="64"/>
      <c r="B21" s="146" t="str">
        <f>UPPER(LEFT(TRIM(Data!B21),1)) &amp; MID(TRIM(Data!B21),2,50)</f>
        <v>Odos melanoma</v>
      </c>
      <c r="C21" s="146" t="str">
        <f>Data!C21</f>
        <v>C43</v>
      </c>
      <c r="D21" s="165">
        <f>Data!DX21</f>
        <v>1764</v>
      </c>
      <c r="E21" s="165">
        <f>Data!DY21</f>
        <v>1189</v>
      </c>
      <c r="F21" s="165">
        <f>Data!DZ21</f>
        <v>719</v>
      </c>
      <c r="G21" s="165">
        <f>Data!EA21</f>
        <v>1919</v>
      </c>
      <c r="H21" s="66"/>
    </row>
    <row r="22" spans="1:8" ht="12" customHeight="1">
      <c r="A22" s="64"/>
      <c r="B22" s="141" t="str">
        <f>UPPER(LEFT(TRIM(Data!B22),1)) &amp; MID(TRIM(Data!B22),2,50)</f>
        <v>Kiti odos piktybiniai navikai</v>
      </c>
      <c r="C22" s="170" t="str">
        <f>Data!C22</f>
        <v>C44</v>
      </c>
      <c r="D22" s="171">
        <f>Data!DX22</f>
        <v>6028</v>
      </c>
      <c r="E22" s="171">
        <f>Data!DY22</f>
        <v>1274</v>
      </c>
      <c r="F22" s="171">
        <f>Data!DZ22</f>
        <v>783</v>
      </c>
      <c r="G22" s="171">
        <f>Data!EA22</f>
        <v>7220</v>
      </c>
      <c r="H22" s="66"/>
    </row>
    <row r="23" spans="1:8" ht="12" customHeight="1">
      <c r="A23" s="64"/>
      <c r="B23" s="146" t="str">
        <f>UPPER(LEFT(TRIM(Data!B23),1)) &amp; MID(TRIM(Data!B23),2,50)</f>
        <v>Krūties</v>
      </c>
      <c r="C23" s="146" t="str">
        <f>Data!C23</f>
        <v>C50</v>
      </c>
      <c r="D23" s="165">
        <f>Data!DX23</f>
        <v>13364</v>
      </c>
      <c r="E23" s="165">
        <f>Data!DY23</f>
        <v>9089</v>
      </c>
      <c r="F23" s="165">
        <f>Data!DZ23</f>
        <v>5239</v>
      </c>
      <c r="G23" s="165">
        <f>Data!EA23</f>
        <v>14702</v>
      </c>
      <c r="H23" s="66"/>
    </row>
    <row r="24" spans="1:8" ht="12" customHeight="1">
      <c r="A24" s="64"/>
      <c r="B24" s="141" t="str">
        <f>UPPER(LEFT(TRIM(Data!B24),1)) &amp; MID(TRIM(Data!B24),2,50)</f>
        <v>Vulvos</v>
      </c>
      <c r="C24" s="170" t="str">
        <f>Data!C24</f>
        <v>C51</v>
      </c>
      <c r="D24" s="171">
        <f>Data!DX24</f>
        <v>275</v>
      </c>
      <c r="E24" s="171">
        <f>Data!DY24</f>
        <v>174</v>
      </c>
      <c r="F24" s="171">
        <f>Data!DZ24</f>
        <v>94</v>
      </c>
      <c r="G24" s="171">
        <f>Data!EA24</f>
        <v>300</v>
      </c>
      <c r="H24" s="66"/>
    </row>
    <row r="25" spans="1:8" ht="12" customHeight="1">
      <c r="A25" s="64"/>
      <c r="B25" s="146" t="str">
        <f>UPPER(LEFT(TRIM(Data!B25),1)) &amp; MID(TRIM(Data!B25),2,50)</f>
        <v>Gimdos kaklelio</v>
      </c>
      <c r="C25" s="146" t="str">
        <f>Data!C25</f>
        <v>C53</v>
      </c>
      <c r="D25" s="165">
        <f>Data!DX25</f>
        <v>4627</v>
      </c>
      <c r="E25" s="165">
        <f>Data!DY25</f>
        <v>3549</v>
      </c>
      <c r="F25" s="165">
        <f>Data!DZ25</f>
        <v>2268</v>
      </c>
      <c r="G25" s="165">
        <f>Data!EA25</f>
        <v>4906</v>
      </c>
      <c r="H25" s="66"/>
    </row>
    <row r="26" spans="1:8" ht="12" customHeight="1">
      <c r="A26" s="64"/>
      <c r="B26" s="141" t="str">
        <f>UPPER(LEFT(TRIM(Data!B26),1)) &amp; MID(TRIM(Data!B26),2,50)</f>
        <v>Gimdos kūno</v>
      </c>
      <c r="C26" s="170" t="str">
        <f>Data!C26</f>
        <v>C54, C55</v>
      </c>
      <c r="D26" s="171">
        <f>Data!DX26</f>
        <v>6201</v>
      </c>
      <c r="E26" s="171">
        <f>Data!DY26</f>
        <v>4393</v>
      </c>
      <c r="F26" s="171">
        <f>Data!DZ26</f>
        <v>2766</v>
      </c>
      <c r="G26" s="171">
        <f>Data!EA26</f>
        <v>6690</v>
      </c>
      <c r="H26" s="66"/>
    </row>
    <row r="27" spans="1:8" ht="12" customHeight="1">
      <c r="A27" s="64"/>
      <c r="B27" s="146" t="str">
        <f>UPPER(LEFT(TRIM(Data!B27),1)) &amp; MID(TRIM(Data!B27),2,50)</f>
        <v>Kiaušidžių</v>
      </c>
      <c r="C27" s="146" t="str">
        <f>Data!C27</f>
        <v>C56</v>
      </c>
      <c r="D27" s="165">
        <f>Data!DX27</f>
        <v>2252</v>
      </c>
      <c r="E27" s="165">
        <f>Data!DY27</f>
        <v>1576</v>
      </c>
      <c r="F27" s="165">
        <f>Data!DZ27</f>
        <v>1038</v>
      </c>
      <c r="G27" s="165">
        <f>Data!EA27</f>
        <v>2501</v>
      </c>
      <c r="H27" s="66"/>
    </row>
    <row r="28" spans="1:8" ht="12" customHeight="1">
      <c r="A28" s="64"/>
      <c r="B28" s="141" t="str">
        <f>UPPER(LEFT(TRIM(Data!B30),1)) &amp; MID(TRIM(Data!B30),2,50)</f>
        <v>Kitų lyties organų</v>
      </c>
      <c r="C28" s="170" t="s">
        <v>418</v>
      </c>
      <c r="D28" s="171">
        <f>Data!DX30</f>
        <v>168</v>
      </c>
      <c r="E28" s="171">
        <f>Data!DY30</f>
        <v>107</v>
      </c>
      <c r="F28" s="171">
        <f>Data!DZ30</f>
        <v>76</v>
      </c>
      <c r="G28" s="171">
        <f>Data!EA30</f>
        <v>187</v>
      </c>
      <c r="H28" s="66"/>
    </row>
    <row r="29" spans="1:8" ht="12" customHeight="1">
      <c r="A29" s="64"/>
      <c r="B29" s="146" t="str">
        <f>UPPER(LEFT(TRIM(Data!B31),1)) &amp; MID(TRIM(Data!B31),2,50)</f>
        <v>Inkstų</v>
      </c>
      <c r="C29" s="146" t="str">
        <f>Data!C31</f>
        <v>C64</v>
      </c>
      <c r="D29" s="165">
        <f>Data!DX31</f>
        <v>2195</v>
      </c>
      <c r="E29" s="165">
        <f>Data!DY31</f>
        <v>1487</v>
      </c>
      <c r="F29" s="165">
        <f>Data!DZ31</f>
        <v>795</v>
      </c>
      <c r="G29" s="165">
        <f>Data!EA31</f>
        <v>2367</v>
      </c>
      <c r="H29" s="66"/>
    </row>
    <row r="30" spans="1:8" ht="12" customHeight="1">
      <c r="A30" s="64"/>
      <c r="B30" s="141" t="str">
        <f>UPPER(LEFT(TRIM(Data!B32),1)) &amp; MID(TRIM(Data!B32),2,50)</f>
        <v>Šlapimo pūslės</v>
      </c>
      <c r="C30" s="170" t="str">
        <f>Data!C32</f>
        <v>C67</v>
      </c>
      <c r="D30" s="171">
        <f>Data!DX32</f>
        <v>543</v>
      </c>
      <c r="E30" s="171">
        <f>Data!DY32</f>
        <v>399</v>
      </c>
      <c r="F30" s="171">
        <f>Data!DZ32</f>
        <v>235</v>
      </c>
      <c r="G30" s="171">
        <f>Data!EA32</f>
        <v>578</v>
      </c>
      <c r="H30" s="66"/>
    </row>
    <row r="31" spans="1:8" ht="12" customHeight="1">
      <c r="A31" s="64"/>
      <c r="B31" s="146" t="str">
        <f>UPPER(LEFT(TRIM(Data!B33),1)) &amp; MID(TRIM(Data!B33),2,50)</f>
        <v>Kitų šlapimą išskiriančių organų</v>
      </c>
      <c r="C31" s="146" t="str">
        <f>Data!C33</f>
        <v>C65, C66, C68</v>
      </c>
      <c r="D31" s="165">
        <f>Data!DX33</f>
        <v>68</v>
      </c>
      <c r="E31" s="165">
        <f>Data!DY33</f>
        <v>41</v>
      </c>
      <c r="F31" s="165">
        <f>Data!DZ33</f>
        <v>28</v>
      </c>
      <c r="G31" s="165">
        <f>Data!EA33</f>
        <v>80</v>
      </c>
      <c r="H31" s="66"/>
    </row>
    <row r="32" spans="1:8" ht="12" customHeight="1">
      <c r="A32" s="64"/>
      <c r="B32" s="141" t="str">
        <f>UPPER(LEFT(TRIM(Data!B34),1)) &amp; MID(TRIM(Data!B34),2,50)</f>
        <v>Akių</v>
      </c>
      <c r="C32" s="170" t="str">
        <f>Data!C34</f>
        <v>C69</v>
      </c>
      <c r="D32" s="171">
        <f>Data!DX34</f>
        <v>154</v>
      </c>
      <c r="E32" s="171">
        <f>Data!DY34</f>
        <v>115</v>
      </c>
      <c r="F32" s="171">
        <f>Data!DZ34</f>
        <v>74</v>
      </c>
      <c r="G32" s="171">
        <f>Data!EA34</f>
        <v>172</v>
      </c>
      <c r="H32" s="66"/>
    </row>
    <row r="33" spans="1:8" ht="12" customHeight="1">
      <c r="A33" s="64"/>
      <c r="B33" s="146" t="str">
        <f>UPPER(LEFT(TRIM(Data!B35),1)) &amp; MID(TRIM(Data!B35),2,50)</f>
        <v>Smegenų</v>
      </c>
      <c r="C33" s="146" t="str">
        <f>Data!C35</f>
        <v>C70-C72</v>
      </c>
      <c r="D33" s="165">
        <f>Data!DX35</f>
        <v>380</v>
      </c>
      <c r="E33" s="165">
        <f>Data!DY35</f>
        <v>241</v>
      </c>
      <c r="F33" s="165">
        <f>Data!DZ35</f>
        <v>146</v>
      </c>
      <c r="G33" s="165">
        <f>Data!EA35</f>
        <v>450</v>
      </c>
      <c r="H33" s="66"/>
    </row>
    <row r="34" spans="1:8" ht="12" customHeight="1">
      <c r="A34" s="64"/>
      <c r="B34" s="141" t="str">
        <f>UPPER(LEFT(TRIM(Data!B36),1)) &amp; MID(TRIM(Data!B36),2,50)</f>
        <v>Skydliaukės</v>
      </c>
      <c r="C34" s="170" t="str">
        <f>Data!C36</f>
        <v>C73</v>
      </c>
      <c r="D34" s="171">
        <f>Data!DX36</f>
        <v>3718</v>
      </c>
      <c r="E34" s="171">
        <f>Data!DY36</f>
        <v>2699</v>
      </c>
      <c r="F34" s="171">
        <f>Data!DZ36</f>
        <v>1442</v>
      </c>
      <c r="G34" s="171">
        <f>Data!EA36</f>
        <v>3972</v>
      </c>
      <c r="H34" s="66"/>
    </row>
    <row r="35" spans="1:8" ht="12" customHeight="1">
      <c r="A35" s="64"/>
      <c r="B35" s="146" t="str">
        <f>UPPER(LEFT(TRIM(Data!B37),1)) &amp; MID(TRIM(Data!B37),2,50)</f>
        <v>Kitų endokrininių liaukų</v>
      </c>
      <c r="C35" s="146" t="str">
        <f>Data!C37</f>
        <v>C74-C75</v>
      </c>
      <c r="D35" s="165">
        <f>Data!DX37</f>
        <v>74</v>
      </c>
      <c r="E35" s="165">
        <f>Data!DY37</f>
        <v>55</v>
      </c>
      <c r="F35" s="165">
        <f>Data!DZ37</f>
        <v>33</v>
      </c>
      <c r="G35" s="165">
        <f>Data!EA37</f>
        <v>77</v>
      </c>
      <c r="H35" s="66"/>
    </row>
    <row r="36" spans="1:8" ht="12" customHeight="1">
      <c r="A36" s="64"/>
      <c r="B36" s="141" t="str">
        <f>UPPER(LEFT(TRIM(Data!B38),1)) &amp; MID(TRIM(Data!B38),2,50)</f>
        <v>Nepatikslintos lokalizacijos</v>
      </c>
      <c r="C36" s="170" t="str">
        <f>Data!C38</f>
        <v>C76-C80</v>
      </c>
      <c r="D36" s="171">
        <f>Data!DX38</f>
        <v>211</v>
      </c>
      <c r="E36" s="171">
        <f>Data!DY38</f>
        <v>139</v>
      </c>
      <c r="F36" s="171">
        <f>Data!DZ38</f>
        <v>77</v>
      </c>
      <c r="G36" s="171">
        <f>Data!EA38</f>
        <v>230</v>
      </c>
      <c r="H36" s="66"/>
    </row>
    <row r="37" spans="1:8" ht="12" customHeight="1">
      <c r="A37" s="64"/>
      <c r="B37" s="146" t="str">
        <f>UPPER(LEFT(TRIM(Data!B39),1)) &amp; MID(TRIM(Data!B39),2,50)</f>
        <v>Hodžkino limfomos</v>
      </c>
      <c r="C37" s="146" t="str">
        <f>Data!C39</f>
        <v>C81</v>
      </c>
      <c r="D37" s="165">
        <f>Data!DX39</f>
        <v>657</v>
      </c>
      <c r="E37" s="165">
        <f>Data!DY39</f>
        <v>545</v>
      </c>
      <c r="F37" s="165">
        <f>Data!DZ39</f>
        <v>391</v>
      </c>
      <c r="G37" s="165">
        <f>Data!EA39</f>
        <v>681</v>
      </c>
      <c r="H37" s="66"/>
    </row>
    <row r="38" spans="1:8" ht="12" customHeight="1">
      <c r="A38" s="64"/>
      <c r="B38" s="141" t="str">
        <f>UPPER(LEFT(TRIM(Data!B40),1)) &amp; MID(TRIM(Data!B40),2,50)</f>
        <v>Ne Hodžkino limfomos</v>
      </c>
      <c r="C38" s="170" t="str">
        <f>Data!C40</f>
        <v>C82-C85</v>
      </c>
      <c r="D38" s="171">
        <f>Data!DX40</f>
        <v>1067</v>
      </c>
      <c r="E38" s="171">
        <f>Data!DY40</f>
        <v>644</v>
      </c>
      <c r="F38" s="171">
        <f>Data!DZ40</f>
        <v>321</v>
      </c>
      <c r="G38" s="171">
        <f>Data!EA40</f>
        <v>1180</v>
      </c>
      <c r="H38" s="66"/>
    </row>
    <row r="39" spans="1:8" ht="12" customHeight="1">
      <c r="A39" s="64"/>
      <c r="B39" s="146" t="str">
        <f>UPPER(LEFT(TRIM(Data!B41),1)) &amp; MID(TRIM(Data!B41),2,50)</f>
        <v>Mielominės ligos</v>
      </c>
      <c r="C39" s="146" t="str">
        <f>Data!C41</f>
        <v>C90</v>
      </c>
      <c r="D39" s="165">
        <f>Data!DX41</f>
        <v>304</v>
      </c>
      <c r="E39" s="165">
        <f>Data!DY41</f>
        <v>159</v>
      </c>
      <c r="F39" s="165">
        <f>Data!DZ41</f>
        <v>62</v>
      </c>
      <c r="G39" s="165">
        <f>Data!EA41</f>
        <v>359</v>
      </c>
      <c r="H39" s="66"/>
    </row>
    <row r="40" spans="1:8" ht="12" customHeight="1">
      <c r="A40" s="64"/>
      <c r="B40" s="141" t="str">
        <f>UPPER(LEFT(TRIM(Data!B42),1)) &amp; MID(TRIM(Data!B42),2,50)</f>
        <v>Leukemijos</v>
      </c>
      <c r="C40" s="170" t="str">
        <f>Data!C42</f>
        <v>C91-C95</v>
      </c>
      <c r="D40" s="171">
        <f>Data!DX42</f>
        <v>1092</v>
      </c>
      <c r="E40" s="171">
        <f>Data!DY42</f>
        <v>685</v>
      </c>
      <c r="F40" s="171">
        <f>Data!DZ42</f>
        <v>363</v>
      </c>
      <c r="G40" s="171">
        <f>Data!EA42</f>
        <v>1239</v>
      </c>
      <c r="H40" s="66"/>
    </row>
    <row r="41" spans="1:8" ht="12" customHeight="1">
      <c r="A41" s="64"/>
      <c r="B41" s="146" t="str">
        <f>UPPER(LEFT(TRIM(Data!B43),1)) &amp; MID(TRIM(Data!B43),2,50)</f>
        <v>Kiti limfinio, kraujodaros audinių</v>
      </c>
      <c r="C41" s="146" t="str">
        <f>Data!C43</f>
        <v>C88, C96</v>
      </c>
      <c r="D41" s="165">
        <f>Data!DX43</f>
        <v>34</v>
      </c>
      <c r="E41" s="165">
        <f>Data!DY43</f>
        <v>24</v>
      </c>
      <c r="F41" s="165">
        <f>Data!DZ43</f>
        <v>18</v>
      </c>
      <c r="G41" s="165">
        <f>Data!EA43</f>
        <v>40</v>
      </c>
      <c r="H41" s="66"/>
    </row>
    <row r="42" spans="1:8" ht="22.5" customHeight="1">
      <c r="A42" s="64"/>
      <c r="B42" s="106"/>
      <c r="C42" s="116"/>
      <c r="D42" s="117"/>
      <c r="E42" s="117"/>
      <c r="F42" s="117"/>
      <c r="G42" s="117"/>
      <c r="H42" s="66"/>
    </row>
    <row r="43" spans="1:8" ht="11.25" customHeight="1">
      <c r="A43" s="64"/>
      <c r="B43" s="93" t="str">
        <f>UPPER(LEFT(TRIM(Data!B44),1)) &amp; MID(TRIM(Data!B44),2,50)</f>
        <v>Melanoma in situ</v>
      </c>
      <c r="C43" s="93" t="str">
        <f>Data!C44</f>
        <v>D03</v>
      </c>
      <c r="D43" s="110">
        <f>Data!DX44</f>
        <v>176</v>
      </c>
      <c r="E43" s="110">
        <f>Data!DY44</f>
        <v>80</v>
      </c>
      <c r="F43" s="110">
        <f>Data!DZ44</f>
        <v>26</v>
      </c>
      <c r="G43" s="110">
        <f>Data!EA44</f>
        <v>191</v>
      </c>
      <c r="H43" s="66"/>
    </row>
    <row r="44" spans="1:8" ht="11.25" customHeight="1">
      <c r="A44" s="64"/>
      <c r="B44" s="101" t="str">
        <f>UPPER(LEFT(TRIM(Data!B45),1)) &amp; MID(TRIM(Data!B45),2,50)</f>
        <v>Krūties navikai in situ</v>
      </c>
      <c r="C44" s="105" t="str">
        <f>Data!C45</f>
        <v>D05</v>
      </c>
      <c r="D44" s="115">
        <f>Data!DX45</f>
        <v>583</v>
      </c>
      <c r="E44" s="115">
        <f>Data!DY45</f>
        <v>318</v>
      </c>
      <c r="F44" s="115">
        <f>Data!DZ45</f>
        <v>107</v>
      </c>
      <c r="G44" s="115">
        <f>Data!EA45</f>
        <v>662</v>
      </c>
      <c r="H44" s="66"/>
    </row>
    <row r="45" spans="1:8" ht="11.25" customHeight="1">
      <c r="A45" s="64"/>
      <c r="B45" s="99" t="str">
        <f>UPPER(LEFT(TRIM(Data!B46),1)) &amp; MID(TRIM(Data!B46),2,50)</f>
        <v>Gimdos kaklelio in situ</v>
      </c>
      <c r="C45" s="99" t="str">
        <f>Data!C46</f>
        <v>D06</v>
      </c>
      <c r="D45" s="118">
        <f>Data!DX46</f>
        <v>5767</v>
      </c>
      <c r="E45" s="118">
        <f>Data!DY46</f>
        <v>3086</v>
      </c>
      <c r="F45" s="118">
        <f>Data!DZ46</f>
        <v>611</v>
      </c>
      <c r="G45" s="118">
        <f>Data!EA46</f>
        <v>6337</v>
      </c>
      <c r="H45" s="66"/>
    </row>
    <row r="46" spans="1:8" ht="11.25" customHeight="1">
      <c r="A46" s="64"/>
      <c r="B46" s="101" t="str">
        <f>UPPER(LEFT(TRIM(Data!B47),1)) &amp; MID(TRIM(Data!B47),2,50)</f>
        <v>Šlapimo pūslės in situ</v>
      </c>
      <c r="C46" s="105" t="str">
        <f>Data!C47</f>
        <v>D09.0</v>
      </c>
      <c r="D46" s="115">
        <f>Data!DX47</f>
        <v>208</v>
      </c>
      <c r="E46" s="115">
        <f>Data!DY47</f>
        <v>98</v>
      </c>
      <c r="F46" s="115">
        <f>Data!DZ47</f>
        <v>26</v>
      </c>
      <c r="G46" s="115">
        <f>Data!EA47</f>
        <v>236</v>
      </c>
      <c r="H46" s="66"/>
    </row>
    <row r="47" spans="1:8" ht="11.25" customHeight="1">
      <c r="A47" s="64"/>
      <c r="B47" s="99" t="str">
        <f>UPPER(LEFT(TRIM(Data!B48),1)) &amp; MID(TRIM(Data!B48),2,50)</f>
        <v>Nervų sistemos gerybiniai navikai</v>
      </c>
      <c r="C47" s="99" t="str">
        <f>Data!C48</f>
        <v>D32, D33</v>
      </c>
      <c r="D47" s="118">
        <f>Data!DX48</f>
        <v>230</v>
      </c>
      <c r="E47" s="118">
        <f>Data!DY48</f>
        <v>27</v>
      </c>
      <c r="F47" s="118">
        <f>Data!DZ48</f>
        <v>18</v>
      </c>
      <c r="G47" s="118">
        <f>Data!EA48</f>
        <v>327</v>
      </c>
      <c r="H47" s="66"/>
    </row>
    <row r="48" spans="1:8" ht="11.25" customHeight="1">
      <c r="A48" s="64"/>
      <c r="B48" s="101" t="str">
        <f>UPPER(LEFT(TRIM(Data!B49),1)) &amp; MID(TRIM(Data!B49),2,50)</f>
        <v>Kiaušidžių</v>
      </c>
      <c r="C48" s="105" t="str">
        <f>Data!C49</f>
        <v>D39.1</v>
      </c>
      <c r="D48" s="115">
        <f>Data!DX49</f>
        <v>391</v>
      </c>
      <c r="E48" s="115">
        <f>Data!DY49</f>
        <v>203</v>
      </c>
      <c r="F48" s="115">
        <f>Data!DZ49</f>
        <v>65</v>
      </c>
      <c r="G48" s="115">
        <f>Data!EA49</f>
        <v>447</v>
      </c>
      <c r="H48" s="66"/>
    </row>
    <row r="49" spans="1:8" ht="11.25" customHeight="1">
      <c r="A49" s="64"/>
      <c r="B49" s="99" t="str">
        <f>UPPER(LEFT(TRIM(Data!B50),1)) &amp; MID(TRIM(Data!B50),2,50)</f>
        <v>Kiti nervų sistemos</v>
      </c>
      <c r="C49" s="99" t="str">
        <f>Data!C50</f>
        <v>D42, D43</v>
      </c>
      <c r="D49" s="118">
        <f>Data!DX50</f>
        <v>59</v>
      </c>
      <c r="E49" s="118">
        <f>Data!DY50</f>
        <v>18</v>
      </c>
      <c r="F49" s="118">
        <f>Data!DZ50</f>
        <v>9</v>
      </c>
      <c r="G49" s="118">
        <f>Data!EA50</f>
        <v>74</v>
      </c>
      <c r="H49" s="66"/>
    </row>
    <row r="50" spans="1:8" ht="11.25" customHeight="1">
      <c r="A50" s="64"/>
      <c r="B50" s="101" t="str">
        <f>UPPER(LEFT(TRIM(Data!B51),1)) &amp; MID(TRIM(Data!B51),2,50)</f>
        <v>Limfinio ir kraujodaros audinių</v>
      </c>
      <c r="C50" s="105" t="str">
        <f>Data!C51</f>
        <v>D45-D47</v>
      </c>
      <c r="D50" s="115">
        <f>Data!DX51</f>
        <v>1001</v>
      </c>
      <c r="E50" s="115">
        <f>Data!DY51</f>
        <v>440</v>
      </c>
      <c r="F50" s="115">
        <f>Data!DZ51</f>
        <v>69</v>
      </c>
      <c r="G50" s="115">
        <f>Data!EA51</f>
        <v>1141</v>
      </c>
      <c r="H50" s="66"/>
    </row>
    <row r="51" spans="1:8">
      <c r="A51" s="66"/>
      <c r="B51" s="66"/>
      <c r="C51" s="66"/>
      <c r="D51" s="66"/>
      <c r="E51" s="66"/>
      <c r="F51" s="66"/>
      <c r="G51" s="66"/>
      <c r="H51" s="66"/>
    </row>
    <row r="52" spans="1:8">
      <c r="A52" s="66"/>
      <c r="B52" s="66"/>
      <c r="C52" s="66"/>
      <c r="D52" s="66"/>
      <c r="E52" s="66"/>
      <c r="F52" s="66"/>
      <c r="G52" s="66"/>
      <c r="H52" s="66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7">
    <tabColor theme="9" tint="0.39997558519241921"/>
  </sheetPr>
  <dimension ref="A1:U39"/>
  <sheetViews>
    <sheetView zoomScaleNormal="100"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18.7109375" customWidth="1"/>
    <col min="6" max="6" width="3.28515625" customWidth="1"/>
    <col min="7" max="15" width="0.85546875" customWidth="1"/>
  </cols>
  <sheetData>
    <row r="1" spans="1:21" ht="15">
      <c r="A1" s="29"/>
      <c r="B1" s="541" t="s">
        <v>403</v>
      </c>
      <c r="C1" s="541"/>
      <c r="D1" s="541"/>
      <c r="E1" s="541"/>
      <c r="F1" s="30"/>
    </row>
    <row r="2" spans="1:21" ht="12.75" customHeight="1">
      <c r="A2" s="29"/>
      <c r="B2" s="516" t="str">
        <f>"Vyrų reliatyvus išgyvenamumas  " &amp; GrafikaiSerg!A1 &amp; " metais,"</f>
        <v>Vyrų reliatyvus išgyvenamumas  2014 metais,</v>
      </c>
      <c r="C2" s="516"/>
      <c r="D2" s="518" t="s">
        <v>638</v>
      </c>
      <c r="E2" s="518"/>
      <c r="F2" s="30"/>
    </row>
    <row r="3" spans="1:21" ht="12.75" customHeight="1">
      <c r="A3" s="29"/>
      <c r="B3" s="63" t="s">
        <v>637</v>
      </c>
      <c r="C3" s="57"/>
      <c r="D3" s="29"/>
      <c r="E3" s="29"/>
      <c r="F3" s="30"/>
    </row>
    <row r="4" spans="1:21" ht="26.1" customHeight="1" thickBot="1">
      <c r="A4" s="29"/>
      <c r="B4" s="174" t="s">
        <v>243</v>
      </c>
      <c r="C4" s="174" t="s">
        <v>244</v>
      </c>
      <c r="D4" s="386" t="s">
        <v>420</v>
      </c>
      <c r="E4" s="386" t="s">
        <v>421</v>
      </c>
      <c r="F4" s="30"/>
      <c r="P4" s="368" t="s">
        <v>442</v>
      </c>
      <c r="Q4" s="368"/>
      <c r="R4" s="122"/>
      <c r="S4" s="122"/>
      <c r="T4" s="122"/>
      <c r="U4" s="122"/>
    </row>
    <row r="5" spans="1:21" ht="12" customHeight="1" thickTop="1">
      <c r="A5" s="29"/>
      <c r="B5" s="125" t="str">
        <f>UPPER(LEFT(TRIM(Data!B6),1)) &amp; MID(TRIM(Data!B6),2,50)</f>
        <v>Lūpos</v>
      </c>
      <c r="C5" s="177" t="str">
        <f>Data!C6</f>
        <v>C00</v>
      </c>
      <c r="D5" s="388" t="s">
        <v>568</v>
      </c>
      <c r="E5" s="388" t="s">
        <v>570</v>
      </c>
      <c r="F5" s="30"/>
      <c r="P5" s="312">
        <v>25</v>
      </c>
      <c r="Q5" s="369"/>
      <c r="R5" s="123"/>
      <c r="S5" s="124"/>
      <c r="T5" s="122"/>
    </row>
    <row r="6" spans="1:21" ht="12" customHeight="1">
      <c r="A6" s="29"/>
      <c r="B6" s="147" t="str">
        <f>UPPER(LEFT(TRIM(Data!B7),1)) &amp; MID(TRIM(Data!B7),2,50)</f>
        <v>Burnos ertmės ir ryklės</v>
      </c>
      <c r="C6" s="147" t="str">
        <f>Data!C7</f>
        <v>C01-C14</v>
      </c>
      <c r="D6" s="388" t="s">
        <v>537</v>
      </c>
      <c r="E6" s="388" t="s">
        <v>538</v>
      </c>
      <c r="F6" s="30"/>
      <c r="P6" s="312">
        <v>234</v>
      </c>
      <c r="Q6" s="369"/>
      <c r="R6" s="123"/>
      <c r="S6" s="124"/>
      <c r="T6" s="122"/>
    </row>
    <row r="7" spans="1:21" ht="12" customHeight="1">
      <c r="A7" s="29"/>
      <c r="B7" s="125" t="str">
        <f>UPPER(LEFT(TRIM(Data!B8),1)) &amp; MID(TRIM(Data!B8),2,50)</f>
        <v>Stemplės</v>
      </c>
      <c r="C7" s="177" t="str">
        <f>Data!C8</f>
        <v>C15</v>
      </c>
      <c r="D7" s="388" t="s">
        <v>539</v>
      </c>
      <c r="E7" s="388" t="s">
        <v>540</v>
      </c>
      <c r="F7" s="30"/>
      <c r="P7" s="312">
        <v>133</v>
      </c>
      <c r="Q7" s="369"/>
      <c r="R7" s="123"/>
      <c r="S7" s="124"/>
      <c r="T7" s="122"/>
    </row>
    <row r="8" spans="1:21" ht="12" customHeight="1">
      <c r="A8" s="29"/>
      <c r="B8" s="147" t="str">
        <f>UPPER(LEFT(TRIM(Data!B9),1)) &amp; MID(TRIM(Data!B9),2,50)</f>
        <v>Skrandžio</v>
      </c>
      <c r="C8" s="147" t="str">
        <f>Data!C9</f>
        <v>C16</v>
      </c>
      <c r="D8" s="388" t="s">
        <v>541</v>
      </c>
      <c r="E8" s="388" t="s">
        <v>542</v>
      </c>
      <c r="F8" s="30"/>
      <c r="P8" s="312">
        <v>476</v>
      </c>
      <c r="Q8" s="369"/>
      <c r="R8" s="123"/>
      <c r="S8" s="124"/>
      <c r="T8" s="122"/>
    </row>
    <row r="9" spans="1:21" ht="12" customHeight="1">
      <c r="A9" s="29"/>
      <c r="B9" s="125" t="str">
        <f>UPPER(LEFT(TRIM(Data!B10),1)) &amp; MID(TRIM(Data!B10),2,50)</f>
        <v>Gaubtinės žarnos</v>
      </c>
      <c r="C9" s="177" t="str">
        <f>Data!C10</f>
        <v>C18</v>
      </c>
      <c r="D9" s="388" t="s">
        <v>543</v>
      </c>
      <c r="E9" s="388" t="s">
        <v>544</v>
      </c>
      <c r="F9" s="30"/>
      <c r="P9" s="312">
        <v>284</v>
      </c>
      <c r="Q9" s="369"/>
      <c r="R9" s="123"/>
      <c r="S9" s="124"/>
      <c r="T9" s="122"/>
    </row>
    <row r="10" spans="1:21" ht="12" customHeight="1">
      <c r="A10" s="29"/>
      <c r="B10" s="147" t="str">
        <f>UPPER(LEFT(TRIM(Data!B11),1)) &amp; MID(TRIM(Data!B11),2,50)</f>
        <v>Tiesiosios žarnos, išangės</v>
      </c>
      <c r="C10" s="147" t="str">
        <f>Data!C11</f>
        <v>C19-C21</v>
      </c>
      <c r="D10" s="388" t="s">
        <v>545</v>
      </c>
      <c r="E10" s="388" t="s">
        <v>567</v>
      </c>
      <c r="F10" s="30"/>
      <c r="P10" s="312">
        <v>328</v>
      </c>
      <c r="Q10" s="369"/>
      <c r="R10" s="123"/>
      <c r="S10" s="124"/>
      <c r="T10" s="122"/>
    </row>
    <row r="11" spans="1:21" ht="12" customHeight="1">
      <c r="A11" s="29"/>
      <c r="B11" s="125" t="str">
        <f>UPPER(LEFT(TRIM(Data!B12),1)) &amp; MID(TRIM(Data!B12),2,50)</f>
        <v>Kepenų</v>
      </c>
      <c r="C11" s="177" t="str">
        <f>Data!C12</f>
        <v>C22</v>
      </c>
      <c r="D11" s="388" t="s">
        <v>503</v>
      </c>
      <c r="E11" s="388" t="s">
        <v>546</v>
      </c>
      <c r="F11" s="30"/>
      <c r="P11" s="312">
        <v>91</v>
      </c>
      <c r="Q11" s="369"/>
      <c r="R11" s="123"/>
      <c r="S11" s="124"/>
      <c r="T11" s="122"/>
    </row>
    <row r="12" spans="1:21" ht="12" customHeight="1">
      <c r="A12" s="29"/>
      <c r="B12" s="147" t="str">
        <f>UPPER(LEFT(TRIM(Data!B13),1)) &amp; MID(TRIM(Data!B13),2,50)</f>
        <v>Tulžies pūslės, ekstrahepatinių takų</v>
      </c>
      <c r="C12" s="147" t="str">
        <f>Data!C13</f>
        <v>C23, C24</v>
      </c>
      <c r="D12" s="388" t="s">
        <v>569</v>
      </c>
      <c r="E12" s="388" t="s">
        <v>571</v>
      </c>
      <c r="F12" s="30"/>
      <c r="P12" s="312">
        <v>33</v>
      </c>
      <c r="Q12" s="369"/>
      <c r="R12" s="123"/>
      <c r="S12" s="124"/>
      <c r="T12" s="122"/>
    </row>
    <row r="13" spans="1:21" ht="12" customHeight="1">
      <c r="A13" s="29"/>
      <c r="B13" s="125" t="str">
        <f>UPPER(LEFT(TRIM(Data!B14),1)) &amp; MID(TRIM(Data!B14),2,50)</f>
        <v>Kasos</v>
      </c>
      <c r="C13" s="177" t="str">
        <f>Data!C14</f>
        <v>C25</v>
      </c>
      <c r="D13" s="388" t="s">
        <v>547</v>
      </c>
      <c r="E13" s="388" t="s">
        <v>548</v>
      </c>
      <c r="F13" s="30"/>
      <c r="P13" s="312">
        <v>200</v>
      </c>
      <c r="Q13" s="369"/>
      <c r="R13" s="123"/>
      <c r="S13" s="124"/>
      <c r="T13" s="122"/>
    </row>
    <row r="14" spans="1:21" ht="12" customHeight="1">
      <c r="A14" s="29"/>
      <c r="B14" s="147" t="str">
        <f>UPPER(LEFT(TRIM(Data!B15),1)) &amp; MID(TRIM(Data!B15),2,50)</f>
        <v>Kitų virškinimo sistemos organų</v>
      </c>
      <c r="C14" s="147" t="str">
        <f>Data!C15</f>
        <v>C17, C26, C48</v>
      </c>
      <c r="D14" s="388" t="s">
        <v>572</v>
      </c>
      <c r="E14" s="388" t="s">
        <v>574</v>
      </c>
      <c r="F14" s="30"/>
      <c r="P14" s="312">
        <v>26</v>
      </c>
      <c r="Q14" s="369"/>
      <c r="R14" s="123"/>
      <c r="S14" s="124"/>
      <c r="T14" s="122"/>
    </row>
    <row r="15" spans="1:21" ht="12" customHeight="1">
      <c r="A15" s="29"/>
      <c r="B15" s="125" t="str">
        <f>UPPER(LEFT(TRIM(Data!B16),1)) &amp; MID(TRIM(Data!B16),2,50)</f>
        <v>Nosies ertmės, vid.ausies ir ančių</v>
      </c>
      <c r="C15" s="177" t="str">
        <f>Data!C16</f>
        <v>C30, C31</v>
      </c>
      <c r="D15" s="388" t="s">
        <v>573</v>
      </c>
      <c r="E15" s="388" t="s">
        <v>575</v>
      </c>
      <c r="F15" s="30"/>
      <c r="P15" s="312">
        <v>14</v>
      </c>
      <c r="Q15" s="369"/>
      <c r="R15" s="123"/>
      <c r="S15" s="124"/>
      <c r="T15" s="122"/>
    </row>
    <row r="16" spans="1:21" ht="12" customHeight="1">
      <c r="A16" s="29"/>
      <c r="B16" s="147" t="str">
        <f>UPPER(LEFT(TRIM(Data!B17),1)) &amp; MID(TRIM(Data!B17),2,50)</f>
        <v>Gerklų</v>
      </c>
      <c r="C16" s="147" t="str">
        <f>Data!C17</f>
        <v>C32</v>
      </c>
      <c r="D16" s="388" t="s">
        <v>549</v>
      </c>
      <c r="E16" s="388" t="s">
        <v>550</v>
      </c>
      <c r="F16" s="30"/>
      <c r="P16" s="312">
        <v>188</v>
      </c>
      <c r="Q16" s="369"/>
      <c r="R16" s="123"/>
      <c r="S16" s="124"/>
      <c r="T16" s="122"/>
    </row>
    <row r="17" spans="1:20" ht="12" customHeight="1">
      <c r="A17" s="29"/>
      <c r="B17" s="125" t="str">
        <f>UPPER(LEFT(TRIM(Data!B18),1)) &amp; MID(TRIM(Data!B18),2,50)</f>
        <v>Plaučių, trachėjos, bronchų</v>
      </c>
      <c r="C17" s="177" t="str">
        <f>Data!C18</f>
        <v>C33, C34</v>
      </c>
      <c r="D17" s="388" t="s">
        <v>551</v>
      </c>
      <c r="E17" s="388" t="s">
        <v>552</v>
      </c>
      <c r="F17" s="30"/>
      <c r="P17" s="312">
        <v>1052</v>
      </c>
      <c r="Q17" s="369"/>
      <c r="R17" s="123"/>
      <c r="S17" s="124"/>
      <c r="T17" s="122"/>
    </row>
    <row r="18" spans="1:20" ht="12" customHeight="1">
      <c r="A18" s="29"/>
      <c r="B18" s="147" t="str">
        <f>UPPER(LEFT(TRIM(Data!B19),1)) &amp; MID(TRIM(Data!B19),2,50)</f>
        <v>Kitų kvėpavimo sistemos organų</v>
      </c>
      <c r="C18" s="147" t="str">
        <f>Data!C19</f>
        <v>C37-C39</v>
      </c>
      <c r="D18" s="388" t="s">
        <v>576</v>
      </c>
      <c r="E18" s="388" t="s">
        <v>574</v>
      </c>
      <c r="F18" s="30"/>
      <c r="P18" s="312">
        <v>8</v>
      </c>
      <c r="Q18" s="369"/>
      <c r="R18" s="123"/>
      <c r="S18" s="124"/>
      <c r="T18" s="122"/>
    </row>
    <row r="19" spans="1:20" ht="12" customHeight="1">
      <c r="A19" s="29"/>
      <c r="B19" s="125" t="str">
        <f>UPPER(LEFT(TRIM(Data!B20),1)) &amp; MID(TRIM(Data!B20),2,50)</f>
        <v>Kaulų ir jungiamojo audinio</v>
      </c>
      <c r="C19" s="177" t="str">
        <f>Data!C20</f>
        <v>C40-C41, C45-C47, C49</v>
      </c>
      <c r="D19" s="388" t="s">
        <v>577</v>
      </c>
      <c r="E19" s="388" t="s">
        <v>578</v>
      </c>
      <c r="F19" s="30"/>
      <c r="P19" s="312">
        <v>56</v>
      </c>
      <c r="Q19" s="369"/>
      <c r="R19" s="123"/>
      <c r="S19" s="124"/>
      <c r="T19" s="122"/>
    </row>
    <row r="20" spans="1:20" ht="12" customHeight="1">
      <c r="A20" s="29"/>
      <c r="B20" s="147" t="str">
        <f>UPPER(LEFT(TRIM(Data!B21),1)) &amp; MID(TRIM(Data!B21),2,50)</f>
        <v>Odos melanoma</v>
      </c>
      <c r="C20" s="147" t="str">
        <f>Data!C21</f>
        <v>C43</v>
      </c>
      <c r="D20" s="388" t="s">
        <v>553</v>
      </c>
      <c r="E20" s="388" t="s">
        <v>529</v>
      </c>
      <c r="F20" s="30"/>
      <c r="P20" s="312">
        <v>80</v>
      </c>
      <c r="Q20" s="369"/>
      <c r="R20" s="123"/>
      <c r="S20" s="124"/>
      <c r="T20" s="122"/>
    </row>
    <row r="21" spans="1:20" ht="12" customHeight="1">
      <c r="A21" s="29"/>
      <c r="B21" s="125" t="str">
        <f>UPPER(LEFT(TRIM(Data!B23),1)) &amp; MID(TRIM(Data!B23),2,50)</f>
        <v>Krūties</v>
      </c>
      <c r="C21" s="177" t="str">
        <f>Data!C23</f>
        <v>C50</v>
      </c>
      <c r="D21" s="388" t="s">
        <v>579</v>
      </c>
      <c r="E21" s="388" t="s">
        <v>580</v>
      </c>
      <c r="F21" s="30"/>
      <c r="O21" s="34" t="s">
        <v>441</v>
      </c>
      <c r="P21" s="312">
        <v>12</v>
      </c>
      <c r="Q21" s="369"/>
      <c r="R21" s="123"/>
      <c r="S21" s="124"/>
      <c r="T21" s="122"/>
    </row>
    <row r="22" spans="1:20" ht="12" customHeight="1">
      <c r="A22" s="29"/>
      <c r="B22" s="147" t="str">
        <f>UPPER(LEFT(TRIM(Data!B28),1)) &amp; MID(TRIM(Data!B28),2,50)</f>
        <v>Priešinės liaukos</v>
      </c>
      <c r="C22" s="147" t="str">
        <f>Data!C28</f>
        <v>C61</v>
      </c>
      <c r="D22" s="388" t="s">
        <v>554</v>
      </c>
      <c r="E22" s="388" t="s">
        <v>554</v>
      </c>
      <c r="F22" s="30"/>
      <c r="O22" s="34" t="s">
        <v>441</v>
      </c>
      <c r="P22" s="312">
        <v>3502</v>
      </c>
      <c r="Q22" s="369"/>
      <c r="R22" s="123"/>
      <c r="S22" s="124"/>
      <c r="T22" s="122"/>
    </row>
    <row r="23" spans="1:20" ht="12" customHeight="1">
      <c r="A23" s="29"/>
      <c r="B23" s="125" t="str">
        <f>UPPER(LEFT(TRIM(Data!B29),1)) &amp; MID(TRIM(Data!B29),2,50)</f>
        <v>Sėklidžių</v>
      </c>
      <c r="C23" s="177" t="str">
        <f>Data!C29</f>
        <v>C62</v>
      </c>
      <c r="D23" s="388" t="s">
        <v>581</v>
      </c>
      <c r="E23" s="388" t="s">
        <v>582</v>
      </c>
      <c r="F23" s="30"/>
      <c r="P23" s="312">
        <v>34</v>
      </c>
      <c r="Q23" s="369"/>
      <c r="R23" s="123"/>
      <c r="S23" s="124"/>
      <c r="T23" s="122"/>
    </row>
    <row r="24" spans="1:20" ht="12" customHeight="1">
      <c r="A24" s="29"/>
      <c r="B24" s="147" t="str">
        <f>UPPER(LEFT(TRIM(Data!B30),1)) &amp; MID(TRIM(Data!B30),2,50)</f>
        <v>Kitų lyties organų</v>
      </c>
      <c r="C24" s="147" t="s">
        <v>417</v>
      </c>
      <c r="D24" s="388" t="s">
        <v>583</v>
      </c>
      <c r="E24" s="388" t="s">
        <v>584</v>
      </c>
      <c r="F24" s="30"/>
      <c r="P24" s="312">
        <v>23</v>
      </c>
      <c r="Q24" s="369"/>
      <c r="R24" s="123"/>
      <c r="S24" s="124"/>
      <c r="T24" s="122"/>
    </row>
    <row r="25" spans="1:20" ht="12" customHeight="1">
      <c r="A25" s="29"/>
      <c r="B25" s="125" t="str">
        <f>UPPER(LEFT(TRIM(Data!B31),1)) &amp; MID(TRIM(Data!B31),2,50)</f>
        <v>Inkstų</v>
      </c>
      <c r="C25" s="177" t="str">
        <f>Data!C31</f>
        <v>C64</v>
      </c>
      <c r="D25" s="388" t="s">
        <v>555</v>
      </c>
      <c r="E25" s="388" t="s">
        <v>556</v>
      </c>
      <c r="F25" s="30"/>
      <c r="P25" s="312">
        <v>318</v>
      </c>
      <c r="Q25" s="369"/>
      <c r="R25" s="123"/>
      <c r="S25" s="124"/>
      <c r="T25" s="122"/>
    </row>
    <row r="26" spans="1:20" ht="12" customHeight="1">
      <c r="A26" s="29"/>
      <c r="B26" s="147" t="str">
        <f>UPPER(LEFT(TRIM(Data!B32),1)) &amp; MID(TRIM(Data!B32),2,50)</f>
        <v>Šlapimo pūslės</v>
      </c>
      <c r="C26" s="147" t="str">
        <f>Data!C32</f>
        <v>C67</v>
      </c>
      <c r="D26" s="388" t="s">
        <v>557</v>
      </c>
      <c r="E26" s="388" t="s">
        <v>558</v>
      </c>
      <c r="F26" s="30"/>
      <c r="P26" s="312">
        <v>240</v>
      </c>
      <c r="Q26" s="369"/>
      <c r="R26" s="123"/>
      <c r="S26" s="124"/>
      <c r="T26" s="122"/>
    </row>
    <row r="27" spans="1:20" ht="12" customHeight="1">
      <c r="A27" s="29"/>
      <c r="B27" s="125" t="str">
        <f>UPPER(LEFT(TRIM(Data!B33),1)) &amp; MID(TRIM(Data!B33),2,50)</f>
        <v>Kitų šlapimą išskiriančių organų</v>
      </c>
      <c r="C27" s="177" t="str">
        <f>Data!C33</f>
        <v>C65, C66, C68</v>
      </c>
      <c r="D27" s="388" t="s">
        <v>585</v>
      </c>
      <c r="E27" s="388" t="s">
        <v>586</v>
      </c>
      <c r="F27" s="30"/>
      <c r="P27" s="312">
        <v>9</v>
      </c>
      <c r="Q27" s="369"/>
      <c r="R27" s="123"/>
      <c r="S27" s="124"/>
      <c r="T27" s="122"/>
    </row>
    <row r="28" spans="1:20" ht="12" customHeight="1">
      <c r="A28" s="29"/>
      <c r="B28" s="147" t="str">
        <f>UPPER(LEFT(TRIM(Data!B34),1)) &amp; MID(TRIM(Data!B34),2,50)</f>
        <v>Akių</v>
      </c>
      <c r="C28" s="147" t="str">
        <f>Data!C34</f>
        <v>C69</v>
      </c>
      <c r="D28" s="388" t="s">
        <v>587</v>
      </c>
      <c r="E28" s="388" t="s">
        <v>588</v>
      </c>
      <c r="F28" s="30"/>
      <c r="P28" s="312">
        <v>15</v>
      </c>
      <c r="Q28" s="369"/>
      <c r="R28" s="123"/>
      <c r="S28" s="124"/>
      <c r="T28" s="122"/>
    </row>
    <row r="29" spans="1:20" ht="12" customHeight="1">
      <c r="A29" s="29"/>
      <c r="B29" s="125" t="str">
        <f>UPPER(LEFT(TRIM(Data!B35),1)) &amp; MID(TRIM(Data!B35),2,50)</f>
        <v>Smegenų</v>
      </c>
      <c r="C29" s="177" t="str">
        <f>Data!C35</f>
        <v>C70-C72</v>
      </c>
      <c r="D29" s="388" t="s">
        <v>559</v>
      </c>
      <c r="E29" s="388" t="s">
        <v>560</v>
      </c>
      <c r="F29" s="30"/>
      <c r="P29" s="312">
        <v>105</v>
      </c>
      <c r="Q29" s="369"/>
      <c r="R29" s="123"/>
      <c r="S29" s="124"/>
      <c r="T29" s="122"/>
    </row>
    <row r="30" spans="1:20" ht="12" customHeight="1">
      <c r="A30" s="29"/>
      <c r="B30" s="147" t="str">
        <f>UPPER(LEFT(TRIM(Data!B36),1)) &amp; MID(TRIM(Data!B36),2,50)</f>
        <v>Skydliaukės</v>
      </c>
      <c r="C30" s="147" t="str">
        <f>Data!C36</f>
        <v>C73</v>
      </c>
      <c r="D30" s="388" t="s">
        <v>589</v>
      </c>
      <c r="E30" s="388" t="s">
        <v>582</v>
      </c>
      <c r="F30" s="30"/>
      <c r="P30" s="312">
        <v>39</v>
      </c>
      <c r="Q30" s="369"/>
      <c r="R30" s="123"/>
      <c r="S30" s="124"/>
      <c r="T30" s="122"/>
    </row>
    <row r="31" spans="1:20" ht="12" customHeight="1">
      <c r="A31" s="29"/>
      <c r="B31" s="125" t="str">
        <f>UPPER(LEFT(TRIM(Data!B37),1)) &amp; MID(TRIM(Data!B37),2,50)</f>
        <v>Kitų endokrininių liaukų</v>
      </c>
      <c r="C31" s="177" t="str">
        <f>Data!C37</f>
        <v>C74-C75</v>
      </c>
      <c r="D31" s="389" t="s">
        <v>446</v>
      </c>
      <c r="E31" s="389" t="s">
        <v>446</v>
      </c>
      <c r="F31" s="30"/>
      <c r="P31" s="312">
        <v>13</v>
      </c>
      <c r="Q31" s="369"/>
      <c r="R31" s="123"/>
      <c r="S31" s="124"/>
      <c r="T31" s="122"/>
    </row>
    <row r="32" spans="1:20" ht="12" customHeight="1">
      <c r="A32" s="29"/>
      <c r="B32" s="147" t="str">
        <f>UPPER(LEFT(TRIM(Data!B38),1)) &amp; MID(TRIM(Data!B38),2,50)</f>
        <v>Nepatikslintos lokalizacijos</v>
      </c>
      <c r="C32" s="147" t="str">
        <f>Data!C38</f>
        <v>C76-C80</v>
      </c>
      <c r="D32" s="388" t="s">
        <v>561</v>
      </c>
      <c r="E32" s="388" t="s">
        <v>562</v>
      </c>
      <c r="F32" s="30"/>
      <c r="P32" s="312">
        <v>158</v>
      </c>
      <c r="Q32" s="369"/>
      <c r="R32" s="123"/>
      <c r="S32" s="124"/>
      <c r="T32" s="122"/>
    </row>
    <row r="33" spans="1:21" ht="12" customHeight="1">
      <c r="A33" s="29"/>
      <c r="B33" s="125" t="str">
        <f>UPPER(LEFT(TRIM(Data!B39),1)) &amp; MID(TRIM(Data!B39),2,50)</f>
        <v>Hodžkino limfomos</v>
      </c>
      <c r="C33" s="177" t="str">
        <f>Data!C39</f>
        <v>C81</v>
      </c>
      <c r="D33" s="388" t="s">
        <v>590</v>
      </c>
      <c r="E33" s="388" t="s">
        <v>591</v>
      </c>
      <c r="F33" s="30"/>
      <c r="P33" s="312">
        <v>29</v>
      </c>
      <c r="Q33" s="369"/>
      <c r="R33" s="123"/>
      <c r="S33" s="124"/>
      <c r="T33" s="122"/>
    </row>
    <row r="34" spans="1:21" ht="12" customHeight="1">
      <c r="A34" s="29"/>
      <c r="B34" s="147" t="str">
        <f>UPPER(LEFT(TRIM(Data!B40),1)) &amp; MID(TRIM(Data!B40),2,50)</f>
        <v>Ne Hodžkino limfomos</v>
      </c>
      <c r="C34" s="147" t="str">
        <f>Data!C40</f>
        <v>C82-C85</v>
      </c>
      <c r="D34" s="388" t="s">
        <v>545</v>
      </c>
      <c r="E34" s="388" t="s">
        <v>563</v>
      </c>
      <c r="F34" s="30"/>
      <c r="P34" s="312">
        <v>116</v>
      </c>
      <c r="Q34" s="369"/>
      <c r="R34" s="123"/>
      <c r="S34" s="124"/>
      <c r="T34" s="122"/>
    </row>
    <row r="35" spans="1:21" ht="12" customHeight="1">
      <c r="A35" s="29"/>
      <c r="B35" s="125" t="str">
        <f>UPPER(LEFT(TRIM(Data!B41),1)) &amp; MID(TRIM(Data!B41),2,50)</f>
        <v>Mielominės ligos</v>
      </c>
      <c r="C35" s="177" t="str">
        <f>Data!C41</f>
        <v>C90</v>
      </c>
      <c r="D35" s="388" t="s">
        <v>564</v>
      </c>
      <c r="E35" s="388" t="s">
        <v>565</v>
      </c>
      <c r="F35" s="30"/>
      <c r="P35" s="312">
        <v>49</v>
      </c>
      <c r="Q35" s="369"/>
      <c r="R35" s="123"/>
      <c r="S35" s="124"/>
      <c r="T35" s="122"/>
    </row>
    <row r="36" spans="1:21" ht="12" customHeight="1">
      <c r="A36" s="29"/>
      <c r="B36" s="147" t="str">
        <f>UPPER(LEFT(TRIM(Data!B42),1)) &amp; MID(TRIM(Data!B42),2,50)</f>
        <v>Leukemijos</v>
      </c>
      <c r="C36" s="147" t="str">
        <f>Data!C42</f>
        <v>C91-C95</v>
      </c>
      <c r="D36" s="388" t="s">
        <v>507</v>
      </c>
      <c r="E36" s="388" t="s">
        <v>566</v>
      </c>
      <c r="F36" s="30"/>
      <c r="P36" s="312">
        <v>177</v>
      </c>
      <c r="Q36" s="369"/>
      <c r="R36" s="123"/>
      <c r="S36" s="124"/>
      <c r="T36" s="122"/>
    </row>
    <row r="37" spans="1:21" ht="12" customHeight="1">
      <c r="A37" s="29"/>
      <c r="B37" s="125" t="str">
        <f>UPPER(LEFT(TRIM(Data!B43),1)) &amp; MID(TRIM(Data!B43),2,50)</f>
        <v>Kiti limfinio, kraujodaros audinių</v>
      </c>
      <c r="C37" s="177" t="str">
        <f>Data!C43</f>
        <v>C88, C96</v>
      </c>
      <c r="D37" s="389" t="s">
        <v>446</v>
      </c>
      <c r="E37" s="389" t="s">
        <v>446</v>
      </c>
      <c r="F37" s="30"/>
      <c r="P37" s="312" t="s">
        <v>636</v>
      </c>
      <c r="Q37" s="369"/>
      <c r="R37" s="123"/>
      <c r="S37" s="124"/>
      <c r="T37" s="122"/>
    </row>
    <row r="38" spans="1:21">
      <c r="A38" s="30"/>
      <c r="B38" s="30"/>
      <c r="C38" s="30"/>
      <c r="D38" s="30"/>
      <c r="E38" s="30"/>
      <c r="F38" s="30"/>
      <c r="R38" s="122"/>
      <c r="S38" s="122"/>
      <c r="T38" s="122"/>
      <c r="U38" s="122"/>
    </row>
    <row r="39" spans="1:21">
      <c r="A39" s="30"/>
      <c r="B39" s="57" t="s">
        <v>536</v>
      </c>
      <c r="C39" s="30"/>
      <c r="D39" s="30"/>
      <c r="E39" s="30"/>
      <c r="F39" s="30"/>
      <c r="R39" s="122"/>
      <c r="S39" s="122"/>
      <c r="T39" s="122"/>
      <c r="U39" s="122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8">
    <tabColor theme="9" tint="0.39997558519241921"/>
  </sheetPr>
  <dimension ref="A1:Q41"/>
  <sheetViews>
    <sheetView zoomScaleNormal="100" workbookViewId="0">
      <selection activeCell="B3" sqref="B3"/>
    </sheetView>
  </sheetViews>
  <sheetFormatPr defaultRowHeight="12.75"/>
  <cols>
    <col min="1" max="1" width="1.85546875" customWidth="1"/>
    <col min="2" max="2" width="28.7109375" customWidth="1"/>
    <col min="3" max="3" width="19.7109375" customWidth="1"/>
    <col min="4" max="5" width="18.7109375" customWidth="1"/>
    <col min="6" max="6" width="3.28515625" customWidth="1"/>
    <col min="7" max="11" width="0.85546875" customWidth="1"/>
  </cols>
  <sheetData>
    <row r="1" spans="1:17" ht="15">
      <c r="A1" s="64"/>
      <c r="B1" s="542" t="s">
        <v>403</v>
      </c>
      <c r="C1" s="542"/>
      <c r="D1" s="542"/>
      <c r="E1" s="522"/>
      <c r="F1" s="66"/>
    </row>
    <row r="2" spans="1:17" ht="12.75" customHeight="1">
      <c r="A2" s="64"/>
      <c r="B2" s="508" t="str">
        <f>"Moterų reliatyvus išgyvenamumas  " &amp; GrafikaiSerg!A1 &amp; " metais."</f>
        <v>Moterų reliatyvus išgyvenamumas  2014 metais.</v>
      </c>
      <c r="C2" s="508"/>
      <c r="D2" s="520" t="s">
        <v>638</v>
      </c>
      <c r="E2" s="520"/>
      <c r="F2" s="66"/>
    </row>
    <row r="3" spans="1:17" ht="12.75" customHeight="1">
      <c r="A3" s="64"/>
      <c r="B3" s="68" t="s">
        <v>639</v>
      </c>
      <c r="C3" s="67"/>
      <c r="D3" s="64"/>
      <c r="E3" s="64"/>
      <c r="F3" s="66"/>
    </row>
    <row r="4" spans="1:17" ht="26.1" customHeight="1" thickBot="1">
      <c r="A4" s="64"/>
      <c r="B4" s="174" t="s">
        <v>243</v>
      </c>
      <c r="C4" s="174" t="s">
        <v>244</v>
      </c>
      <c r="D4" s="386" t="s">
        <v>420</v>
      </c>
      <c r="E4" s="386" t="s">
        <v>421</v>
      </c>
      <c r="F4" s="66"/>
      <c r="L4" s="215"/>
      <c r="M4" s="122"/>
      <c r="N4" s="122"/>
      <c r="O4" s="122"/>
      <c r="P4" s="122"/>
      <c r="Q4" s="122"/>
    </row>
    <row r="5" spans="1:17" ht="12" customHeight="1" thickTop="1">
      <c r="A5" s="64"/>
      <c r="B5" s="125" t="str">
        <f>UPPER(LEFT(TRIM(Data!B6),1)) &amp; MID(TRIM(Data!B6),2,50)</f>
        <v>Lūpos</v>
      </c>
      <c r="C5" s="177" t="str">
        <f>Data!C6</f>
        <v>C00</v>
      </c>
      <c r="D5" s="387" t="s">
        <v>592</v>
      </c>
      <c r="E5" s="387" t="s">
        <v>593</v>
      </c>
      <c r="F5" s="66"/>
      <c r="L5" s="312">
        <v>9</v>
      </c>
      <c r="M5" s="123"/>
      <c r="N5" s="124"/>
      <c r="O5" s="122"/>
    </row>
    <row r="6" spans="1:17" ht="12" customHeight="1">
      <c r="A6" s="64"/>
      <c r="B6" s="147" t="str">
        <f>UPPER(LEFT(TRIM(Data!B7),1)) &amp; MID(TRIM(Data!B7),2,50)</f>
        <v>Burnos ertmės ir ryklės</v>
      </c>
      <c r="C6" s="147" t="str">
        <f>Data!C7</f>
        <v>C01-C14</v>
      </c>
      <c r="D6" s="387" t="s">
        <v>594</v>
      </c>
      <c r="E6" s="387" t="s">
        <v>595</v>
      </c>
      <c r="F6" s="66"/>
      <c r="L6" s="312">
        <v>55</v>
      </c>
      <c r="N6" s="124"/>
      <c r="O6" s="122"/>
    </row>
    <row r="7" spans="1:17" ht="12" customHeight="1">
      <c r="A7" s="64"/>
      <c r="B7" s="125" t="str">
        <f>UPPER(LEFT(TRIM(Data!B8),1)) &amp; MID(TRIM(Data!B8),2,50)</f>
        <v>Stemplės</v>
      </c>
      <c r="C7" s="177" t="str">
        <f>Data!C8</f>
        <v>C15</v>
      </c>
      <c r="D7" s="387" t="s">
        <v>596</v>
      </c>
      <c r="E7" s="387" t="s">
        <v>597</v>
      </c>
      <c r="F7" s="66"/>
      <c r="L7" s="312">
        <v>27</v>
      </c>
      <c r="N7" s="124"/>
      <c r="O7" s="122"/>
    </row>
    <row r="8" spans="1:17" ht="12" customHeight="1">
      <c r="A8" s="64"/>
      <c r="B8" s="147" t="str">
        <f>UPPER(LEFT(TRIM(Data!B9),1)) &amp; MID(TRIM(Data!B9),2,50)</f>
        <v>Skrandžio</v>
      </c>
      <c r="C8" s="147" t="str">
        <f>Data!C9</f>
        <v>C16</v>
      </c>
      <c r="D8" s="387" t="s">
        <v>490</v>
      </c>
      <c r="E8" s="387" t="s">
        <v>491</v>
      </c>
      <c r="F8" s="66"/>
      <c r="L8" s="312">
        <v>315</v>
      </c>
      <c r="N8" s="124"/>
      <c r="O8" s="122"/>
    </row>
    <row r="9" spans="1:17" ht="12" customHeight="1">
      <c r="A9" s="64"/>
      <c r="B9" s="125" t="str">
        <f>UPPER(LEFT(TRIM(Data!B10),1)) &amp; MID(TRIM(Data!B10),2,50)</f>
        <v>Gaubtinės žarnos</v>
      </c>
      <c r="C9" s="177" t="str">
        <f>Data!C10</f>
        <v>C18</v>
      </c>
      <c r="D9" s="387" t="s">
        <v>492</v>
      </c>
      <c r="E9" s="387" t="s">
        <v>493</v>
      </c>
      <c r="F9" s="66"/>
      <c r="L9" s="312">
        <v>346</v>
      </c>
      <c r="N9" s="124"/>
      <c r="O9" s="122"/>
    </row>
    <row r="10" spans="1:17" ht="12" customHeight="1">
      <c r="A10" s="64"/>
      <c r="B10" s="147" t="str">
        <f>UPPER(LEFT(TRIM(Data!B11),1)) &amp; MID(TRIM(Data!B11),2,50)</f>
        <v>Tiesiosios žarnos, išangės</v>
      </c>
      <c r="C10" s="147" t="str">
        <f>Data!C11</f>
        <v>C19-C21</v>
      </c>
      <c r="D10" s="387" t="s">
        <v>494</v>
      </c>
      <c r="E10" s="387" t="s">
        <v>532</v>
      </c>
      <c r="F10" s="66"/>
      <c r="L10" s="312">
        <v>279</v>
      </c>
      <c r="N10" s="124"/>
      <c r="O10" s="122"/>
    </row>
    <row r="11" spans="1:17" ht="12" customHeight="1">
      <c r="A11" s="64"/>
      <c r="B11" s="125" t="str">
        <f>UPPER(LEFT(TRIM(Data!B12),1)) &amp; MID(TRIM(Data!B12),2,50)</f>
        <v>Kepenų</v>
      </c>
      <c r="C11" s="177" t="str">
        <f>Data!C12</f>
        <v>C22</v>
      </c>
      <c r="D11" s="387" t="s">
        <v>495</v>
      </c>
      <c r="E11" s="387" t="s">
        <v>496</v>
      </c>
      <c r="F11" s="66"/>
      <c r="L11" s="312">
        <v>34</v>
      </c>
      <c r="N11" s="124"/>
      <c r="O11" s="122"/>
    </row>
    <row r="12" spans="1:17" ht="12" customHeight="1">
      <c r="A12" s="64"/>
      <c r="B12" s="147" t="str">
        <f>UPPER(LEFT(TRIM(Data!B13),1)) &amp; MID(TRIM(Data!B13),2,50)</f>
        <v>Tulžies pūslės, ekstrahepatinių takų</v>
      </c>
      <c r="C12" s="147" t="str">
        <f>Data!C13</f>
        <v>C23, C24</v>
      </c>
      <c r="D12" s="387" t="s">
        <v>497</v>
      </c>
      <c r="E12" s="387" t="s">
        <v>498</v>
      </c>
      <c r="F12" s="66"/>
      <c r="L12" s="312">
        <v>53</v>
      </c>
      <c r="N12" s="124"/>
      <c r="O12" s="122"/>
    </row>
    <row r="13" spans="1:17" ht="12" customHeight="1">
      <c r="A13" s="64"/>
      <c r="B13" s="125" t="str">
        <f>UPPER(LEFT(TRIM(Data!B14),1)) &amp; MID(TRIM(Data!B14),2,50)</f>
        <v>Kasos</v>
      </c>
      <c r="C13" s="177" t="str">
        <f>Data!C14</f>
        <v>C25</v>
      </c>
      <c r="D13" s="387" t="s">
        <v>499</v>
      </c>
      <c r="E13" s="387" t="s">
        <v>500</v>
      </c>
      <c r="F13" s="66"/>
      <c r="L13" s="312">
        <v>162</v>
      </c>
      <c r="N13" s="124"/>
      <c r="O13" s="122"/>
    </row>
    <row r="14" spans="1:17" ht="12" customHeight="1">
      <c r="A14" s="64"/>
      <c r="B14" s="147" t="str">
        <f>UPPER(LEFT(TRIM(Data!B15),1)) &amp; MID(TRIM(Data!B15),2,50)</f>
        <v>Kitų virškinimo sistemos organų</v>
      </c>
      <c r="C14" s="147" t="str">
        <f>Data!C15</f>
        <v>C17, C26, C48</v>
      </c>
      <c r="D14" s="387" t="s">
        <v>501</v>
      </c>
      <c r="E14" s="387" t="s">
        <v>502</v>
      </c>
      <c r="F14" s="66"/>
      <c r="L14" s="312">
        <v>31</v>
      </c>
      <c r="N14" s="124"/>
      <c r="O14" s="122"/>
    </row>
    <row r="15" spans="1:17" ht="12" customHeight="1">
      <c r="A15" s="64"/>
      <c r="B15" s="125" t="str">
        <f>UPPER(LEFT(TRIM(Data!B16),1)) &amp; MID(TRIM(Data!B16),2,50)</f>
        <v>Nosies ertmės, vid.ausies ir ančių</v>
      </c>
      <c r="C15" s="177" t="str">
        <f>Data!C16</f>
        <v>C30, C31</v>
      </c>
      <c r="D15" s="387" t="s">
        <v>598</v>
      </c>
      <c r="E15" s="387" t="s">
        <v>599</v>
      </c>
      <c r="F15" s="66"/>
      <c r="L15" s="312">
        <v>7</v>
      </c>
      <c r="N15" s="124"/>
      <c r="O15" s="122"/>
    </row>
    <row r="16" spans="1:17" ht="12" customHeight="1">
      <c r="A16" s="64"/>
      <c r="B16" s="147" t="str">
        <f>UPPER(LEFT(TRIM(Data!B17),1)) &amp; MID(TRIM(Data!B17),2,50)</f>
        <v>Gerklų</v>
      </c>
      <c r="C16" s="147" t="str">
        <f>Data!C17</f>
        <v>C32</v>
      </c>
      <c r="D16" s="387" t="s">
        <v>449</v>
      </c>
      <c r="E16" s="387" t="s">
        <v>600</v>
      </c>
      <c r="F16" s="66"/>
      <c r="L16" s="312">
        <v>13</v>
      </c>
      <c r="N16" s="124"/>
      <c r="O16" s="122"/>
    </row>
    <row r="17" spans="1:15" ht="12" customHeight="1">
      <c r="A17" s="64"/>
      <c r="B17" s="125" t="str">
        <f>UPPER(LEFT(TRIM(Data!B18),1)) &amp; MID(TRIM(Data!B18),2,50)</f>
        <v>Plaučių, trachėjos, bronchų</v>
      </c>
      <c r="C17" s="177" t="str">
        <f>Data!C18</f>
        <v>C33, C34</v>
      </c>
      <c r="D17" s="387" t="s">
        <v>503</v>
      </c>
      <c r="E17" s="387" t="s">
        <v>504</v>
      </c>
      <c r="F17" s="66"/>
      <c r="L17" s="312">
        <v>179</v>
      </c>
      <c r="N17" s="124"/>
      <c r="O17" s="122"/>
    </row>
    <row r="18" spans="1:15" ht="12" customHeight="1">
      <c r="A18" s="64"/>
      <c r="B18" s="147" t="str">
        <f>UPPER(LEFT(TRIM(Data!B19),1)) &amp; MID(TRIM(Data!B19),2,50)</f>
        <v>Kitų kvėpavimo sistemos organų</v>
      </c>
      <c r="C18" s="147" t="str">
        <f>Data!C19</f>
        <v>C37-C39</v>
      </c>
      <c r="D18" s="387" t="s">
        <v>601</v>
      </c>
      <c r="E18" s="387" t="s">
        <v>572</v>
      </c>
      <c r="F18" s="66"/>
      <c r="I18" s="212"/>
      <c r="J18" s="212"/>
      <c r="K18" s="212"/>
      <c r="L18" s="312">
        <v>6</v>
      </c>
      <c r="N18" s="124"/>
      <c r="O18" s="122"/>
    </row>
    <row r="19" spans="1:15" ht="12" customHeight="1">
      <c r="A19" s="64"/>
      <c r="B19" s="125" t="str">
        <f>UPPER(LEFT(TRIM(Data!B20),1)) &amp; MID(TRIM(Data!B20),2,50)</f>
        <v>Kaulų ir jungiamojo audinio</v>
      </c>
      <c r="C19" s="177" t="str">
        <f>Data!C20</f>
        <v>C40-C41, C45-C47, C49</v>
      </c>
      <c r="D19" s="387" t="s">
        <v>506</v>
      </c>
      <c r="E19" s="387" t="s">
        <v>507</v>
      </c>
      <c r="F19" s="66"/>
      <c r="I19" s="212"/>
      <c r="J19" s="212"/>
      <c r="K19" s="212"/>
      <c r="L19" s="312">
        <v>48</v>
      </c>
      <c r="N19" s="124"/>
      <c r="O19" s="122"/>
    </row>
    <row r="20" spans="1:15" ht="12" customHeight="1">
      <c r="A20" s="64"/>
      <c r="B20" s="147" t="str">
        <f>UPPER(LEFT(TRIM(Data!B21),1)) &amp; MID(TRIM(Data!B21),2,50)</f>
        <v>Odos melanoma</v>
      </c>
      <c r="C20" s="147" t="str">
        <f>Data!C21</f>
        <v>C43</v>
      </c>
      <c r="D20" s="387" t="s">
        <v>508</v>
      </c>
      <c r="E20" s="387" t="s">
        <v>509</v>
      </c>
      <c r="F20" s="66"/>
      <c r="I20" s="212"/>
      <c r="J20" s="212"/>
      <c r="K20" s="212"/>
      <c r="L20" s="312">
        <v>161</v>
      </c>
      <c r="N20" s="124"/>
      <c r="O20" s="122"/>
    </row>
    <row r="21" spans="1:15" ht="12" customHeight="1">
      <c r="A21" s="64"/>
      <c r="B21" s="125" t="str">
        <f>UPPER(LEFT(TRIM(Data!B23),1)) &amp; MID(TRIM(Data!B23),2,50)</f>
        <v>Krūties</v>
      </c>
      <c r="C21" s="177" t="str">
        <f>Data!C23</f>
        <v>C50</v>
      </c>
      <c r="D21" s="387" t="s">
        <v>510</v>
      </c>
      <c r="E21" s="387" t="s">
        <v>511</v>
      </c>
      <c r="F21" s="66"/>
      <c r="I21" s="212"/>
      <c r="J21" s="212"/>
      <c r="K21" s="543" t="s">
        <v>441</v>
      </c>
      <c r="L21" s="312">
        <v>1241</v>
      </c>
      <c r="N21" s="124"/>
      <c r="O21" s="122"/>
    </row>
    <row r="22" spans="1:15" ht="12" customHeight="1">
      <c r="A22" s="64"/>
      <c r="B22" s="147" t="str">
        <f>UPPER(LEFT(TRIM(Data!B24),1)) &amp; MID(TRIM(Data!B24),2,50)</f>
        <v>Vulvos</v>
      </c>
      <c r="C22" s="147" t="str">
        <f>Data!C24</f>
        <v>C51</v>
      </c>
      <c r="D22" s="387" t="s">
        <v>602</v>
      </c>
      <c r="E22" s="387" t="s">
        <v>603</v>
      </c>
      <c r="F22" s="66"/>
      <c r="I22" s="212"/>
      <c r="J22" s="212"/>
      <c r="K22" s="212"/>
      <c r="L22" s="312">
        <v>46</v>
      </c>
      <c r="N22" s="124"/>
      <c r="O22" s="122"/>
    </row>
    <row r="23" spans="1:15" ht="12" customHeight="1">
      <c r="A23" s="64"/>
      <c r="B23" s="125" t="str">
        <f>UPPER(LEFT(TRIM(Data!B25),1)) &amp; MID(TRIM(Data!B25),2,50)</f>
        <v>Gimdos kaklelio</v>
      </c>
      <c r="C23" s="177" t="str">
        <f>Data!C25</f>
        <v>C53</v>
      </c>
      <c r="D23" s="387" t="s">
        <v>512</v>
      </c>
      <c r="E23" s="387" t="s">
        <v>513</v>
      </c>
      <c r="F23" s="66"/>
      <c r="I23" s="212"/>
      <c r="J23" s="212"/>
      <c r="K23" s="212"/>
      <c r="L23" s="312">
        <v>446</v>
      </c>
      <c r="N23" s="124"/>
      <c r="O23" s="122"/>
    </row>
    <row r="24" spans="1:15" ht="12" customHeight="1">
      <c r="A24" s="64"/>
      <c r="B24" s="147" t="str">
        <f>UPPER(LEFT(TRIM(Data!B26),1)) &amp; MID(TRIM(Data!B26),2,50)</f>
        <v>Gimdos kūno</v>
      </c>
      <c r="C24" s="147" t="str">
        <f>Data!C26</f>
        <v>C54, C55</v>
      </c>
      <c r="D24" s="387" t="s">
        <v>514</v>
      </c>
      <c r="E24" s="387" t="s">
        <v>515</v>
      </c>
      <c r="F24" s="66"/>
      <c r="I24" s="212"/>
      <c r="J24" s="212"/>
      <c r="K24" s="212"/>
      <c r="L24" s="312">
        <v>493</v>
      </c>
      <c r="N24" s="124"/>
      <c r="O24" s="122"/>
    </row>
    <row r="25" spans="1:15" ht="12" customHeight="1">
      <c r="A25" s="64"/>
      <c r="B25" s="125" t="str">
        <f>UPPER(LEFT(TRIM(Data!B27),1)) &amp; MID(TRIM(Data!B27),2,50)</f>
        <v>Kiaušidžių</v>
      </c>
      <c r="C25" s="177" t="str">
        <f>Data!C27</f>
        <v>C56</v>
      </c>
      <c r="D25" s="387" t="s">
        <v>505</v>
      </c>
      <c r="E25" s="387" t="s">
        <v>516</v>
      </c>
      <c r="F25" s="66"/>
      <c r="I25" s="212"/>
      <c r="J25" s="212"/>
      <c r="K25" s="212"/>
      <c r="L25" s="312">
        <v>365</v>
      </c>
      <c r="N25" s="124"/>
      <c r="O25" s="122"/>
    </row>
    <row r="26" spans="1:15" ht="12" customHeight="1">
      <c r="A26" s="64"/>
      <c r="B26" s="147" t="str">
        <f>UPPER(LEFT(TRIM(Data!B30),1)) &amp; MID(TRIM(Data!B30),2,50)</f>
        <v>Kitų lyties organų</v>
      </c>
      <c r="C26" s="147" t="s">
        <v>418</v>
      </c>
      <c r="D26" s="387" t="s">
        <v>604</v>
      </c>
      <c r="E26" s="387" t="s">
        <v>605</v>
      </c>
      <c r="F26" s="66"/>
      <c r="I26" s="212"/>
      <c r="J26" s="212"/>
      <c r="K26" s="543" t="s">
        <v>441</v>
      </c>
      <c r="L26" s="312">
        <v>14</v>
      </c>
      <c r="N26" s="124"/>
      <c r="O26" s="122"/>
    </row>
    <row r="27" spans="1:15" ht="12" customHeight="1">
      <c r="A27" s="64"/>
      <c r="B27" s="125" t="str">
        <f>UPPER(LEFT(TRIM(Data!B31),1)) &amp; MID(TRIM(Data!B31),2,50)</f>
        <v>Inkstų</v>
      </c>
      <c r="C27" s="177" t="str">
        <f>Data!C31</f>
        <v>C64</v>
      </c>
      <c r="D27" s="387" t="s">
        <v>517</v>
      </c>
      <c r="E27" s="387" t="s">
        <v>518</v>
      </c>
      <c r="F27" s="66"/>
      <c r="I27" s="212"/>
      <c r="J27" s="212"/>
      <c r="K27" s="212"/>
      <c r="L27" s="312">
        <v>283</v>
      </c>
      <c r="N27" s="124"/>
      <c r="O27" s="122"/>
    </row>
    <row r="28" spans="1:15" ht="12" customHeight="1">
      <c r="A28" s="64"/>
      <c r="B28" s="147" t="str">
        <f>UPPER(LEFT(TRIM(Data!B32),1)) &amp; MID(TRIM(Data!B32),2,50)</f>
        <v>Šlapimo pūslės</v>
      </c>
      <c r="C28" s="147" t="str">
        <f>Data!C32</f>
        <v>C67</v>
      </c>
      <c r="D28" s="387" t="s">
        <v>519</v>
      </c>
      <c r="E28" s="387" t="s">
        <v>520</v>
      </c>
      <c r="F28" s="66"/>
      <c r="L28" s="312">
        <v>83</v>
      </c>
      <c r="N28" s="124"/>
      <c r="O28" s="122"/>
    </row>
    <row r="29" spans="1:15" ht="12" customHeight="1">
      <c r="A29" s="64"/>
      <c r="B29" s="125" t="str">
        <f>UPPER(LEFT(TRIM(Data!B33),1)) &amp; MID(TRIM(Data!B33),2,50)</f>
        <v>Kitų šlapimą išskiriančių organų</v>
      </c>
      <c r="C29" s="177" t="str">
        <f>Data!C33</f>
        <v>C65, C66, C68</v>
      </c>
      <c r="D29" s="387" t="s">
        <v>606</v>
      </c>
      <c r="E29" s="387" t="s">
        <v>607</v>
      </c>
      <c r="F29" s="66"/>
      <c r="L29" s="312">
        <v>14</v>
      </c>
      <c r="N29" s="124"/>
      <c r="O29" s="122"/>
    </row>
    <row r="30" spans="1:15" ht="12" customHeight="1">
      <c r="A30" s="64"/>
      <c r="B30" s="147" t="str">
        <f>UPPER(LEFT(TRIM(Data!B34),1)) &amp; MID(TRIM(Data!B34),2,50)</f>
        <v>Akių</v>
      </c>
      <c r="C30" s="147" t="str">
        <f>Data!C34</f>
        <v>C69</v>
      </c>
      <c r="D30" s="387" t="s">
        <v>521</v>
      </c>
      <c r="E30" s="387" t="s">
        <v>533</v>
      </c>
      <c r="F30" s="66"/>
      <c r="L30" s="312">
        <v>11</v>
      </c>
      <c r="N30" s="124"/>
      <c r="O30" s="122"/>
    </row>
    <row r="31" spans="1:15" ht="12" customHeight="1">
      <c r="A31" s="64"/>
      <c r="B31" s="125" t="str">
        <f>UPPER(LEFT(TRIM(Data!B35),1)) &amp; MID(TRIM(Data!B35),2,50)</f>
        <v>Smegenų</v>
      </c>
      <c r="C31" s="177" t="str">
        <f>Data!C35</f>
        <v>C70-C72</v>
      </c>
      <c r="D31" s="387" t="s">
        <v>522</v>
      </c>
      <c r="E31" s="387" t="s">
        <v>523</v>
      </c>
      <c r="F31" s="66"/>
      <c r="L31" s="312">
        <v>106</v>
      </c>
      <c r="N31" s="124"/>
      <c r="O31" s="122"/>
    </row>
    <row r="32" spans="1:15" ht="12" customHeight="1">
      <c r="A32" s="64"/>
      <c r="B32" s="147" t="str">
        <f>UPPER(LEFT(TRIM(Data!B36),1)) &amp; MID(TRIM(Data!B36),2,50)</f>
        <v>Skydliaukės</v>
      </c>
      <c r="C32" s="147" t="str">
        <f>Data!C36</f>
        <v>C73</v>
      </c>
      <c r="D32" s="387" t="s">
        <v>524</v>
      </c>
      <c r="E32" s="387" t="s">
        <v>525</v>
      </c>
      <c r="F32" s="66"/>
      <c r="L32" s="312">
        <v>262</v>
      </c>
      <c r="N32" s="124"/>
      <c r="O32" s="122"/>
    </row>
    <row r="33" spans="1:17" ht="12" customHeight="1">
      <c r="A33" s="64"/>
      <c r="B33" s="125" t="str">
        <f>UPPER(LEFT(TRIM(Data!B37),1)) &amp; MID(TRIM(Data!B37),2,50)</f>
        <v>Kitų endokrininių liaukų</v>
      </c>
      <c r="C33" s="177" t="str">
        <f>Data!C37</f>
        <v>C74-C75</v>
      </c>
      <c r="D33" s="387" t="s">
        <v>608</v>
      </c>
      <c r="E33" s="387" t="s">
        <v>609</v>
      </c>
      <c r="F33" s="66"/>
      <c r="L33" s="312">
        <v>6</v>
      </c>
      <c r="N33" s="124"/>
      <c r="O33" s="122"/>
    </row>
    <row r="34" spans="1:17" ht="12" customHeight="1">
      <c r="A34" s="64"/>
      <c r="B34" s="147" t="str">
        <f>UPPER(LEFT(TRIM(Data!B38),1)) &amp; MID(TRIM(Data!B38),2,50)</f>
        <v>Nepatikslintos lokalizacijos</v>
      </c>
      <c r="C34" s="147" t="str">
        <f>Data!C38</f>
        <v>C76-C80</v>
      </c>
      <c r="D34" s="387" t="s">
        <v>526</v>
      </c>
      <c r="E34" s="387" t="s">
        <v>527</v>
      </c>
      <c r="F34" s="66"/>
      <c r="L34" s="312">
        <v>134</v>
      </c>
      <c r="N34" s="124"/>
      <c r="O34" s="122"/>
    </row>
    <row r="35" spans="1:17" ht="12" customHeight="1">
      <c r="A35" s="64"/>
      <c r="B35" s="125" t="str">
        <f>UPPER(LEFT(TRIM(Data!B39),1)) &amp; MID(TRIM(Data!B39),2,50)</f>
        <v>Hodžkino limfomos</v>
      </c>
      <c r="C35" s="177" t="str">
        <f>Data!C39</f>
        <v>C81</v>
      </c>
      <c r="D35" s="387" t="s">
        <v>610</v>
      </c>
      <c r="E35" s="387" t="s">
        <v>611</v>
      </c>
      <c r="F35" s="66"/>
      <c r="L35" s="312">
        <v>28</v>
      </c>
      <c r="N35" s="124"/>
      <c r="O35" s="122"/>
    </row>
    <row r="36" spans="1:17" ht="12" customHeight="1">
      <c r="A36" s="64"/>
      <c r="B36" s="147" t="str">
        <f>UPPER(LEFT(TRIM(Data!B40),1)) &amp; MID(TRIM(Data!B40),2,50)</f>
        <v>Ne Hodžkino limfomos</v>
      </c>
      <c r="C36" s="147" t="str">
        <f>Data!C40</f>
        <v>C82-C85</v>
      </c>
      <c r="D36" s="387" t="s">
        <v>528</v>
      </c>
      <c r="E36" s="387" t="s">
        <v>529</v>
      </c>
      <c r="F36" s="66"/>
      <c r="L36" s="312">
        <v>140</v>
      </c>
      <c r="N36" s="124"/>
      <c r="O36" s="122"/>
    </row>
    <row r="37" spans="1:17" ht="12" customHeight="1">
      <c r="A37" s="64"/>
      <c r="B37" s="125" t="str">
        <f>UPPER(LEFT(TRIM(Data!B41),1)) &amp; MID(TRIM(Data!B41),2,50)</f>
        <v>Mielominės ligos</v>
      </c>
      <c r="C37" s="177" t="str">
        <f>Data!C41</f>
        <v>C90</v>
      </c>
      <c r="D37" s="387" t="s">
        <v>535</v>
      </c>
      <c r="E37" s="387" t="s">
        <v>534</v>
      </c>
      <c r="F37" s="66"/>
      <c r="L37" s="312">
        <v>73</v>
      </c>
      <c r="N37" s="124"/>
      <c r="O37" s="122"/>
    </row>
    <row r="38" spans="1:17" ht="12" customHeight="1">
      <c r="A38" s="64"/>
      <c r="B38" s="147" t="str">
        <f>UPPER(LEFT(TRIM(Data!B42),1)) &amp; MID(TRIM(Data!B42),2,50)</f>
        <v>Leukemijos</v>
      </c>
      <c r="C38" s="147" t="str">
        <f>Data!C42</f>
        <v>C91-C95</v>
      </c>
      <c r="D38" s="387" t="s">
        <v>530</v>
      </c>
      <c r="E38" s="387" t="s">
        <v>531</v>
      </c>
      <c r="F38" s="66"/>
      <c r="L38" s="312">
        <v>165</v>
      </c>
      <c r="N38" s="124"/>
      <c r="O38" s="122"/>
    </row>
    <row r="39" spans="1:17" ht="12" customHeight="1">
      <c r="A39" s="64"/>
      <c r="B39" s="125" t="str">
        <f>UPPER(LEFT(TRIM(Data!B43),1)) &amp; MID(TRIM(Data!B43),2,50)</f>
        <v>Kiti limfinio, kraujodaros audinių</v>
      </c>
      <c r="C39" s="177" t="str">
        <f>Data!C43</f>
        <v>C88, C96</v>
      </c>
      <c r="D39" s="387" t="s">
        <v>601</v>
      </c>
      <c r="E39" s="387" t="s">
        <v>612</v>
      </c>
      <c r="F39" s="66"/>
      <c r="L39" s="312">
        <v>3</v>
      </c>
      <c r="N39" s="124"/>
      <c r="O39" s="122"/>
    </row>
    <row r="40" spans="1:17">
      <c r="A40" s="66"/>
      <c r="B40" s="66"/>
      <c r="C40" s="66"/>
      <c r="D40" s="66"/>
      <c r="E40" s="66"/>
      <c r="F40" s="66"/>
      <c r="L40" s="312"/>
      <c r="O40" s="122"/>
      <c r="P40" s="122"/>
      <c r="Q40" s="122"/>
    </row>
    <row r="41" spans="1:17">
      <c r="A41" s="66"/>
      <c r="B41" s="67" t="s">
        <v>536</v>
      </c>
      <c r="C41" s="66"/>
      <c r="D41" s="66"/>
      <c r="E41" s="66"/>
      <c r="F41" s="66"/>
    </row>
  </sheetData>
  <pageMargins left="0.59055118110236215" right="0.62992125984251968" top="1.5748031496062993" bottom="1.9685039370078741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>
    <tabColor theme="4" tint="0.39997558519241921"/>
  </sheetPr>
  <dimension ref="A1:BC41"/>
  <sheetViews>
    <sheetView workbookViewId="0">
      <pane xSplit="1" topLeftCell="Y1" activePane="topRight" state="frozen"/>
      <selection activeCell="DV55" sqref="DV55"/>
      <selection pane="topRight" activeCell="AR6" sqref="AR6"/>
    </sheetView>
  </sheetViews>
  <sheetFormatPr defaultRowHeight="12.75"/>
  <cols>
    <col min="1" max="1" width="6.42578125" bestFit="1" customWidth="1"/>
    <col min="2" max="33" width="7.140625" bestFit="1" customWidth="1"/>
    <col min="34" max="35" width="8" bestFit="1" customWidth="1"/>
    <col min="36" max="36" width="9" bestFit="1" customWidth="1"/>
    <col min="37" max="42" width="8" bestFit="1" customWidth="1"/>
    <col min="43" max="54" width="7.140625" bestFit="1" customWidth="1"/>
  </cols>
  <sheetData>
    <row r="1" spans="1:55" ht="15">
      <c r="A1" s="36"/>
      <c r="B1" s="37" t="s">
        <v>269</v>
      </c>
      <c r="C1" s="37" t="s">
        <v>270</v>
      </c>
      <c r="D1" s="37" t="s">
        <v>271</v>
      </c>
      <c r="E1" s="37" t="s">
        <v>272</v>
      </c>
      <c r="F1" s="37" t="s">
        <v>273</v>
      </c>
      <c r="G1" s="37" t="s">
        <v>274</v>
      </c>
      <c r="H1" s="37" t="s">
        <v>275</v>
      </c>
      <c r="I1" s="37" t="s">
        <v>276</v>
      </c>
      <c r="J1" s="37" t="s">
        <v>277</v>
      </c>
      <c r="K1" s="37" t="s">
        <v>278</v>
      </c>
      <c r="L1" s="37" t="s">
        <v>279</v>
      </c>
      <c r="M1" s="38" t="s">
        <v>280</v>
      </c>
      <c r="N1" s="38" t="s">
        <v>281</v>
      </c>
      <c r="O1" s="38" t="s">
        <v>282</v>
      </c>
      <c r="P1" s="38" t="s">
        <v>283</v>
      </c>
      <c r="Q1" s="39" t="s">
        <v>284</v>
      </c>
      <c r="R1" s="38" t="s">
        <v>285</v>
      </c>
      <c r="S1" s="38" t="s">
        <v>286</v>
      </c>
      <c r="T1" s="38" t="s">
        <v>287</v>
      </c>
      <c r="U1" s="38" t="s">
        <v>288</v>
      </c>
      <c r="V1" s="38" t="s">
        <v>289</v>
      </c>
      <c r="W1" s="38" t="s">
        <v>290</v>
      </c>
      <c r="X1" s="38" t="s">
        <v>291</v>
      </c>
      <c r="Y1" s="38" t="s">
        <v>292</v>
      </c>
      <c r="Z1" s="38" t="s">
        <v>293</v>
      </c>
      <c r="AA1" s="38" t="s">
        <v>294</v>
      </c>
      <c r="AB1" s="38" t="s">
        <v>295</v>
      </c>
      <c r="AC1" s="38" t="s">
        <v>296</v>
      </c>
      <c r="AD1" s="38" t="s">
        <v>297</v>
      </c>
      <c r="AE1" s="38" t="s">
        <v>298</v>
      </c>
      <c r="AF1" s="36" t="s">
        <v>299</v>
      </c>
      <c r="AG1" s="36" t="s">
        <v>300</v>
      </c>
      <c r="AH1" s="36" t="s">
        <v>360</v>
      </c>
      <c r="AI1" s="36" t="s">
        <v>361</v>
      </c>
      <c r="AJ1" s="36" t="s">
        <v>362</v>
      </c>
      <c r="AK1" s="370" t="s">
        <v>363</v>
      </c>
      <c r="AL1" s="370" t="s">
        <v>364</v>
      </c>
      <c r="AM1" s="370" t="s">
        <v>365</v>
      </c>
      <c r="AN1" s="370" t="s">
        <v>366</v>
      </c>
      <c r="AO1" s="370" t="s">
        <v>367</v>
      </c>
      <c r="AP1" s="370" t="s">
        <v>368</v>
      </c>
      <c r="AQ1" s="36" t="s">
        <v>369</v>
      </c>
      <c r="AR1" s="36" t="s">
        <v>370</v>
      </c>
      <c r="AS1" s="36" t="s">
        <v>371</v>
      </c>
      <c r="AT1" s="36" t="s">
        <v>372</v>
      </c>
      <c r="AU1" s="36" t="s">
        <v>373</v>
      </c>
      <c r="AV1" s="36" t="s">
        <v>374</v>
      </c>
      <c r="AW1" s="36" t="s">
        <v>375</v>
      </c>
      <c r="AX1" s="36" t="s">
        <v>376</v>
      </c>
      <c r="AY1" s="36" t="s">
        <v>377</v>
      </c>
      <c r="AZ1" s="36" t="s">
        <v>378</v>
      </c>
      <c r="BA1" s="36" t="s">
        <v>379</v>
      </c>
      <c r="BB1" s="36" t="s">
        <v>380</v>
      </c>
      <c r="BC1" s="36"/>
    </row>
    <row r="2" spans="1:55">
      <c r="A2" s="40" t="s">
        <v>301</v>
      </c>
      <c r="B2" s="41">
        <v>131689</v>
      </c>
      <c r="C2" s="41">
        <v>130513</v>
      </c>
      <c r="D2" s="41">
        <v>132187</v>
      </c>
      <c r="E2" s="41">
        <v>133787</v>
      </c>
      <c r="F2" s="41">
        <v>134384</v>
      </c>
      <c r="G2" s="41">
        <v>136546</v>
      </c>
      <c r="H2" s="41">
        <v>139483</v>
      </c>
      <c r="I2" s="41">
        <v>142298</v>
      </c>
      <c r="J2" s="41">
        <v>145516</v>
      </c>
      <c r="K2" s="41">
        <v>149183</v>
      </c>
      <c r="L2" s="41">
        <v>150799</v>
      </c>
      <c r="M2" s="42">
        <v>150617</v>
      </c>
      <c r="N2" s="42">
        <v>148814</v>
      </c>
      <c r="O2" s="42">
        <v>147085</v>
      </c>
      <c r="P2" s="42">
        <v>143802</v>
      </c>
      <c r="Q2" s="42">
        <v>140232</v>
      </c>
      <c r="R2" s="42">
        <v>134845</v>
      </c>
      <c r="S2" s="42">
        <v>127701</v>
      </c>
      <c r="T2" s="42">
        <v>120033</v>
      </c>
      <c r="U2" s="42">
        <v>111826</v>
      </c>
      <c r="V2" s="42">
        <v>104175</v>
      </c>
      <c r="W2" s="42">
        <v>99348</v>
      </c>
      <c r="X2" s="42">
        <v>96699</v>
      </c>
      <c r="Y2" s="43">
        <v>91119</v>
      </c>
      <c r="Z2" s="43">
        <v>87942</v>
      </c>
      <c r="AA2" s="43">
        <v>84468</v>
      </c>
      <c r="AB2" s="43">
        <v>81183</v>
      </c>
      <c r="AC2" s="43">
        <v>78571</v>
      </c>
      <c r="AD2" s="41">
        <v>77556</v>
      </c>
      <c r="AE2" s="41">
        <v>78012</v>
      </c>
      <c r="AF2" s="27">
        <v>79685</v>
      </c>
      <c r="AG2" s="27">
        <v>82395</v>
      </c>
      <c r="AH2" s="295">
        <v>84750</v>
      </c>
      <c r="AI2" s="34">
        <v>86409</v>
      </c>
      <c r="AJ2" s="304">
        <v>76990</v>
      </c>
      <c r="AK2" s="371">
        <v>77450</v>
      </c>
      <c r="AL2" s="371">
        <v>77249</v>
      </c>
      <c r="AM2" s="372">
        <v>77411</v>
      </c>
      <c r="AN2" s="372">
        <v>77507</v>
      </c>
      <c r="AO2" s="372">
        <v>76849</v>
      </c>
      <c r="AP2" s="372">
        <v>76159</v>
      </c>
    </row>
    <row r="3" spans="1:55">
      <c r="A3" s="40" t="s">
        <v>302</v>
      </c>
      <c r="B3" s="41">
        <v>139284</v>
      </c>
      <c r="C3" s="41">
        <v>138175</v>
      </c>
      <c r="D3" s="41">
        <v>137947</v>
      </c>
      <c r="E3" s="41">
        <v>136594</v>
      </c>
      <c r="F3" s="41">
        <v>134240</v>
      </c>
      <c r="G3" s="41">
        <v>133266</v>
      </c>
      <c r="H3" s="41">
        <v>133212</v>
      </c>
      <c r="I3" s="41">
        <v>133845</v>
      </c>
      <c r="J3" s="41">
        <v>134632</v>
      </c>
      <c r="K3" s="41">
        <v>135502</v>
      </c>
      <c r="L3" s="41">
        <v>137771</v>
      </c>
      <c r="M3" s="42">
        <v>139411</v>
      </c>
      <c r="N3" s="42">
        <v>141882</v>
      </c>
      <c r="O3" s="42">
        <v>143708</v>
      </c>
      <c r="P3" s="42">
        <v>147043</v>
      </c>
      <c r="Q3" s="42">
        <v>148045</v>
      </c>
      <c r="R3" s="42">
        <v>145569</v>
      </c>
      <c r="S3" s="42">
        <v>143129</v>
      </c>
      <c r="T3" s="42">
        <v>141301</v>
      </c>
      <c r="U3" s="42">
        <v>138265</v>
      </c>
      <c r="V3" s="42">
        <v>135836</v>
      </c>
      <c r="W3" s="42">
        <v>131807</v>
      </c>
      <c r="X3" s="42">
        <v>125674</v>
      </c>
      <c r="Y3" s="43">
        <v>115144</v>
      </c>
      <c r="Z3" s="43">
        <v>107047</v>
      </c>
      <c r="AA3" s="43">
        <v>100870</v>
      </c>
      <c r="AB3" s="43">
        <v>96934</v>
      </c>
      <c r="AC3" s="43">
        <v>93701</v>
      </c>
      <c r="AD3" s="41">
        <v>90119</v>
      </c>
      <c r="AE3" s="41">
        <v>86417</v>
      </c>
      <c r="AF3" s="27">
        <v>82973</v>
      </c>
      <c r="AG3" s="27">
        <v>79779</v>
      </c>
      <c r="AH3" s="295">
        <v>76712</v>
      </c>
      <c r="AI3" s="34">
        <v>74832</v>
      </c>
      <c r="AJ3" s="304">
        <v>69031</v>
      </c>
      <c r="AK3" s="371">
        <v>69004</v>
      </c>
      <c r="AL3" s="371">
        <v>69932</v>
      </c>
      <c r="AM3" s="372">
        <v>71269</v>
      </c>
      <c r="AN3" s="372">
        <v>72451</v>
      </c>
      <c r="AO3" s="372">
        <v>73539</v>
      </c>
      <c r="AP3" s="372">
        <v>74063</v>
      </c>
    </row>
    <row r="4" spans="1:55">
      <c r="A4" s="40" t="s">
        <v>303</v>
      </c>
      <c r="B4" s="41">
        <v>138704</v>
      </c>
      <c r="C4" s="41">
        <v>138153</v>
      </c>
      <c r="D4" s="41">
        <v>137712</v>
      </c>
      <c r="E4" s="41">
        <v>139032</v>
      </c>
      <c r="F4" s="41">
        <v>142269</v>
      </c>
      <c r="G4" s="41">
        <v>142998</v>
      </c>
      <c r="H4" s="41">
        <v>141744</v>
      </c>
      <c r="I4" s="41">
        <v>139379</v>
      </c>
      <c r="J4" s="41">
        <v>136783</v>
      </c>
      <c r="K4" s="41">
        <v>134640</v>
      </c>
      <c r="L4" s="41">
        <v>133388</v>
      </c>
      <c r="M4" s="42">
        <v>133157</v>
      </c>
      <c r="N4" s="42">
        <v>133254</v>
      </c>
      <c r="O4" s="42">
        <v>133581</v>
      </c>
      <c r="P4" s="42">
        <v>133109</v>
      </c>
      <c r="Q4" s="42">
        <v>132767</v>
      </c>
      <c r="R4" s="42">
        <v>134517</v>
      </c>
      <c r="S4" s="42">
        <v>136206</v>
      </c>
      <c r="T4" s="42">
        <v>137883</v>
      </c>
      <c r="U4" s="42">
        <v>141197</v>
      </c>
      <c r="V4" s="42">
        <v>143146</v>
      </c>
      <c r="W4" s="42">
        <v>142025</v>
      </c>
      <c r="X4" s="42">
        <v>140714</v>
      </c>
      <c r="Y4" s="43">
        <v>138516</v>
      </c>
      <c r="Z4" s="43">
        <v>136193</v>
      </c>
      <c r="AA4" s="43">
        <v>133112</v>
      </c>
      <c r="AB4" s="43">
        <v>128086</v>
      </c>
      <c r="AC4" s="43">
        <v>121430</v>
      </c>
      <c r="AD4" s="41">
        <v>113914</v>
      </c>
      <c r="AE4" s="41">
        <v>106035</v>
      </c>
      <c r="AF4" s="27">
        <v>99395</v>
      </c>
      <c r="AG4" s="27">
        <v>95329</v>
      </c>
      <c r="AH4" s="295">
        <v>91644</v>
      </c>
      <c r="AI4" s="34">
        <v>87294</v>
      </c>
      <c r="AJ4" s="304">
        <v>80024</v>
      </c>
      <c r="AK4" s="371">
        <v>75796</v>
      </c>
      <c r="AL4" s="371">
        <v>72002</v>
      </c>
      <c r="AM4" s="372">
        <v>68846</v>
      </c>
      <c r="AN4" s="372">
        <v>66827</v>
      </c>
      <c r="AO4" s="372">
        <v>65887</v>
      </c>
      <c r="AP4" s="372">
        <v>65878</v>
      </c>
    </row>
    <row r="5" spans="1:55">
      <c r="A5" s="40" t="s">
        <v>304</v>
      </c>
      <c r="B5" s="41">
        <v>155199</v>
      </c>
      <c r="C5" s="41">
        <v>154891</v>
      </c>
      <c r="D5" s="41">
        <v>148766</v>
      </c>
      <c r="E5" s="41">
        <v>147251</v>
      </c>
      <c r="F5" s="41">
        <v>144185</v>
      </c>
      <c r="G5" s="41">
        <v>141939</v>
      </c>
      <c r="H5" s="41">
        <v>142305</v>
      </c>
      <c r="I5" s="41">
        <v>142741</v>
      </c>
      <c r="J5" s="41">
        <v>143935</v>
      </c>
      <c r="K5" s="41">
        <v>145026</v>
      </c>
      <c r="L5" s="41">
        <v>145335</v>
      </c>
      <c r="M5" s="42">
        <v>145358</v>
      </c>
      <c r="N5" s="42">
        <v>142451</v>
      </c>
      <c r="O5" s="42">
        <v>137971</v>
      </c>
      <c r="P5" s="42">
        <v>135002</v>
      </c>
      <c r="Q5" s="42">
        <v>131537</v>
      </c>
      <c r="R5" s="42">
        <v>129826</v>
      </c>
      <c r="S5" s="42">
        <v>128542</v>
      </c>
      <c r="T5" s="42">
        <v>128079</v>
      </c>
      <c r="U5" s="42">
        <v>127145</v>
      </c>
      <c r="V5" s="42">
        <v>127491</v>
      </c>
      <c r="W5" s="42">
        <v>130080</v>
      </c>
      <c r="X5" s="42">
        <v>132781</v>
      </c>
      <c r="Y5" s="43">
        <v>136538</v>
      </c>
      <c r="Z5" s="43">
        <v>140686</v>
      </c>
      <c r="AA5" s="43">
        <v>141389</v>
      </c>
      <c r="AB5" s="43">
        <v>140302</v>
      </c>
      <c r="AC5" s="43">
        <v>139080</v>
      </c>
      <c r="AD5" s="41">
        <v>136998</v>
      </c>
      <c r="AE5" s="41">
        <v>134401</v>
      </c>
      <c r="AF5" s="27">
        <v>131324</v>
      </c>
      <c r="AG5" s="27">
        <v>126232</v>
      </c>
      <c r="AH5" s="295">
        <v>118623</v>
      </c>
      <c r="AI5" s="34">
        <v>110176</v>
      </c>
      <c r="AJ5" s="304">
        <v>99735</v>
      </c>
      <c r="AK5" s="371">
        <v>93604</v>
      </c>
      <c r="AL5" s="371">
        <v>89285</v>
      </c>
      <c r="AM5" s="372">
        <v>85448</v>
      </c>
      <c r="AN5" s="372">
        <v>81035</v>
      </c>
      <c r="AO5" s="372">
        <v>76378</v>
      </c>
      <c r="AP5" s="372">
        <v>72171</v>
      </c>
    </row>
    <row r="6" spans="1:55">
      <c r="A6" s="40" t="s">
        <v>305</v>
      </c>
      <c r="B6" s="41">
        <v>134427</v>
      </c>
      <c r="C6" s="41">
        <v>138589</v>
      </c>
      <c r="D6" s="41">
        <v>142873</v>
      </c>
      <c r="E6" s="41">
        <v>146824</v>
      </c>
      <c r="F6" s="41">
        <v>151795</v>
      </c>
      <c r="G6" s="41">
        <v>152980</v>
      </c>
      <c r="H6" s="41">
        <v>150473</v>
      </c>
      <c r="I6" s="41">
        <v>148188</v>
      </c>
      <c r="J6" s="41">
        <v>145729</v>
      </c>
      <c r="K6" s="41">
        <v>143986</v>
      </c>
      <c r="L6" s="41">
        <v>143847</v>
      </c>
      <c r="M6" s="42">
        <v>143617</v>
      </c>
      <c r="N6" s="42">
        <v>143222</v>
      </c>
      <c r="O6" s="42">
        <v>144801</v>
      </c>
      <c r="P6" s="42">
        <v>144958</v>
      </c>
      <c r="Q6" s="42">
        <v>144602</v>
      </c>
      <c r="R6" s="42">
        <v>143642</v>
      </c>
      <c r="S6" s="42">
        <v>138577</v>
      </c>
      <c r="T6" s="42">
        <v>132385</v>
      </c>
      <c r="U6" s="42">
        <v>127740</v>
      </c>
      <c r="V6" s="42">
        <v>123260</v>
      </c>
      <c r="W6" s="42">
        <v>120542</v>
      </c>
      <c r="X6" s="42">
        <v>119383</v>
      </c>
      <c r="Y6" s="43">
        <v>119120</v>
      </c>
      <c r="Z6" s="43">
        <v>121864</v>
      </c>
      <c r="AA6" s="43">
        <v>124841</v>
      </c>
      <c r="AB6" s="43">
        <v>127662</v>
      </c>
      <c r="AC6" s="43">
        <v>130233</v>
      </c>
      <c r="AD6" s="41">
        <v>133973</v>
      </c>
      <c r="AE6" s="41">
        <v>137683</v>
      </c>
      <c r="AF6" s="27">
        <v>138913</v>
      </c>
      <c r="AG6" s="27">
        <v>137593</v>
      </c>
      <c r="AH6" s="295">
        <v>133182</v>
      </c>
      <c r="AI6" s="34">
        <v>127001</v>
      </c>
      <c r="AJ6" s="304">
        <v>110229</v>
      </c>
      <c r="AK6" s="371">
        <v>110043</v>
      </c>
      <c r="AL6" s="371">
        <v>108219</v>
      </c>
      <c r="AM6" s="372">
        <v>103455</v>
      </c>
      <c r="AN6" s="372">
        <v>96853</v>
      </c>
      <c r="AO6" s="372">
        <v>89369</v>
      </c>
      <c r="AP6" s="372">
        <v>83286</v>
      </c>
    </row>
    <row r="7" spans="1:55">
      <c r="A7" s="40" t="s">
        <v>306</v>
      </c>
      <c r="B7" s="41">
        <v>122359</v>
      </c>
      <c r="C7" s="41">
        <v>122601</v>
      </c>
      <c r="D7" s="41">
        <v>123687</v>
      </c>
      <c r="E7" s="41">
        <v>124593</v>
      </c>
      <c r="F7" s="41">
        <v>126931</v>
      </c>
      <c r="G7" s="41">
        <v>132500</v>
      </c>
      <c r="H7" s="41">
        <v>139275</v>
      </c>
      <c r="I7" s="41">
        <v>145125</v>
      </c>
      <c r="J7" s="41">
        <v>150983</v>
      </c>
      <c r="K7" s="41">
        <v>155503</v>
      </c>
      <c r="L7" s="41">
        <v>157345</v>
      </c>
      <c r="M7" s="42">
        <v>157465</v>
      </c>
      <c r="N7" s="42">
        <v>156652</v>
      </c>
      <c r="O7" s="42">
        <v>152730</v>
      </c>
      <c r="P7" s="42">
        <v>148762</v>
      </c>
      <c r="Q7" s="42">
        <v>145060</v>
      </c>
      <c r="R7" s="42">
        <v>141023</v>
      </c>
      <c r="S7" s="42">
        <v>138731</v>
      </c>
      <c r="T7" s="42">
        <v>138489</v>
      </c>
      <c r="U7" s="42">
        <v>136483</v>
      </c>
      <c r="V7" s="42">
        <v>134216</v>
      </c>
      <c r="W7" s="42">
        <v>131123</v>
      </c>
      <c r="X7" s="42">
        <v>125562</v>
      </c>
      <c r="Y7" s="43">
        <v>119109</v>
      </c>
      <c r="Z7" s="43">
        <v>116209</v>
      </c>
      <c r="AA7" s="43">
        <v>114649</v>
      </c>
      <c r="AB7" s="43">
        <v>113937</v>
      </c>
      <c r="AC7" s="43">
        <v>113898</v>
      </c>
      <c r="AD7" s="41">
        <v>114921</v>
      </c>
      <c r="AE7" s="41">
        <v>116592</v>
      </c>
      <c r="AF7" s="27">
        <v>119267</v>
      </c>
      <c r="AG7" s="27">
        <v>122511</v>
      </c>
      <c r="AH7" s="295">
        <v>121939</v>
      </c>
      <c r="AI7" s="34">
        <v>120249</v>
      </c>
      <c r="AJ7" s="304">
        <v>98582</v>
      </c>
      <c r="AK7" s="371">
        <v>99495</v>
      </c>
      <c r="AL7" s="371">
        <v>99919</v>
      </c>
      <c r="AM7" s="372">
        <v>100471</v>
      </c>
      <c r="AN7" s="372">
        <v>100254</v>
      </c>
      <c r="AO7" s="372">
        <v>98882</v>
      </c>
      <c r="AP7" s="372">
        <v>97886</v>
      </c>
    </row>
    <row r="8" spans="1:55">
      <c r="A8" s="40" t="s">
        <v>307</v>
      </c>
      <c r="B8" s="41">
        <v>105596</v>
      </c>
      <c r="C8" s="41">
        <v>106365</v>
      </c>
      <c r="D8" s="41">
        <v>111848</v>
      </c>
      <c r="E8" s="41">
        <v>114676</v>
      </c>
      <c r="F8" s="41">
        <v>117623</v>
      </c>
      <c r="G8" s="41">
        <v>119595</v>
      </c>
      <c r="H8" s="41">
        <v>120797</v>
      </c>
      <c r="I8" s="41">
        <v>122413</v>
      </c>
      <c r="J8" s="41">
        <v>124516</v>
      </c>
      <c r="K8" s="41">
        <v>128021</v>
      </c>
      <c r="L8" s="41">
        <v>134101</v>
      </c>
      <c r="M8" s="42">
        <v>137975</v>
      </c>
      <c r="N8" s="42">
        <v>143073</v>
      </c>
      <c r="O8" s="42">
        <v>148057</v>
      </c>
      <c r="P8" s="42">
        <v>152745</v>
      </c>
      <c r="Q8" s="42">
        <v>153104</v>
      </c>
      <c r="R8" s="42">
        <v>150725</v>
      </c>
      <c r="S8" s="42">
        <v>148538</v>
      </c>
      <c r="T8" s="42">
        <v>143757</v>
      </c>
      <c r="U8" s="42">
        <v>138967</v>
      </c>
      <c r="V8" s="42">
        <v>134916</v>
      </c>
      <c r="W8" s="42">
        <v>130351</v>
      </c>
      <c r="X8" s="42">
        <v>127451</v>
      </c>
      <c r="Y8" s="43">
        <v>126013</v>
      </c>
      <c r="Z8" s="43">
        <v>124929</v>
      </c>
      <c r="AA8" s="43">
        <v>124028</v>
      </c>
      <c r="AB8" s="43">
        <v>121916</v>
      </c>
      <c r="AC8" s="43">
        <v>118658</v>
      </c>
      <c r="AD8" s="41">
        <v>115356</v>
      </c>
      <c r="AE8" s="41">
        <v>112497</v>
      </c>
      <c r="AF8" s="27">
        <v>110606</v>
      </c>
      <c r="AG8" s="27">
        <v>109666</v>
      </c>
      <c r="AH8" s="295">
        <v>107082</v>
      </c>
      <c r="AI8" s="34">
        <v>104308</v>
      </c>
      <c r="AJ8" s="304">
        <v>89229</v>
      </c>
      <c r="AK8" s="371">
        <v>88515</v>
      </c>
      <c r="AL8" s="371">
        <v>89381</v>
      </c>
      <c r="AM8" s="372">
        <v>90329</v>
      </c>
      <c r="AN8" s="372">
        <v>91092</v>
      </c>
      <c r="AO8" s="372">
        <v>92555</v>
      </c>
      <c r="AP8" s="372">
        <v>94487</v>
      </c>
    </row>
    <row r="9" spans="1:55">
      <c r="A9" s="40" t="s">
        <v>308</v>
      </c>
      <c r="B9" s="41">
        <v>115754</v>
      </c>
      <c r="C9" s="41">
        <v>114105</v>
      </c>
      <c r="D9" s="41">
        <v>108874</v>
      </c>
      <c r="E9" s="41">
        <v>105106</v>
      </c>
      <c r="F9" s="41">
        <v>101487</v>
      </c>
      <c r="G9" s="41">
        <v>100748</v>
      </c>
      <c r="H9" s="41">
        <v>104287</v>
      </c>
      <c r="I9" s="41">
        <v>108997</v>
      </c>
      <c r="J9" s="41">
        <v>112887</v>
      </c>
      <c r="K9" s="41">
        <v>117027</v>
      </c>
      <c r="L9" s="41">
        <v>119862</v>
      </c>
      <c r="M9" s="42">
        <v>120021</v>
      </c>
      <c r="N9" s="42">
        <v>120510</v>
      </c>
      <c r="O9" s="42">
        <v>121083</v>
      </c>
      <c r="P9" s="42">
        <v>122368</v>
      </c>
      <c r="Q9" s="42">
        <v>124919</v>
      </c>
      <c r="R9" s="42">
        <v>129807</v>
      </c>
      <c r="S9" s="42">
        <v>133359</v>
      </c>
      <c r="T9" s="42">
        <v>137300</v>
      </c>
      <c r="U9" s="42">
        <v>140927</v>
      </c>
      <c r="V9" s="42">
        <v>141406</v>
      </c>
      <c r="W9" s="42">
        <v>139519</v>
      </c>
      <c r="X9" s="42">
        <v>137654</v>
      </c>
      <c r="Y9" s="43">
        <v>132721</v>
      </c>
      <c r="Z9" s="43">
        <v>128491</v>
      </c>
      <c r="AA9" s="43">
        <v>125521</v>
      </c>
      <c r="AB9" s="43">
        <v>123574</v>
      </c>
      <c r="AC9" s="43">
        <v>122660</v>
      </c>
      <c r="AD9" s="41">
        <v>121992</v>
      </c>
      <c r="AE9" s="41">
        <v>121482</v>
      </c>
      <c r="AF9" s="27">
        <v>120051</v>
      </c>
      <c r="AG9" s="27">
        <v>117120</v>
      </c>
      <c r="AH9" s="295">
        <v>111838</v>
      </c>
      <c r="AI9" s="34">
        <v>105960</v>
      </c>
      <c r="AJ9" s="304">
        <v>93818</v>
      </c>
      <c r="AK9" s="371">
        <v>91233</v>
      </c>
      <c r="AL9" s="371">
        <v>89203</v>
      </c>
      <c r="AM9" s="372">
        <v>87159</v>
      </c>
      <c r="AN9" s="372">
        <v>84845</v>
      </c>
      <c r="AO9" s="372">
        <v>83296</v>
      </c>
      <c r="AP9" s="372">
        <v>84162</v>
      </c>
    </row>
    <row r="10" spans="1:55">
      <c r="A10" s="40" t="s">
        <v>309</v>
      </c>
      <c r="B10" s="41">
        <v>110705</v>
      </c>
      <c r="C10" s="41">
        <v>111581</v>
      </c>
      <c r="D10" s="41">
        <v>111234</v>
      </c>
      <c r="E10" s="41">
        <v>110933</v>
      </c>
      <c r="F10" s="41">
        <v>110958</v>
      </c>
      <c r="G10" s="41">
        <v>110252</v>
      </c>
      <c r="H10" s="41">
        <v>107508</v>
      </c>
      <c r="I10" s="41">
        <v>105156</v>
      </c>
      <c r="J10" s="41">
        <v>103157</v>
      </c>
      <c r="K10" s="41">
        <v>100353</v>
      </c>
      <c r="L10" s="41">
        <v>99844</v>
      </c>
      <c r="M10" s="42">
        <v>100794</v>
      </c>
      <c r="N10" s="42">
        <v>105683</v>
      </c>
      <c r="O10" s="42">
        <v>107651</v>
      </c>
      <c r="P10" s="42">
        <v>110498</v>
      </c>
      <c r="Q10" s="42">
        <v>112163</v>
      </c>
      <c r="R10" s="42">
        <v>111324</v>
      </c>
      <c r="S10" s="42">
        <v>110886</v>
      </c>
      <c r="T10" s="42">
        <v>110743</v>
      </c>
      <c r="U10" s="42">
        <v>111632</v>
      </c>
      <c r="V10" s="42">
        <v>114182</v>
      </c>
      <c r="W10" s="42">
        <v>119125</v>
      </c>
      <c r="X10" s="42">
        <v>122545</v>
      </c>
      <c r="Y10" s="43">
        <v>129145</v>
      </c>
      <c r="Z10" s="43">
        <v>131903</v>
      </c>
      <c r="AA10" s="43">
        <v>132515</v>
      </c>
      <c r="AB10" s="43">
        <v>132120</v>
      </c>
      <c r="AC10" s="43">
        <v>130812</v>
      </c>
      <c r="AD10" s="41">
        <v>127707</v>
      </c>
      <c r="AE10" s="41">
        <v>124128</v>
      </c>
      <c r="AF10" s="27">
        <v>121285</v>
      </c>
      <c r="AG10" s="27">
        <v>118973</v>
      </c>
      <c r="AH10" s="295">
        <v>116057</v>
      </c>
      <c r="AI10" s="34">
        <v>113564</v>
      </c>
      <c r="AJ10" s="304">
        <v>103082</v>
      </c>
      <c r="AK10" s="371">
        <v>101097</v>
      </c>
      <c r="AL10" s="371">
        <v>98505</v>
      </c>
      <c r="AM10" s="372">
        <v>95371</v>
      </c>
      <c r="AN10" s="372">
        <v>91787</v>
      </c>
      <c r="AO10" s="372">
        <v>88936</v>
      </c>
      <c r="AP10" s="372">
        <v>87514</v>
      </c>
    </row>
    <row r="11" spans="1:55">
      <c r="A11" s="40" t="s">
        <v>310</v>
      </c>
      <c r="B11" s="41">
        <v>107906</v>
      </c>
      <c r="C11" s="41">
        <v>107206</v>
      </c>
      <c r="D11" s="41">
        <v>105553</v>
      </c>
      <c r="E11" s="41">
        <v>105519</v>
      </c>
      <c r="F11" s="41">
        <v>105673</v>
      </c>
      <c r="G11" s="41">
        <v>105352</v>
      </c>
      <c r="H11" s="41">
        <v>105801</v>
      </c>
      <c r="I11" s="41">
        <v>106279</v>
      </c>
      <c r="J11" s="41">
        <v>106407</v>
      </c>
      <c r="K11" s="41">
        <v>107433</v>
      </c>
      <c r="L11" s="41">
        <v>107830</v>
      </c>
      <c r="M11" s="42">
        <v>106998</v>
      </c>
      <c r="N11" s="42">
        <v>103321</v>
      </c>
      <c r="O11" s="42">
        <v>102159</v>
      </c>
      <c r="P11" s="42">
        <v>97309</v>
      </c>
      <c r="Q11" s="42">
        <v>93484</v>
      </c>
      <c r="R11" s="42">
        <v>93266</v>
      </c>
      <c r="S11" s="42">
        <v>96694</v>
      </c>
      <c r="T11" s="42">
        <v>97755</v>
      </c>
      <c r="U11" s="42">
        <v>99864</v>
      </c>
      <c r="V11" s="42">
        <v>102062</v>
      </c>
      <c r="W11" s="42">
        <v>101870</v>
      </c>
      <c r="X11" s="42">
        <v>102059</v>
      </c>
      <c r="Y11" s="43">
        <v>103898</v>
      </c>
      <c r="Z11" s="43">
        <v>105276</v>
      </c>
      <c r="AA11" s="43">
        <v>109308</v>
      </c>
      <c r="AB11" s="43">
        <v>114284</v>
      </c>
      <c r="AC11" s="43">
        <v>118387</v>
      </c>
      <c r="AD11" s="41">
        <v>122108</v>
      </c>
      <c r="AE11" s="41">
        <v>125204</v>
      </c>
      <c r="AF11" s="27">
        <v>126530</v>
      </c>
      <c r="AG11" s="27">
        <v>125649</v>
      </c>
      <c r="AH11" s="295">
        <v>122560</v>
      </c>
      <c r="AI11" s="34">
        <v>118502</v>
      </c>
      <c r="AJ11" s="304">
        <v>105353</v>
      </c>
      <c r="AK11" s="371">
        <v>102448</v>
      </c>
      <c r="AL11" s="371">
        <v>100503</v>
      </c>
      <c r="AM11" s="372">
        <v>98989</v>
      </c>
      <c r="AN11" s="372">
        <v>97939</v>
      </c>
      <c r="AO11" s="372">
        <v>97258</v>
      </c>
      <c r="AP11" s="372">
        <v>96589</v>
      </c>
    </row>
    <row r="12" spans="1:55">
      <c r="A12" s="40" t="s">
        <v>311</v>
      </c>
      <c r="B12" s="41">
        <v>84101</v>
      </c>
      <c r="C12" s="41">
        <v>87402</v>
      </c>
      <c r="D12" s="41">
        <v>94474</v>
      </c>
      <c r="E12" s="41">
        <v>98561</v>
      </c>
      <c r="F12" s="41">
        <v>100484</v>
      </c>
      <c r="G12" s="41">
        <v>100520</v>
      </c>
      <c r="H12" s="41">
        <v>99503</v>
      </c>
      <c r="I12" s="41">
        <v>98863</v>
      </c>
      <c r="J12" s="41">
        <v>99564</v>
      </c>
      <c r="K12" s="41">
        <v>100088</v>
      </c>
      <c r="L12" s="41">
        <v>100190</v>
      </c>
      <c r="M12" s="42">
        <v>100568</v>
      </c>
      <c r="N12" s="42">
        <v>101418</v>
      </c>
      <c r="O12" s="42">
        <v>100388</v>
      </c>
      <c r="P12" s="42">
        <v>100635</v>
      </c>
      <c r="Q12" s="42">
        <v>100733</v>
      </c>
      <c r="R12" s="42">
        <v>98142</v>
      </c>
      <c r="S12" s="42">
        <v>93812</v>
      </c>
      <c r="T12" s="42">
        <v>92059</v>
      </c>
      <c r="U12" s="42">
        <v>87257</v>
      </c>
      <c r="V12" s="42">
        <v>83760</v>
      </c>
      <c r="W12" s="42">
        <v>83723</v>
      </c>
      <c r="X12" s="42">
        <v>87031</v>
      </c>
      <c r="Y12" s="43">
        <v>89979</v>
      </c>
      <c r="Z12" s="43">
        <v>92622</v>
      </c>
      <c r="AA12" s="43">
        <v>94035</v>
      </c>
      <c r="AB12" s="43">
        <v>94596</v>
      </c>
      <c r="AC12" s="43">
        <v>95480</v>
      </c>
      <c r="AD12" s="41">
        <v>96408</v>
      </c>
      <c r="AE12" s="41">
        <v>97963</v>
      </c>
      <c r="AF12" s="27">
        <v>101005</v>
      </c>
      <c r="AG12" s="27">
        <v>105478</v>
      </c>
      <c r="AH12" s="295">
        <v>109092</v>
      </c>
      <c r="AI12" s="34">
        <v>111931</v>
      </c>
      <c r="AJ12" s="304">
        <v>110854</v>
      </c>
      <c r="AK12" s="371">
        <v>110413</v>
      </c>
      <c r="AL12" s="371">
        <v>108547</v>
      </c>
      <c r="AM12" s="372">
        <v>105736</v>
      </c>
      <c r="AN12" s="372">
        <v>102118</v>
      </c>
      <c r="AO12" s="372">
        <v>98901</v>
      </c>
      <c r="AP12" s="372">
        <v>96903</v>
      </c>
    </row>
    <row r="13" spans="1:55">
      <c r="A13" s="40" t="s">
        <v>312</v>
      </c>
      <c r="B13" s="41">
        <v>60847</v>
      </c>
      <c r="C13" s="41">
        <v>63598</v>
      </c>
      <c r="D13" s="41">
        <v>67907</v>
      </c>
      <c r="E13" s="41">
        <v>69849</v>
      </c>
      <c r="F13" s="41">
        <v>73121</v>
      </c>
      <c r="G13" s="41">
        <v>77818</v>
      </c>
      <c r="H13" s="41">
        <v>82626</v>
      </c>
      <c r="I13" s="41">
        <v>87040</v>
      </c>
      <c r="J13" s="41">
        <v>90800</v>
      </c>
      <c r="K13" s="41">
        <v>92896</v>
      </c>
      <c r="L13" s="41">
        <v>93234</v>
      </c>
      <c r="M13" s="42">
        <v>93259</v>
      </c>
      <c r="N13" s="42">
        <v>92514</v>
      </c>
      <c r="O13" s="42">
        <v>91767</v>
      </c>
      <c r="P13" s="42">
        <v>92482</v>
      </c>
      <c r="Q13" s="42">
        <v>91379</v>
      </c>
      <c r="R13" s="42">
        <v>90701</v>
      </c>
      <c r="S13" s="42">
        <v>90327</v>
      </c>
      <c r="T13" s="42">
        <v>88468</v>
      </c>
      <c r="U13" s="42">
        <v>88337</v>
      </c>
      <c r="V13" s="42">
        <v>88525</v>
      </c>
      <c r="W13" s="42">
        <v>86610</v>
      </c>
      <c r="X13" s="42">
        <v>83126</v>
      </c>
      <c r="Y13" s="43">
        <v>80498</v>
      </c>
      <c r="Z13" s="43">
        <v>76702</v>
      </c>
      <c r="AA13" s="43">
        <v>75393</v>
      </c>
      <c r="AB13" s="43">
        <v>76908</v>
      </c>
      <c r="AC13" s="43">
        <v>78988</v>
      </c>
      <c r="AD13" s="41">
        <v>81111</v>
      </c>
      <c r="AE13" s="41">
        <v>83635</v>
      </c>
      <c r="AF13" s="27">
        <v>85009</v>
      </c>
      <c r="AG13" s="27">
        <v>85279</v>
      </c>
      <c r="AH13" s="295">
        <v>85512</v>
      </c>
      <c r="AI13" s="34">
        <v>86312</v>
      </c>
      <c r="AJ13" s="304">
        <v>84799</v>
      </c>
      <c r="AK13" s="371">
        <v>88386</v>
      </c>
      <c r="AL13" s="371">
        <v>92698</v>
      </c>
      <c r="AM13" s="372">
        <v>96361</v>
      </c>
      <c r="AN13" s="372">
        <v>99625</v>
      </c>
      <c r="AO13" s="372">
        <v>101800</v>
      </c>
      <c r="AP13" s="372">
        <v>101970</v>
      </c>
    </row>
    <row r="14" spans="1:55">
      <c r="A14" s="40" t="s">
        <v>313</v>
      </c>
      <c r="B14" s="41">
        <v>41747</v>
      </c>
      <c r="C14" s="41">
        <v>40881</v>
      </c>
      <c r="D14" s="41">
        <v>41555</v>
      </c>
      <c r="E14" s="41">
        <v>44365</v>
      </c>
      <c r="F14" s="41">
        <v>48516</v>
      </c>
      <c r="G14" s="41">
        <v>53710</v>
      </c>
      <c r="H14" s="41">
        <v>57954</v>
      </c>
      <c r="I14" s="41">
        <v>60810</v>
      </c>
      <c r="J14" s="41">
        <v>63114</v>
      </c>
      <c r="K14" s="41">
        <v>66588</v>
      </c>
      <c r="L14" s="41">
        <v>71097</v>
      </c>
      <c r="M14" s="42">
        <v>73963</v>
      </c>
      <c r="N14" s="42">
        <v>77091</v>
      </c>
      <c r="O14" s="42">
        <v>80598</v>
      </c>
      <c r="P14" s="42">
        <v>82427</v>
      </c>
      <c r="Q14" s="42">
        <v>82479</v>
      </c>
      <c r="R14" s="42">
        <v>80952</v>
      </c>
      <c r="S14" s="42">
        <v>79606</v>
      </c>
      <c r="T14" s="42">
        <v>78715</v>
      </c>
      <c r="U14" s="42">
        <v>78901</v>
      </c>
      <c r="V14" s="42">
        <v>77986</v>
      </c>
      <c r="W14" s="42">
        <v>77634</v>
      </c>
      <c r="X14" s="42">
        <v>77947</v>
      </c>
      <c r="Y14" s="43">
        <v>76957</v>
      </c>
      <c r="Z14" s="43">
        <v>77035</v>
      </c>
      <c r="AA14" s="43">
        <v>76416</v>
      </c>
      <c r="AB14" s="43">
        <v>74504</v>
      </c>
      <c r="AC14" s="43">
        <v>72710</v>
      </c>
      <c r="AD14" s="41">
        <v>70354</v>
      </c>
      <c r="AE14" s="41">
        <v>67188</v>
      </c>
      <c r="AF14" s="27">
        <v>65493</v>
      </c>
      <c r="AG14" s="27">
        <v>66373</v>
      </c>
      <c r="AH14" s="295">
        <v>68120</v>
      </c>
      <c r="AI14" s="34">
        <v>70147</v>
      </c>
      <c r="AJ14" s="304">
        <v>71597</v>
      </c>
      <c r="AK14" s="371">
        <v>72515</v>
      </c>
      <c r="AL14" s="371">
        <v>72507</v>
      </c>
      <c r="AM14" s="372">
        <v>72856</v>
      </c>
      <c r="AN14" s="372">
        <v>73748</v>
      </c>
      <c r="AO14" s="372">
        <v>75612</v>
      </c>
      <c r="AP14" s="372">
        <v>79287</v>
      </c>
    </row>
    <row r="15" spans="1:55">
      <c r="A15" s="40" t="s">
        <v>160</v>
      </c>
      <c r="B15" s="41">
        <v>47089</v>
      </c>
      <c r="C15" s="41">
        <v>44191</v>
      </c>
      <c r="D15" s="41">
        <v>42421</v>
      </c>
      <c r="E15" s="41">
        <v>40314</v>
      </c>
      <c r="F15" s="41">
        <v>37660</v>
      </c>
      <c r="G15" s="41">
        <v>35175</v>
      </c>
      <c r="H15" s="41">
        <v>34056</v>
      </c>
      <c r="I15" s="41">
        <v>35150</v>
      </c>
      <c r="J15" s="41">
        <v>37956</v>
      </c>
      <c r="K15" s="41">
        <v>41765</v>
      </c>
      <c r="L15" s="41">
        <v>46501</v>
      </c>
      <c r="M15" s="42">
        <v>49370</v>
      </c>
      <c r="N15" s="42">
        <v>52171</v>
      </c>
      <c r="O15" s="42">
        <v>54051</v>
      </c>
      <c r="P15" s="42">
        <v>55738</v>
      </c>
      <c r="Q15" s="42">
        <v>58769</v>
      </c>
      <c r="R15" s="42">
        <v>61707</v>
      </c>
      <c r="S15" s="42">
        <v>63501</v>
      </c>
      <c r="T15" s="42">
        <v>65929</v>
      </c>
      <c r="U15" s="42">
        <v>67325</v>
      </c>
      <c r="V15" s="42">
        <v>67544</v>
      </c>
      <c r="W15" s="42">
        <v>66737</v>
      </c>
      <c r="X15" s="42">
        <v>65921</v>
      </c>
      <c r="Y15" s="43">
        <v>65888</v>
      </c>
      <c r="Z15" s="43">
        <v>65601</v>
      </c>
      <c r="AA15" s="43">
        <v>65100</v>
      </c>
      <c r="AB15" s="43">
        <v>65092</v>
      </c>
      <c r="AC15" s="43">
        <v>64870</v>
      </c>
      <c r="AD15" s="41">
        <v>64237</v>
      </c>
      <c r="AE15" s="41">
        <v>64004</v>
      </c>
      <c r="AF15" s="27">
        <v>63470</v>
      </c>
      <c r="AG15" s="27">
        <v>61659</v>
      </c>
      <c r="AH15" s="295">
        <v>59993</v>
      </c>
      <c r="AI15" s="34">
        <v>58303</v>
      </c>
      <c r="AJ15" s="304">
        <v>54690</v>
      </c>
      <c r="AK15" s="371">
        <v>53668</v>
      </c>
      <c r="AL15" s="371">
        <v>55181</v>
      </c>
      <c r="AM15" s="372">
        <v>57241</v>
      </c>
      <c r="AN15" s="372">
        <v>58819</v>
      </c>
      <c r="AO15" s="372">
        <v>60687</v>
      </c>
      <c r="AP15" s="372">
        <v>61795</v>
      </c>
    </row>
    <row r="16" spans="1:55">
      <c r="A16" s="40" t="s">
        <v>314</v>
      </c>
      <c r="B16" s="41">
        <v>49450</v>
      </c>
      <c r="C16" s="41">
        <v>51350</v>
      </c>
      <c r="D16" s="41">
        <v>47678</v>
      </c>
      <c r="E16" s="41">
        <v>44759</v>
      </c>
      <c r="F16" s="41">
        <v>41376</v>
      </c>
      <c r="G16" s="41">
        <v>37447</v>
      </c>
      <c r="H16" s="41">
        <v>34991</v>
      </c>
      <c r="I16" s="41">
        <v>33879</v>
      </c>
      <c r="J16" s="41">
        <v>32244</v>
      </c>
      <c r="K16" s="41">
        <v>30277</v>
      </c>
      <c r="L16" s="41">
        <v>28392</v>
      </c>
      <c r="M16" s="42">
        <v>27515</v>
      </c>
      <c r="N16" s="42">
        <v>27418</v>
      </c>
      <c r="O16" s="42">
        <v>29364</v>
      </c>
      <c r="P16" s="42">
        <v>31922</v>
      </c>
      <c r="Q16" s="42">
        <v>35178</v>
      </c>
      <c r="R16" s="42">
        <v>38615</v>
      </c>
      <c r="S16" s="42">
        <v>40355</v>
      </c>
      <c r="T16" s="42">
        <v>41489</v>
      </c>
      <c r="U16" s="42">
        <v>42520</v>
      </c>
      <c r="V16" s="42">
        <v>44825</v>
      </c>
      <c r="W16" s="42">
        <v>47370</v>
      </c>
      <c r="X16" s="42">
        <v>49110</v>
      </c>
      <c r="Y16" s="43">
        <v>51824</v>
      </c>
      <c r="Z16" s="43">
        <v>53028</v>
      </c>
      <c r="AA16" s="43">
        <v>52893</v>
      </c>
      <c r="AB16" s="43">
        <v>52466</v>
      </c>
      <c r="AC16" s="43">
        <v>52044</v>
      </c>
      <c r="AD16" s="41">
        <v>51849</v>
      </c>
      <c r="AE16" s="41">
        <v>51658</v>
      </c>
      <c r="AF16" s="27">
        <v>51264</v>
      </c>
      <c r="AG16" s="27">
        <v>51206</v>
      </c>
      <c r="AH16" s="295">
        <v>50996</v>
      </c>
      <c r="AI16" s="34">
        <v>50583</v>
      </c>
      <c r="AJ16" s="304">
        <v>52108</v>
      </c>
      <c r="AK16" s="371">
        <v>51266</v>
      </c>
      <c r="AL16" s="371">
        <v>49232</v>
      </c>
      <c r="AM16" s="372">
        <v>47318</v>
      </c>
      <c r="AN16" s="372">
        <v>45571</v>
      </c>
      <c r="AO16" s="372">
        <v>43738</v>
      </c>
      <c r="AP16" s="372">
        <v>43113</v>
      </c>
    </row>
    <row r="17" spans="1:54">
      <c r="A17" s="40" t="s">
        <v>315</v>
      </c>
      <c r="B17" s="41">
        <v>26623</v>
      </c>
      <c r="C17" s="41">
        <v>27057</v>
      </c>
      <c r="D17" s="41">
        <v>28689</v>
      </c>
      <c r="E17" s="41">
        <v>29750</v>
      </c>
      <c r="F17" s="41">
        <v>32038</v>
      </c>
      <c r="G17" s="41">
        <v>34439</v>
      </c>
      <c r="H17" s="41">
        <v>34899</v>
      </c>
      <c r="I17" s="41">
        <v>33511</v>
      </c>
      <c r="J17" s="41">
        <v>31876</v>
      </c>
      <c r="K17" s="41">
        <v>30007</v>
      </c>
      <c r="L17" s="41">
        <v>28118</v>
      </c>
      <c r="M17" s="42">
        <v>24878</v>
      </c>
      <c r="N17" s="42">
        <v>24712</v>
      </c>
      <c r="O17" s="42">
        <v>23717</v>
      </c>
      <c r="P17" s="42">
        <v>22542</v>
      </c>
      <c r="Q17" s="42">
        <v>20664</v>
      </c>
      <c r="R17" s="42">
        <v>19257</v>
      </c>
      <c r="S17" s="42">
        <v>19017</v>
      </c>
      <c r="T17" s="42">
        <v>20394</v>
      </c>
      <c r="U17" s="42">
        <v>22043</v>
      </c>
      <c r="V17" s="42">
        <v>24304</v>
      </c>
      <c r="W17" s="42">
        <v>26806</v>
      </c>
      <c r="X17" s="42">
        <v>28133</v>
      </c>
      <c r="Y17" s="43">
        <v>28831</v>
      </c>
      <c r="Z17" s="43">
        <v>31055</v>
      </c>
      <c r="AA17" s="43">
        <v>33042</v>
      </c>
      <c r="AB17" s="43">
        <v>34436</v>
      </c>
      <c r="AC17" s="43">
        <v>35702</v>
      </c>
      <c r="AD17" s="41">
        <v>37185</v>
      </c>
      <c r="AE17" s="41">
        <v>37794</v>
      </c>
      <c r="AF17" s="27">
        <v>37880</v>
      </c>
      <c r="AG17" s="27">
        <v>37717</v>
      </c>
      <c r="AH17" s="295">
        <v>37379</v>
      </c>
      <c r="AI17" s="34">
        <v>37441</v>
      </c>
      <c r="AJ17" s="304">
        <v>38873</v>
      </c>
      <c r="AK17" s="371">
        <v>39045</v>
      </c>
      <c r="AL17" s="371">
        <v>39442</v>
      </c>
      <c r="AM17" s="372">
        <v>39525</v>
      </c>
      <c r="AN17" s="372">
        <v>39230</v>
      </c>
      <c r="AO17" s="372">
        <v>38969</v>
      </c>
      <c r="AP17" s="372">
        <v>38305</v>
      </c>
    </row>
    <row r="18" spans="1:54">
      <c r="A18" s="40" t="s">
        <v>316</v>
      </c>
      <c r="B18" s="41">
        <v>13716</v>
      </c>
      <c r="C18" s="41">
        <v>13813</v>
      </c>
      <c r="D18" s="41">
        <v>13757</v>
      </c>
      <c r="E18" s="41">
        <v>14301</v>
      </c>
      <c r="F18" s="41">
        <v>14943</v>
      </c>
      <c r="G18" s="41">
        <v>15639</v>
      </c>
      <c r="H18" s="41">
        <v>16460</v>
      </c>
      <c r="I18" s="41">
        <v>17119</v>
      </c>
      <c r="J18" s="41">
        <v>17929</v>
      </c>
      <c r="K18" s="41">
        <v>19315</v>
      </c>
      <c r="L18" s="41">
        <v>20287</v>
      </c>
      <c r="M18" s="42">
        <v>23118</v>
      </c>
      <c r="N18" s="42">
        <v>22006</v>
      </c>
      <c r="O18" s="42">
        <v>20721</v>
      </c>
      <c r="P18" s="42">
        <v>19091</v>
      </c>
      <c r="Q18" s="42">
        <v>17220</v>
      </c>
      <c r="R18" s="42">
        <v>14945</v>
      </c>
      <c r="S18" s="42">
        <v>14487</v>
      </c>
      <c r="T18" s="42">
        <v>13748</v>
      </c>
      <c r="U18" s="42">
        <v>13052</v>
      </c>
      <c r="V18" s="42">
        <v>12015</v>
      </c>
      <c r="W18" s="42">
        <v>11336</v>
      </c>
      <c r="X18" s="42">
        <v>11389</v>
      </c>
      <c r="Y18" s="43">
        <v>12311</v>
      </c>
      <c r="Z18" s="43">
        <v>14261</v>
      </c>
      <c r="AA18" s="43">
        <v>15849</v>
      </c>
      <c r="AB18" s="43">
        <v>16631</v>
      </c>
      <c r="AC18" s="43">
        <v>16898</v>
      </c>
      <c r="AD18" s="41">
        <v>17475</v>
      </c>
      <c r="AE18" s="41">
        <v>18378</v>
      </c>
      <c r="AF18" s="27">
        <v>19687</v>
      </c>
      <c r="AG18" s="27">
        <v>20889</v>
      </c>
      <c r="AH18" s="295">
        <v>22054</v>
      </c>
      <c r="AI18" s="34">
        <v>23082</v>
      </c>
      <c r="AJ18" s="304">
        <v>24864</v>
      </c>
      <c r="AK18" s="371">
        <v>25056</v>
      </c>
      <c r="AL18" s="371">
        <v>24969</v>
      </c>
      <c r="AM18" s="372">
        <v>24886</v>
      </c>
      <c r="AN18" s="372">
        <v>25177</v>
      </c>
      <c r="AO18" s="372">
        <v>25477</v>
      </c>
      <c r="AP18" s="372">
        <v>25699</v>
      </c>
    </row>
    <row r="19" spans="1:54">
      <c r="A19" s="40" t="s">
        <v>317</v>
      </c>
      <c r="B19" s="41">
        <v>8468</v>
      </c>
      <c r="C19" s="41">
        <v>8773</v>
      </c>
      <c r="D19" s="41">
        <v>9098</v>
      </c>
      <c r="E19" s="41">
        <v>9135</v>
      </c>
      <c r="F19" s="41">
        <v>9156</v>
      </c>
      <c r="G19" s="41">
        <v>9314</v>
      </c>
      <c r="H19" s="41">
        <v>9249</v>
      </c>
      <c r="I19" s="41">
        <v>9231</v>
      </c>
      <c r="J19" s="41">
        <v>9480</v>
      </c>
      <c r="K19" s="41">
        <v>9830</v>
      </c>
      <c r="L19" s="41">
        <v>10278</v>
      </c>
      <c r="M19" s="42">
        <v>10869</v>
      </c>
      <c r="N19" s="42">
        <v>11281</v>
      </c>
      <c r="O19" s="42">
        <v>11544</v>
      </c>
      <c r="P19" s="42">
        <v>12329</v>
      </c>
      <c r="Q19" s="42">
        <v>13670</v>
      </c>
      <c r="R19" s="42">
        <v>14509</v>
      </c>
      <c r="S19" s="42">
        <v>13740</v>
      </c>
      <c r="T19" s="42">
        <v>13038</v>
      </c>
      <c r="U19" s="42">
        <v>12360</v>
      </c>
      <c r="V19" s="42">
        <v>12005</v>
      </c>
      <c r="W19" s="42">
        <v>11555</v>
      </c>
      <c r="X19" s="42">
        <v>11122</v>
      </c>
      <c r="Y19" s="43">
        <v>10093</v>
      </c>
      <c r="Z19" s="43">
        <v>10047</v>
      </c>
      <c r="AA19" s="43">
        <v>9567</v>
      </c>
      <c r="AB19" s="43">
        <v>8790</v>
      </c>
      <c r="AC19" s="43">
        <v>8280</v>
      </c>
      <c r="AD19" s="41">
        <v>8544</v>
      </c>
      <c r="AE19" s="41">
        <v>8908</v>
      </c>
      <c r="AF19" s="27">
        <v>9283</v>
      </c>
      <c r="AG19" s="27">
        <v>9651</v>
      </c>
      <c r="AH19" s="295">
        <v>9977</v>
      </c>
      <c r="AI19" s="34">
        <v>10398</v>
      </c>
      <c r="AJ19" s="304">
        <v>12343</v>
      </c>
      <c r="AK19" s="371">
        <v>13409</v>
      </c>
      <c r="AL19" s="371">
        <v>14352</v>
      </c>
      <c r="AM19" s="372">
        <v>15261</v>
      </c>
      <c r="AN19" s="372">
        <v>16019</v>
      </c>
      <c r="AO19" s="372">
        <v>16607</v>
      </c>
      <c r="AP19" s="372">
        <v>17175</v>
      </c>
    </row>
    <row r="20" spans="1:54" ht="15.75">
      <c r="A20" s="40" t="s">
        <v>318</v>
      </c>
      <c r="B20" s="44">
        <v>1593664</v>
      </c>
      <c r="C20" s="44">
        <v>1599244</v>
      </c>
      <c r="D20" s="44">
        <v>1606260</v>
      </c>
      <c r="E20" s="44">
        <v>1615349</v>
      </c>
      <c r="F20" s="44">
        <v>1626839</v>
      </c>
      <c r="G20" s="44">
        <v>1640238</v>
      </c>
      <c r="H20" s="44">
        <v>1654623</v>
      </c>
      <c r="I20" s="44">
        <v>1670024</v>
      </c>
      <c r="J20" s="44">
        <v>1687508</v>
      </c>
      <c r="K20" s="44">
        <v>1707440</v>
      </c>
      <c r="L20" s="44">
        <v>1728219</v>
      </c>
      <c r="M20" s="45">
        <v>1738953</v>
      </c>
      <c r="N20" s="45">
        <v>1747473</v>
      </c>
      <c r="O20" s="45">
        <v>1750976</v>
      </c>
      <c r="P20" s="45">
        <v>1752762</v>
      </c>
      <c r="Q20" s="45">
        <v>1746005</v>
      </c>
      <c r="R20" s="45">
        <v>1733372</v>
      </c>
      <c r="S20" s="45">
        <v>1717208</v>
      </c>
      <c r="T20" s="45">
        <v>1701565</v>
      </c>
      <c r="U20" s="45">
        <v>1685841</v>
      </c>
      <c r="V20" s="45">
        <v>1671654</v>
      </c>
      <c r="W20" s="45">
        <v>1657561</v>
      </c>
      <c r="X20" s="45">
        <v>1644301</v>
      </c>
      <c r="Y20" s="46">
        <v>1627704</v>
      </c>
      <c r="Z20" s="46">
        <v>1620891</v>
      </c>
      <c r="AA20" s="46">
        <v>1612996</v>
      </c>
      <c r="AB20" s="46">
        <v>1603421</v>
      </c>
      <c r="AC20" s="46">
        <v>1592402</v>
      </c>
      <c r="AD20" s="47">
        <v>1581806.5</v>
      </c>
      <c r="AE20" s="48">
        <v>1571979</v>
      </c>
      <c r="AF20" s="48">
        <v>1563120</v>
      </c>
      <c r="AG20" s="48">
        <v>1553499</v>
      </c>
      <c r="AH20" s="296">
        <v>1527510</v>
      </c>
      <c r="AI20" s="35">
        <v>1496492</v>
      </c>
      <c r="AJ20" s="306">
        <v>1376201</v>
      </c>
      <c r="AK20" s="35">
        <v>1362443</v>
      </c>
      <c r="AL20" s="35">
        <v>1351126</v>
      </c>
      <c r="AM20" s="35">
        <v>1337932</v>
      </c>
      <c r="AN20" s="35">
        <v>1320897</v>
      </c>
      <c r="AO20" s="35">
        <v>1304740</v>
      </c>
      <c r="AP20" s="35">
        <v>1296442</v>
      </c>
    </row>
    <row r="21" spans="1:54" ht="15">
      <c r="A21" s="49"/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1"/>
      <c r="N21" s="51"/>
      <c r="O21" s="51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A21" s="52"/>
      <c r="AB21" s="52"/>
      <c r="AC21" s="52"/>
      <c r="AD21" s="53"/>
      <c r="AE21" s="53"/>
      <c r="AF21" s="53"/>
      <c r="AG21" s="53"/>
      <c r="AK21" s="373"/>
      <c r="AL21" s="373"/>
      <c r="AM21" s="373"/>
      <c r="AN21" s="373"/>
      <c r="AO21" s="373"/>
      <c r="AP21" s="373"/>
    </row>
    <row r="22" spans="1:54" ht="15">
      <c r="A22" s="36"/>
      <c r="B22" s="37" t="s">
        <v>319</v>
      </c>
      <c r="C22" s="37" t="s">
        <v>320</v>
      </c>
      <c r="D22" s="37" t="s">
        <v>321</v>
      </c>
      <c r="E22" s="37" t="s">
        <v>322</v>
      </c>
      <c r="F22" s="37" t="s">
        <v>323</v>
      </c>
      <c r="G22" s="37" t="s">
        <v>324</v>
      </c>
      <c r="H22" s="37" t="s">
        <v>325</v>
      </c>
      <c r="I22" s="37" t="s">
        <v>326</v>
      </c>
      <c r="J22" s="37" t="s">
        <v>327</v>
      </c>
      <c r="K22" s="37" t="s">
        <v>328</v>
      </c>
      <c r="L22" s="37" t="s">
        <v>329</v>
      </c>
      <c r="M22" s="38" t="s">
        <v>330</v>
      </c>
      <c r="N22" s="38" t="s">
        <v>331</v>
      </c>
      <c r="O22" s="38" t="s">
        <v>332</v>
      </c>
      <c r="P22" s="38" t="s">
        <v>333</v>
      </c>
      <c r="Q22" s="39" t="s">
        <v>334</v>
      </c>
      <c r="R22" s="38" t="s">
        <v>335</v>
      </c>
      <c r="S22" s="38" t="s">
        <v>336</v>
      </c>
      <c r="T22" s="38" t="s">
        <v>337</v>
      </c>
      <c r="U22" s="38" t="s">
        <v>338</v>
      </c>
      <c r="V22" s="38" t="s">
        <v>339</v>
      </c>
      <c r="W22" s="38" t="s">
        <v>340</v>
      </c>
      <c r="X22" s="38" t="s">
        <v>341</v>
      </c>
      <c r="Y22" s="38" t="s">
        <v>342</v>
      </c>
      <c r="Z22" s="38" t="s">
        <v>343</v>
      </c>
      <c r="AA22" s="38" t="s">
        <v>344</v>
      </c>
      <c r="AB22" s="38" t="s">
        <v>345</v>
      </c>
      <c r="AC22" s="38" t="s">
        <v>346</v>
      </c>
      <c r="AD22" s="38" t="s">
        <v>347</v>
      </c>
      <c r="AE22" s="38" t="s">
        <v>348</v>
      </c>
      <c r="AF22" s="36" t="s">
        <v>349</v>
      </c>
      <c r="AG22" s="36" t="s">
        <v>350</v>
      </c>
      <c r="AH22" s="36" t="s">
        <v>381</v>
      </c>
      <c r="AI22" s="36" t="s">
        <v>382</v>
      </c>
      <c r="AJ22" s="36" t="s">
        <v>383</v>
      </c>
      <c r="AK22" s="370" t="s">
        <v>384</v>
      </c>
      <c r="AL22" s="370" t="s">
        <v>385</v>
      </c>
      <c r="AM22" s="370" t="s">
        <v>386</v>
      </c>
      <c r="AN22" s="370" t="s">
        <v>387</v>
      </c>
      <c r="AO22" s="370" t="s">
        <v>388</v>
      </c>
      <c r="AP22" s="370" t="s">
        <v>389</v>
      </c>
      <c r="AQ22" s="36" t="s">
        <v>390</v>
      </c>
      <c r="AR22" s="36" t="s">
        <v>391</v>
      </c>
      <c r="AS22" s="36" t="s">
        <v>392</v>
      </c>
      <c r="AT22" s="36" t="s">
        <v>393</v>
      </c>
      <c r="AU22" s="36" t="s">
        <v>394</v>
      </c>
      <c r="AV22" s="36" t="s">
        <v>395</v>
      </c>
      <c r="AW22" s="36" t="s">
        <v>396</v>
      </c>
      <c r="AX22" s="36" t="s">
        <v>397</v>
      </c>
      <c r="AY22" s="36" t="s">
        <v>398</v>
      </c>
      <c r="AZ22" s="36" t="s">
        <v>399</v>
      </c>
      <c r="BA22" s="36" t="s">
        <v>400</v>
      </c>
      <c r="BB22" s="36" t="s">
        <v>401</v>
      </c>
    </row>
    <row r="23" spans="1:54">
      <c r="A23" s="40" t="s">
        <v>301</v>
      </c>
      <c r="B23" s="41">
        <v>128076</v>
      </c>
      <c r="C23" s="41">
        <v>127963</v>
      </c>
      <c r="D23" s="41">
        <v>127822</v>
      </c>
      <c r="E23" s="41">
        <v>128296</v>
      </c>
      <c r="F23" s="41">
        <v>128539</v>
      </c>
      <c r="G23" s="41">
        <v>130664</v>
      </c>
      <c r="H23" s="41">
        <v>133306</v>
      </c>
      <c r="I23" s="41">
        <v>136077</v>
      </c>
      <c r="J23" s="41">
        <v>139705</v>
      </c>
      <c r="K23" s="41">
        <v>142979</v>
      </c>
      <c r="L23" s="41">
        <v>144409</v>
      </c>
      <c r="M23" s="42">
        <v>144758</v>
      </c>
      <c r="N23" s="42">
        <v>142925</v>
      </c>
      <c r="O23" s="42">
        <v>140651</v>
      </c>
      <c r="P23" s="42">
        <v>137679</v>
      </c>
      <c r="Q23" s="42">
        <v>134065</v>
      </c>
      <c r="R23" s="42">
        <v>128437</v>
      </c>
      <c r="S23" s="42">
        <v>121857</v>
      </c>
      <c r="T23" s="42">
        <v>114334</v>
      </c>
      <c r="U23" s="42">
        <v>106725</v>
      </c>
      <c r="V23" s="42">
        <v>99025</v>
      </c>
      <c r="W23" s="42">
        <v>94192</v>
      </c>
      <c r="X23" s="42">
        <v>91355</v>
      </c>
      <c r="Y23" s="43">
        <v>85744</v>
      </c>
      <c r="Z23" s="43">
        <v>82669</v>
      </c>
      <c r="AA23" s="43">
        <v>79472</v>
      </c>
      <c r="AB23" s="43">
        <v>76607</v>
      </c>
      <c r="AC23" s="43">
        <v>74517</v>
      </c>
      <c r="AD23" s="41">
        <v>73854</v>
      </c>
      <c r="AE23" s="41">
        <v>74472</v>
      </c>
      <c r="AF23" s="27">
        <v>76197</v>
      </c>
      <c r="AG23" s="27">
        <v>78767</v>
      </c>
      <c r="AH23" s="297">
        <v>80949</v>
      </c>
      <c r="AI23" s="34">
        <v>82206</v>
      </c>
      <c r="AJ23" s="304">
        <v>73013</v>
      </c>
      <c r="AK23" s="371">
        <v>73612</v>
      </c>
      <c r="AL23" s="371">
        <v>73541</v>
      </c>
      <c r="AM23" s="34">
        <v>73573</v>
      </c>
      <c r="AN23" s="34">
        <v>73574</v>
      </c>
      <c r="AO23" s="34">
        <v>72886</v>
      </c>
      <c r="AP23" s="34">
        <v>72091</v>
      </c>
    </row>
    <row r="24" spans="1:54">
      <c r="A24" s="40" t="s">
        <v>302</v>
      </c>
      <c r="B24" s="41">
        <v>134874</v>
      </c>
      <c r="C24" s="41">
        <v>134959</v>
      </c>
      <c r="D24" s="41">
        <v>133859</v>
      </c>
      <c r="E24" s="41">
        <v>132882</v>
      </c>
      <c r="F24" s="41">
        <v>130336</v>
      </c>
      <c r="G24" s="41">
        <v>129494</v>
      </c>
      <c r="H24" s="41">
        <v>129232</v>
      </c>
      <c r="I24" s="41">
        <v>129512</v>
      </c>
      <c r="J24" s="41">
        <v>129904</v>
      </c>
      <c r="K24" s="41">
        <v>130663</v>
      </c>
      <c r="L24" s="41">
        <v>132812</v>
      </c>
      <c r="M24" s="42">
        <v>134392</v>
      </c>
      <c r="N24" s="42">
        <v>136778</v>
      </c>
      <c r="O24" s="42">
        <v>139232</v>
      </c>
      <c r="P24" s="42">
        <v>141792</v>
      </c>
      <c r="Q24" s="42">
        <v>142550</v>
      </c>
      <c r="R24" s="42">
        <v>140485</v>
      </c>
      <c r="S24" s="42">
        <v>137791</v>
      </c>
      <c r="T24" s="42">
        <v>135273</v>
      </c>
      <c r="U24" s="42">
        <v>132548</v>
      </c>
      <c r="V24" s="42">
        <v>130005</v>
      </c>
      <c r="W24" s="42">
        <v>125666</v>
      </c>
      <c r="X24" s="42">
        <v>119957</v>
      </c>
      <c r="Y24" s="43">
        <v>110014</v>
      </c>
      <c r="Z24" s="43">
        <v>102013</v>
      </c>
      <c r="AA24" s="43">
        <v>95821</v>
      </c>
      <c r="AB24" s="43">
        <v>91855</v>
      </c>
      <c r="AC24" s="43">
        <v>88516</v>
      </c>
      <c r="AD24" s="41">
        <v>84934</v>
      </c>
      <c r="AE24" s="41">
        <v>81348</v>
      </c>
      <c r="AF24" s="27">
        <v>78141</v>
      </c>
      <c r="AG24" s="27">
        <v>75407</v>
      </c>
      <c r="AH24" s="297">
        <v>72853</v>
      </c>
      <c r="AI24" s="34">
        <v>71239</v>
      </c>
      <c r="AJ24" s="304">
        <v>65809</v>
      </c>
      <c r="AK24" s="371">
        <v>65974</v>
      </c>
      <c r="AL24" s="371">
        <v>66902</v>
      </c>
      <c r="AM24" s="34">
        <v>68112</v>
      </c>
      <c r="AN24" s="34">
        <v>68934</v>
      </c>
      <c r="AO24" s="34">
        <v>69710</v>
      </c>
      <c r="AP24" s="34">
        <v>70403</v>
      </c>
    </row>
    <row r="25" spans="1:54">
      <c r="A25" s="40" t="s">
        <v>303</v>
      </c>
      <c r="B25" s="41">
        <v>134652</v>
      </c>
      <c r="C25" s="41">
        <v>135422</v>
      </c>
      <c r="D25" s="41">
        <v>133849</v>
      </c>
      <c r="E25" s="41">
        <v>135250</v>
      </c>
      <c r="F25" s="41">
        <v>136380</v>
      </c>
      <c r="G25" s="41">
        <v>136171</v>
      </c>
      <c r="H25" s="41">
        <v>135407</v>
      </c>
      <c r="I25" s="41">
        <v>134465</v>
      </c>
      <c r="J25" s="41">
        <v>132698</v>
      </c>
      <c r="K25" s="41">
        <v>130981</v>
      </c>
      <c r="L25" s="41">
        <v>130106</v>
      </c>
      <c r="M25" s="42">
        <v>130046</v>
      </c>
      <c r="N25" s="42">
        <v>129962</v>
      </c>
      <c r="O25" s="42">
        <v>129603</v>
      </c>
      <c r="P25" s="42">
        <v>129009</v>
      </c>
      <c r="Q25" s="42">
        <v>128812</v>
      </c>
      <c r="R25" s="42">
        <v>130127</v>
      </c>
      <c r="S25" s="42">
        <v>131322</v>
      </c>
      <c r="T25" s="42">
        <v>133543</v>
      </c>
      <c r="U25" s="42">
        <v>136236</v>
      </c>
      <c r="V25" s="42">
        <v>137955</v>
      </c>
      <c r="W25" s="42">
        <v>137244</v>
      </c>
      <c r="X25" s="42">
        <v>135591</v>
      </c>
      <c r="Y25" s="43">
        <v>132550</v>
      </c>
      <c r="Z25" s="43">
        <v>130433</v>
      </c>
      <c r="AA25" s="43">
        <v>127128</v>
      </c>
      <c r="AB25" s="43">
        <v>122286</v>
      </c>
      <c r="AC25" s="43">
        <v>116024</v>
      </c>
      <c r="AD25" s="41">
        <v>108881</v>
      </c>
      <c r="AE25" s="41">
        <v>101277</v>
      </c>
      <c r="AF25" s="27">
        <v>94578</v>
      </c>
      <c r="AG25" s="27">
        <v>90441</v>
      </c>
      <c r="AH25" s="297">
        <v>86689</v>
      </c>
      <c r="AI25" s="34">
        <v>82416</v>
      </c>
      <c r="AJ25" s="304">
        <v>75452</v>
      </c>
      <c r="AK25" s="371">
        <v>71497</v>
      </c>
      <c r="AL25" s="371">
        <v>68149</v>
      </c>
      <c r="AM25" s="34">
        <v>65394</v>
      </c>
      <c r="AN25" s="34">
        <v>63642</v>
      </c>
      <c r="AO25" s="34">
        <v>62908</v>
      </c>
      <c r="AP25" s="34">
        <v>63053</v>
      </c>
    </row>
    <row r="26" spans="1:54">
      <c r="A26" s="40" t="s">
        <v>304</v>
      </c>
      <c r="B26" s="41">
        <v>144496</v>
      </c>
      <c r="C26" s="41">
        <v>145230</v>
      </c>
      <c r="D26" s="41">
        <v>140450</v>
      </c>
      <c r="E26" s="41">
        <v>137501</v>
      </c>
      <c r="F26" s="41">
        <v>136204</v>
      </c>
      <c r="G26" s="41">
        <v>134800</v>
      </c>
      <c r="H26" s="41">
        <v>134763</v>
      </c>
      <c r="I26" s="41">
        <v>133850</v>
      </c>
      <c r="J26" s="41">
        <v>134067</v>
      </c>
      <c r="K26" s="41">
        <v>134674</v>
      </c>
      <c r="L26" s="41">
        <v>135292</v>
      </c>
      <c r="M26" s="42">
        <v>135429</v>
      </c>
      <c r="N26" s="42">
        <v>135873</v>
      </c>
      <c r="O26" s="42">
        <v>134250</v>
      </c>
      <c r="P26" s="42">
        <v>131857</v>
      </c>
      <c r="Q26" s="42">
        <v>128881</v>
      </c>
      <c r="R26" s="42">
        <v>127266</v>
      </c>
      <c r="S26" s="42">
        <v>125676</v>
      </c>
      <c r="T26" s="42">
        <v>124458</v>
      </c>
      <c r="U26" s="42">
        <v>123296</v>
      </c>
      <c r="V26" s="42">
        <v>123487</v>
      </c>
      <c r="W26" s="42">
        <v>125403</v>
      </c>
      <c r="X26" s="42">
        <v>127646</v>
      </c>
      <c r="Y26" s="43">
        <v>131282</v>
      </c>
      <c r="Z26" s="43">
        <v>135733</v>
      </c>
      <c r="AA26" s="43">
        <v>136600</v>
      </c>
      <c r="AB26" s="43">
        <v>135213</v>
      </c>
      <c r="AC26" s="43">
        <v>133373</v>
      </c>
      <c r="AD26" s="41">
        <v>131400</v>
      </c>
      <c r="AE26" s="41">
        <v>129194</v>
      </c>
      <c r="AF26" s="27">
        <v>126187</v>
      </c>
      <c r="AG26" s="27">
        <v>121083</v>
      </c>
      <c r="AH26" s="297">
        <v>113451</v>
      </c>
      <c r="AI26" s="34">
        <v>105145</v>
      </c>
      <c r="AJ26" s="304">
        <v>95059</v>
      </c>
      <c r="AK26" s="371">
        <v>88846</v>
      </c>
      <c r="AL26" s="371">
        <v>84512</v>
      </c>
      <c r="AM26" s="34">
        <v>80822</v>
      </c>
      <c r="AN26" s="34">
        <v>76561</v>
      </c>
      <c r="AO26" s="34">
        <v>71998</v>
      </c>
      <c r="AP26" s="34">
        <v>68089</v>
      </c>
    </row>
    <row r="27" spans="1:54">
      <c r="A27" s="40" t="s">
        <v>305</v>
      </c>
      <c r="B27" s="41">
        <v>129102</v>
      </c>
      <c r="C27" s="41">
        <v>133697</v>
      </c>
      <c r="D27" s="41">
        <v>139893</v>
      </c>
      <c r="E27" s="41">
        <v>145226</v>
      </c>
      <c r="F27" s="41">
        <v>150667</v>
      </c>
      <c r="G27" s="41">
        <v>151699</v>
      </c>
      <c r="H27" s="41">
        <v>148745</v>
      </c>
      <c r="I27" s="41">
        <v>145625</v>
      </c>
      <c r="J27" s="41">
        <v>141742</v>
      </c>
      <c r="K27" s="41">
        <v>138394</v>
      </c>
      <c r="L27" s="41">
        <v>136504</v>
      </c>
      <c r="M27" s="42">
        <v>136064</v>
      </c>
      <c r="N27" s="42">
        <v>134591</v>
      </c>
      <c r="O27" s="42">
        <v>135298</v>
      </c>
      <c r="P27" s="42">
        <v>136098</v>
      </c>
      <c r="Q27" s="42">
        <v>136000</v>
      </c>
      <c r="R27" s="42">
        <v>134860</v>
      </c>
      <c r="S27" s="42">
        <v>133280</v>
      </c>
      <c r="T27" s="42">
        <v>129831</v>
      </c>
      <c r="U27" s="42">
        <v>125850</v>
      </c>
      <c r="V27" s="42">
        <v>121858</v>
      </c>
      <c r="W27" s="42">
        <v>119098</v>
      </c>
      <c r="X27" s="42">
        <v>117264</v>
      </c>
      <c r="Y27" s="43">
        <v>115938</v>
      </c>
      <c r="Z27" s="43">
        <v>118034</v>
      </c>
      <c r="AA27" s="43">
        <v>120594</v>
      </c>
      <c r="AB27" s="43">
        <v>122916</v>
      </c>
      <c r="AC27" s="43">
        <v>125498</v>
      </c>
      <c r="AD27" s="41">
        <v>129291</v>
      </c>
      <c r="AE27" s="41">
        <v>132678</v>
      </c>
      <c r="AF27" s="27">
        <v>133889</v>
      </c>
      <c r="AG27" s="27">
        <v>132602</v>
      </c>
      <c r="AH27" s="297">
        <v>127309</v>
      </c>
      <c r="AI27" s="34">
        <v>120503</v>
      </c>
      <c r="AJ27" s="304">
        <v>104570</v>
      </c>
      <c r="AK27" s="371">
        <v>103926</v>
      </c>
      <c r="AL27" s="371">
        <v>101894</v>
      </c>
      <c r="AM27" s="34">
        <v>98060</v>
      </c>
      <c r="AN27" s="34">
        <v>92356</v>
      </c>
      <c r="AO27" s="34">
        <v>84808</v>
      </c>
      <c r="AP27" s="34">
        <v>78417</v>
      </c>
    </row>
    <row r="28" spans="1:54">
      <c r="A28" s="40" t="s">
        <v>306</v>
      </c>
      <c r="B28" s="41">
        <v>122193</v>
      </c>
      <c r="C28" s="41">
        <v>123679</v>
      </c>
      <c r="D28" s="41">
        <v>123458</v>
      </c>
      <c r="E28" s="41">
        <v>125514</v>
      </c>
      <c r="F28" s="41">
        <v>128635</v>
      </c>
      <c r="G28" s="41">
        <v>134211</v>
      </c>
      <c r="H28" s="41">
        <v>140536</v>
      </c>
      <c r="I28" s="41">
        <v>145959</v>
      </c>
      <c r="J28" s="41">
        <v>151264</v>
      </c>
      <c r="K28" s="41">
        <v>154970</v>
      </c>
      <c r="L28" s="41">
        <v>155475</v>
      </c>
      <c r="M28" s="42">
        <v>154641</v>
      </c>
      <c r="N28" s="42">
        <v>151928</v>
      </c>
      <c r="O28" s="42">
        <v>146627</v>
      </c>
      <c r="P28" s="42">
        <v>141673</v>
      </c>
      <c r="Q28" s="42">
        <v>137393</v>
      </c>
      <c r="R28" s="42">
        <v>134382</v>
      </c>
      <c r="S28" s="42">
        <v>131900</v>
      </c>
      <c r="T28" s="42">
        <v>131920</v>
      </c>
      <c r="U28" s="42">
        <v>131783</v>
      </c>
      <c r="V28" s="42">
        <v>130867</v>
      </c>
      <c r="W28" s="42">
        <v>128235</v>
      </c>
      <c r="X28" s="42">
        <v>125278</v>
      </c>
      <c r="Y28" s="43">
        <v>119825</v>
      </c>
      <c r="Z28" s="43">
        <v>116227</v>
      </c>
      <c r="AA28" s="43">
        <v>114110</v>
      </c>
      <c r="AB28" s="43">
        <v>112660</v>
      </c>
      <c r="AC28" s="43">
        <v>111635</v>
      </c>
      <c r="AD28" s="41">
        <v>111210</v>
      </c>
      <c r="AE28" s="41">
        <v>111873</v>
      </c>
      <c r="AF28" s="27">
        <v>113869</v>
      </c>
      <c r="AG28" s="27">
        <v>116722</v>
      </c>
      <c r="AH28" s="297">
        <v>115975</v>
      </c>
      <c r="AI28" s="34">
        <v>113846</v>
      </c>
      <c r="AJ28" s="304">
        <v>94921</v>
      </c>
      <c r="AK28" s="371">
        <v>95057</v>
      </c>
      <c r="AL28" s="371">
        <v>94972</v>
      </c>
      <c r="AM28" s="34">
        <v>95144</v>
      </c>
      <c r="AN28" s="34">
        <v>94383</v>
      </c>
      <c r="AO28" s="34">
        <v>92180</v>
      </c>
      <c r="AP28" s="34">
        <v>90342</v>
      </c>
    </row>
    <row r="29" spans="1:54">
      <c r="A29" s="40" t="s">
        <v>307</v>
      </c>
      <c r="B29" s="41">
        <v>110599</v>
      </c>
      <c r="C29" s="41">
        <v>112989</v>
      </c>
      <c r="D29" s="41">
        <v>116891</v>
      </c>
      <c r="E29" s="41">
        <v>119314</v>
      </c>
      <c r="F29" s="41">
        <v>122326</v>
      </c>
      <c r="G29" s="41">
        <v>123855</v>
      </c>
      <c r="H29" s="41">
        <v>124101</v>
      </c>
      <c r="I29" s="41">
        <v>125111</v>
      </c>
      <c r="J29" s="41">
        <v>127184</v>
      </c>
      <c r="K29" s="41">
        <v>130371</v>
      </c>
      <c r="L29" s="41">
        <v>135884</v>
      </c>
      <c r="M29" s="42">
        <v>139659</v>
      </c>
      <c r="N29" s="42">
        <v>145119</v>
      </c>
      <c r="O29" s="42">
        <v>149956</v>
      </c>
      <c r="P29" s="42">
        <v>153788</v>
      </c>
      <c r="Q29" s="42">
        <v>153660</v>
      </c>
      <c r="R29" s="42">
        <v>150215</v>
      </c>
      <c r="S29" s="42">
        <v>146791</v>
      </c>
      <c r="T29" s="42">
        <v>141499</v>
      </c>
      <c r="U29" s="42">
        <v>136823</v>
      </c>
      <c r="V29" s="42">
        <v>133270</v>
      </c>
      <c r="W29" s="42">
        <v>131071</v>
      </c>
      <c r="X29" s="42">
        <v>128588</v>
      </c>
      <c r="Y29" s="43">
        <v>129264</v>
      </c>
      <c r="Z29" s="43">
        <v>127259</v>
      </c>
      <c r="AA29" s="43">
        <v>125506</v>
      </c>
      <c r="AB29" s="43">
        <v>123344</v>
      </c>
      <c r="AC29" s="43">
        <v>120545</v>
      </c>
      <c r="AD29" s="41">
        <v>116782</v>
      </c>
      <c r="AE29" s="41">
        <v>113354</v>
      </c>
      <c r="AF29" s="27">
        <v>110782</v>
      </c>
      <c r="AG29" s="27">
        <v>108930</v>
      </c>
      <c r="AH29" s="297">
        <v>105113</v>
      </c>
      <c r="AI29" s="34">
        <v>100940</v>
      </c>
      <c r="AJ29" s="304">
        <v>88878</v>
      </c>
      <c r="AK29" s="371">
        <v>87387</v>
      </c>
      <c r="AL29" s="371">
        <v>87211</v>
      </c>
      <c r="AM29" s="34">
        <v>87782</v>
      </c>
      <c r="AN29" s="34">
        <v>88249</v>
      </c>
      <c r="AO29" s="34">
        <v>88539</v>
      </c>
      <c r="AP29" s="34">
        <v>88631</v>
      </c>
    </row>
    <row r="30" spans="1:54">
      <c r="A30" s="40" t="s">
        <v>308</v>
      </c>
      <c r="B30" s="41">
        <v>122956</v>
      </c>
      <c r="C30" s="41">
        <v>123137</v>
      </c>
      <c r="D30" s="41">
        <v>116959</v>
      </c>
      <c r="E30" s="41">
        <v>114201</v>
      </c>
      <c r="F30" s="41">
        <v>110223</v>
      </c>
      <c r="G30" s="41">
        <v>108888</v>
      </c>
      <c r="H30" s="41">
        <v>112406</v>
      </c>
      <c r="I30" s="41">
        <v>116668</v>
      </c>
      <c r="J30" s="41">
        <v>119899</v>
      </c>
      <c r="K30" s="41">
        <v>123746</v>
      </c>
      <c r="L30" s="41">
        <v>125844</v>
      </c>
      <c r="M30" s="42">
        <v>125630</v>
      </c>
      <c r="N30" s="42">
        <v>125159</v>
      </c>
      <c r="O30" s="42">
        <v>125449</v>
      </c>
      <c r="P30" s="42">
        <v>126834</v>
      </c>
      <c r="Q30" s="42">
        <v>129123</v>
      </c>
      <c r="R30" s="42">
        <v>134606</v>
      </c>
      <c r="S30" s="42">
        <v>138820</v>
      </c>
      <c r="T30" s="42">
        <v>143004</v>
      </c>
      <c r="U30" s="42">
        <v>146445</v>
      </c>
      <c r="V30" s="42">
        <v>147174</v>
      </c>
      <c r="W30" s="42">
        <v>144620</v>
      </c>
      <c r="X30" s="42">
        <v>141881</v>
      </c>
      <c r="Y30" s="43">
        <v>136744</v>
      </c>
      <c r="Z30" s="43">
        <v>131845</v>
      </c>
      <c r="AA30" s="43">
        <v>129436</v>
      </c>
      <c r="AB30" s="43">
        <v>127998</v>
      </c>
      <c r="AC30" s="43">
        <v>127206</v>
      </c>
      <c r="AD30" s="41">
        <v>126679</v>
      </c>
      <c r="AE30" s="41">
        <v>125708</v>
      </c>
      <c r="AF30" s="27">
        <v>123448</v>
      </c>
      <c r="AG30" s="27">
        <v>120253</v>
      </c>
      <c r="AH30" s="297">
        <v>115139</v>
      </c>
      <c r="AI30" s="34">
        <v>108931</v>
      </c>
      <c r="AJ30" s="304">
        <v>98840</v>
      </c>
      <c r="AK30" s="371">
        <v>95336</v>
      </c>
      <c r="AL30" s="371">
        <v>92351</v>
      </c>
      <c r="AM30" s="34">
        <v>89193</v>
      </c>
      <c r="AN30" s="34">
        <v>85729</v>
      </c>
      <c r="AO30" s="34">
        <v>82634</v>
      </c>
      <c r="AP30" s="34">
        <v>81260</v>
      </c>
    </row>
    <row r="31" spans="1:54">
      <c r="A31" s="40" t="s">
        <v>309</v>
      </c>
      <c r="B31" s="41">
        <v>124792</v>
      </c>
      <c r="C31" s="41">
        <v>126303</v>
      </c>
      <c r="D31" s="41">
        <v>124222</v>
      </c>
      <c r="E31" s="41">
        <v>122711</v>
      </c>
      <c r="F31" s="41">
        <v>122112</v>
      </c>
      <c r="G31" s="41">
        <v>121100</v>
      </c>
      <c r="H31" s="41">
        <v>117931</v>
      </c>
      <c r="I31" s="41">
        <v>115761</v>
      </c>
      <c r="J31" s="41">
        <v>113886</v>
      </c>
      <c r="K31" s="41">
        <v>110394</v>
      </c>
      <c r="L31" s="41">
        <v>109072</v>
      </c>
      <c r="M31" s="42">
        <v>109822</v>
      </c>
      <c r="N31" s="42">
        <v>115628</v>
      </c>
      <c r="O31" s="42">
        <v>117023</v>
      </c>
      <c r="P31" s="42">
        <v>119863</v>
      </c>
      <c r="Q31" s="42">
        <v>121753</v>
      </c>
      <c r="R31" s="42">
        <v>120627</v>
      </c>
      <c r="S31" s="42">
        <v>119249</v>
      </c>
      <c r="T31" s="42">
        <v>119129</v>
      </c>
      <c r="U31" s="42">
        <v>120138</v>
      </c>
      <c r="V31" s="42">
        <v>122530</v>
      </c>
      <c r="W31" s="42">
        <v>127997</v>
      </c>
      <c r="X31" s="42">
        <v>132165</v>
      </c>
      <c r="Y31" s="43">
        <v>139694</v>
      </c>
      <c r="Z31" s="43">
        <v>141821</v>
      </c>
      <c r="AA31" s="43">
        <v>141961</v>
      </c>
      <c r="AB31" s="43">
        <v>140634</v>
      </c>
      <c r="AC31" s="43">
        <v>138180</v>
      </c>
      <c r="AD31" s="41">
        <v>134094</v>
      </c>
      <c r="AE31" s="41">
        <v>130362</v>
      </c>
      <c r="AF31" s="27">
        <v>127721</v>
      </c>
      <c r="AG31" s="27">
        <v>125667</v>
      </c>
      <c r="AH31" s="297">
        <v>123204</v>
      </c>
      <c r="AI31" s="34">
        <v>120965</v>
      </c>
      <c r="AJ31" s="304">
        <v>110970</v>
      </c>
      <c r="AK31" s="371">
        <v>108432</v>
      </c>
      <c r="AL31" s="371">
        <v>105582</v>
      </c>
      <c r="AM31" s="34">
        <v>102361</v>
      </c>
      <c r="AN31" s="34">
        <v>98134</v>
      </c>
      <c r="AO31" s="34">
        <v>93781</v>
      </c>
      <c r="AP31" s="34">
        <v>90377</v>
      </c>
    </row>
    <row r="32" spans="1:54">
      <c r="A32" s="40" t="s">
        <v>310</v>
      </c>
      <c r="B32" s="41">
        <v>123769</v>
      </c>
      <c r="C32" s="41">
        <v>123774</v>
      </c>
      <c r="D32" s="41">
        <v>121719</v>
      </c>
      <c r="E32" s="41">
        <v>122132</v>
      </c>
      <c r="F32" s="41">
        <v>122471</v>
      </c>
      <c r="G32" s="41">
        <v>121908</v>
      </c>
      <c r="H32" s="41">
        <v>122026</v>
      </c>
      <c r="I32" s="41">
        <v>121781</v>
      </c>
      <c r="J32" s="41">
        <v>120967</v>
      </c>
      <c r="K32" s="41">
        <v>121079</v>
      </c>
      <c r="L32" s="41">
        <v>120745</v>
      </c>
      <c r="M32" s="42">
        <v>119810</v>
      </c>
      <c r="N32" s="42">
        <v>115501</v>
      </c>
      <c r="O32" s="42">
        <v>115138</v>
      </c>
      <c r="P32" s="42">
        <v>110496</v>
      </c>
      <c r="Q32" s="42">
        <v>106010</v>
      </c>
      <c r="R32" s="42">
        <v>106030</v>
      </c>
      <c r="S32" s="42">
        <v>110471</v>
      </c>
      <c r="T32" s="42">
        <v>110925</v>
      </c>
      <c r="U32" s="42">
        <v>113109</v>
      </c>
      <c r="V32" s="42">
        <v>115351</v>
      </c>
      <c r="W32" s="42">
        <v>114460</v>
      </c>
      <c r="X32" s="42">
        <v>113650</v>
      </c>
      <c r="Y32" s="43">
        <v>115607</v>
      </c>
      <c r="Z32" s="43">
        <v>116826</v>
      </c>
      <c r="AA32" s="43">
        <v>121124</v>
      </c>
      <c r="AB32" s="43">
        <v>127029</v>
      </c>
      <c r="AC32" s="43">
        <v>132088</v>
      </c>
      <c r="AD32" s="41">
        <v>136235</v>
      </c>
      <c r="AE32" s="41">
        <v>139294</v>
      </c>
      <c r="AF32" s="27">
        <v>139758</v>
      </c>
      <c r="AG32" s="27">
        <v>137800</v>
      </c>
      <c r="AH32" s="297">
        <v>133388</v>
      </c>
      <c r="AI32" s="34">
        <v>127914</v>
      </c>
      <c r="AJ32" s="304">
        <v>114964</v>
      </c>
      <c r="AK32" s="371">
        <v>112259</v>
      </c>
      <c r="AL32" s="371">
        <v>110249</v>
      </c>
      <c r="AM32" s="34">
        <v>108831</v>
      </c>
      <c r="AN32" s="34">
        <v>107613</v>
      </c>
      <c r="AO32" s="34">
        <v>105727</v>
      </c>
      <c r="AP32" s="34">
        <v>103228</v>
      </c>
    </row>
    <row r="33" spans="1:42">
      <c r="A33" s="40" t="s">
        <v>311</v>
      </c>
      <c r="B33" s="41">
        <v>116664</v>
      </c>
      <c r="C33" s="41">
        <v>119382</v>
      </c>
      <c r="D33" s="41">
        <v>119722</v>
      </c>
      <c r="E33" s="41">
        <v>119950</v>
      </c>
      <c r="F33" s="41">
        <v>120287</v>
      </c>
      <c r="G33" s="41">
        <v>120583</v>
      </c>
      <c r="H33" s="41">
        <v>119784</v>
      </c>
      <c r="I33" s="41">
        <v>119032</v>
      </c>
      <c r="J33" s="41">
        <v>119586</v>
      </c>
      <c r="K33" s="41">
        <v>119836</v>
      </c>
      <c r="L33" s="41">
        <v>119529</v>
      </c>
      <c r="M33" s="42">
        <v>119756</v>
      </c>
      <c r="N33" s="42">
        <v>120168</v>
      </c>
      <c r="O33" s="42">
        <v>118697</v>
      </c>
      <c r="P33" s="42">
        <v>118220</v>
      </c>
      <c r="Q33" s="42">
        <v>118190</v>
      </c>
      <c r="R33" s="42">
        <v>115824</v>
      </c>
      <c r="S33" s="42">
        <v>111040</v>
      </c>
      <c r="T33" s="42">
        <v>110252</v>
      </c>
      <c r="U33" s="42">
        <v>105259</v>
      </c>
      <c r="V33" s="42">
        <v>100401</v>
      </c>
      <c r="W33" s="42">
        <v>99908</v>
      </c>
      <c r="X33" s="42">
        <v>104124</v>
      </c>
      <c r="Y33" s="43">
        <v>106869</v>
      </c>
      <c r="Z33" s="43">
        <v>109576</v>
      </c>
      <c r="AA33" s="43">
        <v>110905</v>
      </c>
      <c r="AB33" s="43">
        <v>110820</v>
      </c>
      <c r="AC33" s="43">
        <v>111332</v>
      </c>
      <c r="AD33" s="41">
        <v>112458</v>
      </c>
      <c r="AE33" s="41">
        <v>114415</v>
      </c>
      <c r="AF33" s="27">
        <v>118199</v>
      </c>
      <c r="AG33" s="27">
        <v>123643</v>
      </c>
      <c r="AH33" s="297">
        <v>127714</v>
      </c>
      <c r="AI33" s="34">
        <v>130511</v>
      </c>
      <c r="AJ33" s="304">
        <v>127045</v>
      </c>
      <c r="AK33" s="371">
        <v>126113</v>
      </c>
      <c r="AL33" s="371">
        <v>123313</v>
      </c>
      <c r="AM33" s="34">
        <v>119456</v>
      </c>
      <c r="AN33" s="34">
        <v>114773</v>
      </c>
      <c r="AO33" s="34">
        <v>110686</v>
      </c>
      <c r="AP33" s="34">
        <v>107987</v>
      </c>
    </row>
    <row r="34" spans="1:42">
      <c r="A34" s="40" t="s">
        <v>312</v>
      </c>
      <c r="B34" s="41">
        <v>89856</v>
      </c>
      <c r="C34" s="41">
        <v>94843</v>
      </c>
      <c r="D34" s="41">
        <v>102997</v>
      </c>
      <c r="E34" s="41">
        <v>107408</v>
      </c>
      <c r="F34" s="41">
        <v>110458</v>
      </c>
      <c r="G34" s="41">
        <v>112795</v>
      </c>
      <c r="H34" s="41">
        <v>115020</v>
      </c>
      <c r="I34" s="41">
        <v>116536</v>
      </c>
      <c r="J34" s="41">
        <v>117434</v>
      </c>
      <c r="K34" s="41">
        <v>118272</v>
      </c>
      <c r="L34" s="41">
        <v>118747</v>
      </c>
      <c r="M34" s="42">
        <v>118238</v>
      </c>
      <c r="N34" s="42">
        <v>117381</v>
      </c>
      <c r="O34" s="42">
        <v>116334</v>
      </c>
      <c r="P34" s="42">
        <v>116844</v>
      </c>
      <c r="Q34" s="42">
        <v>115414</v>
      </c>
      <c r="R34" s="42">
        <v>115053</v>
      </c>
      <c r="S34" s="42">
        <v>114808</v>
      </c>
      <c r="T34" s="42">
        <v>112755</v>
      </c>
      <c r="U34" s="42">
        <v>112085</v>
      </c>
      <c r="V34" s="42">
        <v>112208</v>
      </c>
      <c r="W34" s="42">
        <v>110065</v>
      </c>
      <c r="X34" s="42">
        <v>105597</v>
      </c>
      <c r="Y34" s="43">
        <v>102642</v>
      </c>
      <c r="Z34" s="43">
        <v>97816</v>
      </c>
      <c r="AA34" s="43">
        <v>95621</v>
      </c>
      <c r="AB34" s="43">
        <v>97772</v>
      </c>
      <c r="AC34" s="43">
        <v>100690</v>
      </c>
      <c r="AD34" s="41">
        <v>103170</v>
      </c>
      <c r="AE34" s="41">
        <v>106232</v>
      </c>
      <c r="AF34" s="27">
        <v>107618</v>
      </c>
      <c r="AG34" s="27">
        <v>107302</v>
      </c>
      <c r="AH34" s="297">
        <v>106891</v>
      </c>
      <c r="AI34" s="34">
        <v>107353</v>
      </c>
      <c r="AJ34" s="304">
        <v>104067</v>
      </c>
      <c r="AK34" s="371">
        <v>107867</v>
      </c>
      <c r="AL34" s="371">
        <v>112753</v>
      </c>
      <c r="AM34" s="34">
        <v>116878</v>
      </c>
      <c r="AN34" s="34">
        <v>120314</v>
      </c>
      <c r="AO34" s="34">
        <v>122114</v>
      </c>
      <c r="AP34" s="34">
        <v>121301</v>
      </c>
    </row>
    <row r="35" spans="1:42">
      <c r="A35" s="40" t="s">
        <v>313</v>
      </c>
      <c r="B35" s="41">
        <v>65268</v>
      </c>
      <c r="C35" s="41">
        <v>64253</v>
      </c>
      <c r="D35" s="41">
        <v>63950</v>
      </c>
      <c r="E35" s="41">
        <v>68112</v>
      </c>
      <c r="F35" s="41">
        <v>75097</v>
      </c>
      <c r="G35" s="41">
        <v>83984</v>
      </c>
      <c r="H35" s="41">
        <v>91757</v>
      </c>
      <c r="I35" s="41">
        <v>98042</v>
      </c>
      <c r="J35" s="41">
        <v>103418</v>
      </c>
      <c r="K35" s="41">
        <v>107736</v>
      </c>
      <c r="L35" s="41">
        <v>110741</v>
      </c>
      <c r="M35" s="42">
        <v>112810</v>
      </c>
      <c r="N35" s="42">
        <v>113356</v>
      </c>
      <c r="O35" s="42">
        <v>113762</v>
      </c>
      <c r="P35" s="42">
        <v>113450</v>
      </c>
      <c r="Q35" s="42">
        <v>114095</v>
      </c>
      <c r="R35" s="42">
        <v>111889</v>
      </c>
      <c r="S35" s="42">
        <v>110405</v>
      </c>
      <c r="T35" s="42">
        <v>109090</v>
      </c>
      <c r="U35" s="42">
        <v>109421</v>
      </c>
      <c r="V35" s="42">
        <v>108044</v>
      </c>
      <c r="W35" s="42">
        <v>107757</v>
      </c>
      <c r="X35" s="42">
        <v>107730</v>
      </c>
      <c r="Y35" s="43">
        <v>106465</v>
      </c>
      <c r="Z35" s="43">
        <v>106230</v>
      </c>
      <c r="AA35" s="43">
        <v>105587</v>
      </c>
      <c r="AB35" s="43">
        <v>102982</v>
      </c>
      <c r="AC35" s="43">
        <v>100669</v>
      </c>
      <c r="AD35" s="41">
        <v>98036</v>
      </c>
      <c r="AE35" s="41">
        <v>93961</v>
      </c>
      <c r="AF35" s="27">
        <v>91499</v>
      </c>
      <c r="AG35" s="27">
        <v>93146</v>
      </c>
      <c r="AH35" s="297">
        <v>95950</v>
      </c>
      <c r="AI35" s="34">
        <v>98373</v>
      </c>
      <c r="AJ35" s="304">
        <v>98097</v>
      </c>
      <c r="AK35" s="371">
        <v>98916</v>
      </c>
      <c r="AL35" s="371">
        <v>98061</v>
      </c>
      <c r="AM35" s="34">
        <v>97783</v>
      </c>
      <c r="AN35" s="34">
        <v>98525</v>
      </c>
      <c r="AO35" s="34">
        <v>100172</v>
      </c>
      <c r="AP35" s="34">
        <v>103924</v>
      </c>
    </row>
    <row r="36" spans="1:42">
      <c r="A36" s="40" t="s">
        <v>160</v>
      </c>
      <c r="B36" s="41">
        <v>77992</v>
      </c>
      <c r="C36" s="41">
        <v>77903</v>
      </c>
      <c r="D36" s="41">
        <v>74002</v>
      </c>
      <c r="E36" s="41">
        <v>69647</v>
      </c>
      <c r="F36" s="41">
        <v>64301</v>
      </c>
      <c r="G36" s="41">
        <v>59599</v>
      </c>
      <c r="H36" s="41">
        <v>57466</v>
      </c>
      <c r="I36" s="41">
        <v>58823</v>
      </c>
      <c r="J36" s="41">
        <v>63270</v>
      </c>
      <c r="K36" s="41">
        <v>70075</v>
      </c>
      <c r="L36" s="41">
        <v>78631</v>
      </c>
      <c r="M36" s="42">
        <v>83275</v>
      </c>
      <c r="N36" s="42">
        <v>90116</v>
      </c>
      <c r="O36" s="42">
        <v>95550</v>
      </c>
      <c r="P36" s="42">
        <v>99672</v>
      </c>
      <c r="Q36" s="42">
        <v>101656</v>
      </c>
      <c r="R36" s="42">
        <v>104109</v>
      </c>
      <c r="S36" s="42">
        <v>103994</v>
      </c>
      <c r="T36" s="42">
        <v>104023</v>
      </c>
      <c r="U36" s="42">
        <v>103505</v>
      </c>
      <c r="V36" s="42">
        <v>104295</v>
      </c>
      <c r="W36" s="42">
        <v>102391</v>
      </c>
      <c r="X36" s="42">
        <v>101332</v>
      </c>
      <c r="Y36" s="43">
        <v>101177</v>
      </c>
      <c r="Z36" s="43">
        <v>100847</v>
      </c>
      <c r="AA36" s="43">
        <v>100381</v>
      </c>
      <c r="AB36" s="43">
        <v>100764</v>
      </c>
      <c r="AC36" s="43">
        <v>100692</v>
      </c>
      <c r="AD36" s="41">
        <v>99946</v>
      </c>
      <c r="AE36" s="41">
        <v>99856</v>
      </c>
      <c r="AF36" s="27">
        <v>99434</v>
      </c>
      <c r="AG36" s="27">
        <v>96867</v>
      </c>
      <c r="AH36" s="297">
        <v>94433</v>
      </c>
      <c r="AI36" s="34">
        <v>92032</v>
      </c>
      <c r="AJ36" s="304">
        <v>85141</v>
      </c>
      <c r="AK36" s="371">
        <v>83247</v>
      </c>
      <c r="AL36" s="371">
        <v>85261</v>
      </c>
      <c r="AM36" s="34">
        <v>88018</v>
      </c>
      <c r="AN36" s="34">
        <v>90034</v>
      </c>
      <c r="AO36" s="34">
        <v>92493</v>
      </c>
      <c r="AP36" s="34">
        <v>93449</v>
      </c>
    </row>
    <row r="37" spans="1:42">
      <c r="A37" s="40" t="s">
        <v>314</v>
      </c>
      <c r="B37" s="41">
        <v>66729</v>
      </c>
      <c r="C37" s="41">
        <v>68284</v>
      </c>
      <c r="D37" s="41">
        <v>68281</v>
      </c>
      <c r="E37" s="41">
        <v>68159</v>
      </c>
      <c r="F37" s="41">
        <v>68117</v>
      </c>
      <c r="G37" s="41">
        <v>67955</v>
      </c>
      <c r="H37" s="41">
        <v>67287</v>
      </c>
      <c r="I37" s="41">
        <v>65316</v>
      </c>
      <c r="J37" s="41">
        <v>62062</v>
      </c>
      <c r="K37" s="41">
        <v>57901</v>
      </c>
      <c r="L37" s="41">
        <v>53856</v>
      </c>
      <c r="M37" s="42">
        <v>51863</v>
      </c>
      <c r="N37" s="42">
        <v>50869</v>
      </c>
      <c r="O37" s="42">
        <v>54203</v>
      </c>
      <c r="P37" s="42">
        <v>58940</v>
      </c>
      <c r="Q37" s="42">
        <v>66257</v>
      </c>
      <c r="R37" s="42">
        <v>73494</v>
      </c>
      <c r="S37" s="42">
        <v>79118</v>
      </c>
      <c r="T37" s="42">
        <v>83655</v>
      </c>
      <c r="U37" s="42">
        <v>87080</v>
      </c>
      <c r="V37" s="42">
        <v>89038</v>
      </c>
      <c r="W37" s="42">
        <v>91503</v>
      </c>
      <c r="X37" s="42">
        <v>91700</v>
      </c>
      <c r="Y37" s="43">
        <v>91675</v>
      </c>
      <c r="Z37" s="43">
        <v>92475</v>
      </c>
      <c r="AA37" s="43">
        <v>92262</v>
      </c>
      <c r="AB37" s="43">
        <v>91625</v>
      </c>
      <c r="AC37" s="43">
        <v>91495</v>
      </c>
      <c r="AD37" s="41">
        <v>91634</v>
      </c>
      <c r="AE37" s="41">
        <v>91662</v>
      </c>
      <c r="AF37" s="27">
        <v>91485</v>
      </c>
      <c r="AG37" s="27">
        <v>91692</v>
      </c>
      <c r="AH37" s="297">
        <v>91542</v>
      </c>
      <c r="AI37" s="34">
        <v>91078</v>
      </c>
      <c r="AJ37" s="304">
        <v>91236</v>
      </c>
      <c r="AK37" s="371">
        <v>90066</v>
      </c>
      <c r="AL37" s="371">
        <v>87053</v>
      </c>
      <c r="AM37" s="34">
        <v>84213</v>
      </c>
      <c r="AN37" s="34">
        <v>81512</v>
      </c>
      <c r="AO37" s="34">
        <v>78084</v>
      </c>
      <c r="AP37" s="34">
        <v>76510</v>
      </c>
    </row>
    <row r="38" spans="1:42">
      <c r="A38" s="40" t="s">
        <v>315</v>
      </c>
      <c r="B38" s="41">
        <v>49272</v>
      </c>
      <c r="C38" s="41">
        <v>49912</v>
      </c>
      <c r="D38" s="41">
        <v>50938</v>
      </c>
      <c r="E38" s="41">
        <v>51333</v>
      </c>
      <c r="F38" s="41">
        <v>52033</v>
      </c>
      <c r="G38" s="41">
        <v>52990</v>
      </c>
      <c r="H38" s="41">
        <v>54046</v>
      </c>
      <c r="I38" s="41">
        <v>54840</v>
      </c>
      <c r="J38" s="41">
        <v>55348</v>
      </c>
      <c r="K38" s="41">
        <v>55854</v>
      </c>
      <c r="L38" s="41">
        <v>56055</v>
      </c>
      <c r="M38" s="42">
        <v>55390</v>
      </c>
      <c r="N38" s="42">
        <v>54933</v>
      </c>
      <c r="O38" s="42">
        <v>52077</v>
      </c>
      <c r="P38" s="42">
        <v>49181</v>
      </c>
      <c r="Q38" s="42">
        <v>44733</v>
      </c>
      <c r="R38" s="42">
        <v>41876</v>
      </c>
      <c r="S38" s="42">
        <v>41058</v>
      </c>
      <c r="T38" s="42">
        <v>43776</v>
      </c>
      <c r="U38" s="42">
        <v>47646</v>
      </c>
      <c r="V38" s="42">
        <v>53729</v>
      </c>
      <c r="W38" s="42">
        <v>59691</v>
      </c>
      <c r="X38" s="42">
        <v>64611</v>
      </c>
      <c r="Y38" s="43">
        <v>68903</v>
      </c>
      <c r="Z38" s="43">
        <v>72953</v>
      </c>
      <c r="AA38" s="43">
        <v>75177</v>
      </c>
      <c r="AB38" s="43">
        <v>76332</v>
      </c>
      <c r="AC38" s="43">
        <v>76595</v>
      </c>
      <c r="AD38" s="41">
        <v>77120</v>
      </c>
      <c r="AE38" s="41">
        <v>77756</v>
      </c>
      <c r="AF38" s="27">
        <v>78030</v>
      </c>
      <c r="AG38" s="27">
        <v>77755</v>
      </c>
      <c r="AH38" s="297">
        <v>77729</v>
      </c>
      <c r="AI38" s="34">
        <v>78265</v>
      </c>
      <c r="AJ38" s="304">
        <v>80259</v>
      </c>
      <c r="AK38" s="371">
        <v>80494</v>
      </c>
      <c r="AL38" s="371">
        <v>81043</v>
      </c>
      <c r="AM38" s="34">
        <v>81014</v>
      </c>
      <c r="AN38" s="34">
        <v>80312</v>
      </c>
      <c r="AO38" s="34">
        <v>79817</v>
      </c>
      <c r="AP38" s="34">
        <v>78882</v>
      </c>
    </row>
    <row r="39" spans="1:42">
      <c r="A39" s="40" t="s">
        <v>316</v>
      </c>
      <c r="B39" s="41">
        <v>26015</v>
      </c>
      <c r="C39" s="41">
        <v>27393</v>
      </c>
      <c r="D39" s="41">
        <v>28952</v>
      </c>
      <c r="E39" s="41">
        <v>30355</v>
      </c>
      <c r="F39" s="41">
        <v>32058</v>
      </c>
      <c r="G39" s="41">
        <v>33491</v>
      </c>
      <c r="H39" s="41">
        <v>34315</v>
      </c>
      <c r="I39" s="41">
        <v>34933</v>
      </c>
      <c r="J39" s="41">
        <v>35717</v>
      </c>
      <c r="K39" s="41">
        <v>36582</v>
      </c>
      <c r="L39" s="41">
        <v>37308</v>
      </c>
      <c r="M39" s="42">
        <v>37174</v>
      </c>
      <c r="N39" s="42">
        <v>38196</v>
      </c>
      <c r="O39" s="42">
        <v>38890</v>
      </c>
      <c r="P39" s="42">
        <v>38906</v>
      </c>
      <c r="Q39" s="42">
        <v>39325</v>
      </c>
      <c r="R39" s="42">
        <v>38692</v>
      </c>
      <c r="S39" s="42">
        <v>38083</v>
      </c>
      <c r="T39" s="42">
        <v>35883</v>
      </c>
      <c r="U39" s="42">
        <v>33917</v>
      </c>
      <c r="V39" s="42">
        <v>30769</v>
      </c>
      <c r="W39" s="42">
        <v>29079</v>
      </c>
      <c r="X39" s="42">
        <v>28790</v>
      </c>
      <c r="Y39" s="43">
        <v>31561</v>
      </c>
      <c r="Z39" s="43">
        <v>36840</v>
      </c>
      <c r="AA39" s="43">
        <v>41671</v>
      </c>
      <c r="AB39" s="43">
        <v>45086</v>
      </c>
      <c r="AC39" s="43">
        <v>47668</v>
      </c>
      <c r="AD39" s="41">
        <v>50293</v>
      </c>
      <c r="AE39" s="41">
        <v>52299</v>
      </c>
      <c r="AF39" s="27">
        <v>54269</v>
      </c>
      <c r="AG39" s="27">
        <v>55810</v>
      </c>
      <c r="AH39" s="297">
        <v>56722</v>
      </c>
      <c r="AI39" s="34">
        <v>57481</v>
      </c>
      <c r="AJ39" s="304">
        <v>60258</v>
      </c>
      <c r="AK39" s="371">
        <v>60795</v>
      </c>
      <c r="AL39" s="371">
        <v>60746</v>
      </c>
      <c r="AM39" s="34">
        <v>61046</v>
      </c>
      <c r="AN39" s="34">
        <v>61914</v>
      </c>
      <c r="AO39" s="34">
        <v>62739</v>
      </c>
      <c r="AP39" s="34">
        <v>63214</v>
      </c>
    </row>
    <row r="40" spans="1:42">
      <c r="A40" s="40" t="s">
        <v>317</v>
      </c>
      <c r="B40" s="41">
        <v>18448</v>
      </c>
      <c r="C40" s="41">
        <v>18721</v>
      </c>
      <c r="D40" s="41">
        <v>18974</v>
      </c>
      <c r="E40" s="41">
        <v>19615</v>
      </c>
      <c r="F40" s="41">
        <v>20106</v>
      </c>
      <c r="G40" s="41">
        <v>20764</v>
      </c>
      <c r="H40" s="41">
        <v>21449</v>
      </c>
      <c r="I40" s="41">
        <v>22193</v>
      </c>
      <c r="J40" s="41">
        <v>23249</v>
      </c>
      <c r="K40" s="41">
        <v>24427</v>
      </c>
      <c r="L40" s="41">
        <v>25445</v>
      </c>
      <c r="M40" s="42">
        <v>27092</v>
      </c>
      <c r="N40" s="42">
        <v>27752</v>
      </c>
      <c r="O40" s="42">
        <v>28252</v>
      </c>
      <c r="P40" s="42">
        <v>29235</v>
      </c>
      <c r="Q40" s="42">
        <v>30007</v>
      </c>
      <c r="R40" s="42">
        <v>29952</v>
      </c>
      <c r="S40" s="42">
        <v>30120</v>
      </c>
      <c r="T40" s="42">
        <v>30297</v>
      </c>
      <c r="U40" s="42">
        <v>30306</v>
      </c>
      <c r="V40" s="42">
        <v>30601</v>
      </c>
      <c r="W40" s="42">
        <v>30460</v>
      </c>
      <c r="X40" s="42">
        <v>30514</v>
      </c>
      <c r="Y40" s="43">
        <v>27634</v>
      </c>
      <c r="Z40" s="43">
        <v>28582</v>
      </c>
      <c r="AA40" s="43">
        <v>27853</v>
      </c>
      <c r="AB40" s="43">
        <v>26247</v>
      </c>
      <c r="AC40" s="43">
        <v>25179</v>
      </c>
      <c r="AD40" s="41">
        <v>26258</v>
      </c>
      <c r="AE40" s="41">
        <v>27898</v>
      </c>
      <c r="AF40" s="27">
        <v>29890</v>
      </c>
      <c r="AG40" s="27">
        <v>32069</v>
      </c>
      <c r="AH40" s="297">
        <v>34259</v>
      </c>
      <c r="AI40" s="34">
        <v>36496</v>
      </c>
      <c r="AJ40" s="304">
        <v>42993</v>
      </c>
      <c r="AK40" s="371">
        <v>45422</v>
      </c>
      <c r="AL40" s="371">
        <v>47648</v>
      </c>
      <c r="AM40" s="34">
        <v>49298</v>
      </c>
      <c r="AN40" s="34">
        <v>50775</v>
      </c>
      <c r="AO40" s="34">
        <v>52387</v>
      </c>
      <c r="AP40" s="34">
        <v>53943</v>
      </c>
    </row>
    <row r="41" spans="1:42" ht="15.75">
      <c r="A41" s="40" t="s">
        <v>318</v>
      </c>
      <c r="B41" s="47">
        <v>1785753</v>
      </c>
      <c r="C41" s="47">
        <v>1807844</v>
      </c>
      <c r="D41" s="47">
        <v>1806938</v>
      </c>
      <c r="E41" s="47">
        <v>1817606</v>
      </c>
      <c r="F41" s="47">
        <v>1830350</v>
      </c>
      <c r="G41" s="47">
        <v>1844951</v>
      </c>
      <c r="H41" s="47">
        <v>1859577</v>
      </c>
      <c r="I41" s="47">
        <v>1874524</v>
      </c>
      <c r="J41" s="47">
        <v>1891400</v>
      </c>
      <c r="K41" s="47">
        <v>1908934</v>
      </c>
      <c r="L41" s="47">
        <v>1926455</v>
      </c>
      <c r="M41" s="45">
        <v>1935849</v>
      </c>
      <c r="N41" s="45">
        <v>1946235</v>
      </c>
      <c r="O41" s="45">
        <v>1950992</v>
      </c>
      <c r="P41" s="45">
        <v>1953537</v>
      </c>
      <c r="Q41" s="45">
        <v>1947924</v>
      </c>
      <c r="R41" s="45">
        <v>1937924</v>
      </c>
      <c r="S41" s="45">
        <v>1925783</v>
      </c>
      <c r="T41" s="45">
        <v>1913647</v>
      </c>
      <c r="U41" s="45">
        <v>1902172</v>
      </c>
      <c r="V41" s="45">
        <v>1890607</v>
      </c>
      <c r="W41" s="45">
        <v>1878840</v>
      </c>
      <c r="X41" s="45">
        <v>1867773</v>
      </c>
      <c r="Y41" s="54">
        <v>1853588</v>
      </c>
      <c r="Z41" s="54">
        <v>1848179</v>
      </c>
      <c r="AA41" s="54">
        <v>1841209</v>
      </c>
      <c r="AB41" s="54">
        <v>1832170</v>
      </c>
      <c r="AC41" s="54">
        <v>1821902</v>
      </c>
      <c r="AD41" s="47">
        <v>1812275</v>
      </c>
      <c r="AE41" s="48">
        <v>1803639</v>
      </c>
      <c r="AF41" s="48">
        <v>1794994</v>
      </c>
      <c r="AG41" s="48">
        <v>1785956</v>
      </c>
      <c r="AH41" s="298">
        <v>1759310</v>
      </c>
      <c r="AI41" s="35">
        <v>1725694</v>
      </c>
      <c r="AJ41" s="306">
        <v>1611572</v>
      </c>
      <c r="AK41" s="35">
        <v>1595246</v>
      </c>
      <c r="AL41" s="35">
        <v>1581241</v>
      </c>
      <c r="AM41" s="35">
        <v>1566978</v>
      </c>
      <c r="AN41" s="35">
        <v>1547334</v>
      </c>
      <c r="AO41" s="35">
        <v>1523663</v>
      </c>
      <c r="AP41" s="35">
        <v>1505101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tabColor rgb="FFFFC000"/>
  </sheetPr>
  <dimension ref="A1:AE53"/>
  <sheetViews>
    <sheetView zoomScaleNormal="100" workbookViewId="0">
      <selection activeCell="L34" sqref="L34"/>
    </sheetView>
  </sheetViews>
  <sheetFormatPr defaultRowHeight="12.75"/>
  <cols>
    <col min="1" max="1" width="5.5703125" bestFit="1" customWidth="1"/>
    <col min="2" max="2" width="2.140625" customWidth="1"/>
    <col min="3" max="3" width="13.28515625" bestFit="1" customWidth="1"/>
    <col min="4" max="6" width="7.7109375" customWidth="1"/>
    <col min="7" max="7" width="4.7109375" customWidth="1"/>
    <col min="8" max="8" width="10.7109375" customWidth="1"/>
    <col min="9" max="9" width="7.7109375" customWidth="1"/>
    <col min="10" max="11" width="4.5703125" customWidth="1"/>
    <col min="12" max="12" width="5.2851562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4.42578125" customWidth="1"/>
    <col min="22" max="22" width="3.140625" style="212" customWidth="1"/>
    <col min="23" max="25" width="7.7109375" style="212" customWidth="1"/>
    <col min="26" max="26" width="8.5703125" style="212" bestFit="1" customWidth="1"/>
    <col min="27" max="29" width="7.7109375" style="212" customWidth="1"/>
    <col min="30" max="30" width="8.5703125" style="212" bestFit="1" customWidth="1"/>
    <col min="31" max="31" width="7.7109375" style="212" customWidth="1"/>
  </cols>
  <sheetData>
    <row r="1" spans="1:31" ht="20.100000000000001" customHeight="1">
      <c r="A1" s="244">
        <v>2012</v>
      </c>
      <c r="B1" s="244"/>
      <c r="C1" s="244" t="s">
        <v>406</v>
      </c>
      <c r="D1" s="31"/>
      <c r="E1" s="245"/>
      <c r="F1" s="31"/>
      <c r="G1" s="246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410"/>
      <c r="X1" s="410"/>
      <c r="Y1" s="410"/>
      <c r="Z1" s="243"/>
      <c r="AA1" s="410"/>
      <c r="AB1" s="410"/>
      <c r="AC1" s="410"/>
      <c r="AD1" s="31"/>
      <c r="AE1" s="31"/>
    </row>
    <row r="2" spans="1:31" ht="20.100000000000001" customHeight="1" thickBot="1">
      <c r="A2" s="244"/>
      <c r="B2" s="236"/>
      <c r="C2" s="236"/>
      <c r="D2" s="75"/>
      <c r="E2" s="237"/>
      <c r="F2" s="75"/>
      <c r="G2" s="238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31"/>
      <c r="W2" s="216"/>
      <c r="X2" s="216"/>
      <c r="Y2" s="216"/>
      <c r="Z2" s="243"/>
      <c r="AA2" s="216"/>
      <c r="AB2" s="216"/>
      <c r="AC2" s="216"/>
      <c r="AD2" s="31"/>
      <c r="AE2" s="31"/>
    </row>
    <row r="3" spans="1:31" ht="15">
      <c r="A3" s="31"/>
      <c r="B3" s="75"/>
      <c r="C3" s="75"/>
      <c r="D3" s="75"/>
      <c r="E3" s="75"/>
      <c r="F3" s="75"/>
      <c r="G3" s="75"/>
      <c r="H3" s="75"/>
      <c r="I3" s="75"/>
      <c r="J3" s="75"/>
      <c r="K3" s="75"/>
      <c r="L3" s="217"/>
      <c r="M3" s="218"/>
      <c r="N3" s="219"/>
      <c r="O3" s="219"/>
      <c r="P3" s="220">
        <v>2012</v>
      </c>
      <c r="Q3" s="219"/>
      <c r="R3" s="221"/>
      <c r="S3" s="222"/>
      <c r="T3" s="223">
        <f>A1</f>
        <v>2012</v>
      </c>
      <c r="U3" s="224"/>
      <c r="V3" s="31"/>
      <c r="W3" s="247"/>
      <c r="X3" s="403">
        <v>1978</v>
      </c>
      <c r="Y3" s="403"/>
      <c r="Z3" s="403"/>
      <c r="AA3" s="404"/>
      <c r="AB3" s="405">
        <f>2012</f>
        <v>2012</v>
      </c>
      <c r="AC3" s="403"/>
      <c r="AD3" s="403"/>
      <c r="AE3" s="404"/>
    </row>
    <row r="4" spans="1:31" ht="15">
      <c r="A4" s="31"/>
      <c r="B4" s="75"/>
      <c r="C4" s="75"/>
      <c r="D4" s="75"/>
      <c r="E4" s="75"/>
      <c r="F4" s="75"/>
      <c r="G4" s="75"/>
      <c r="H4" s="75"/>
      <c r="I4" s="75"/>
      <c r="J4" s="75"/>
      <c r="K4" s="75"/>
      <c r="L4" s="225"/>
      <c r="M4" s="226"/>
      <c r="N4" s="226"/>
      <c r="O4" s="226"/>
      <c r="P4" s="226"/>
      <c r="Q4" s="226"/>
      <c r="R4" s="226"/>
      <c r="S4" s="224"/>
      <c r="T4" s="227"/>
      <c r="U4" s="226"/>
      <c r="V4" s="31"/>
      <c r="W4" s="248"/>
      <c r="X4" s="242" t="s">
        <v>247</v>
      </c>
      <c r="Y4" s="242" t="s">
        <v>266</v>
      </c>
      <c r="Z4" s="242" t="s">
        <v>247</v>
      </c>
      <c r="AA4" s="249" t="s">
        <v>266</v>
      </c>
      <c r="AB4" s="257" t="s">
        <v>247</v>
      </c>
      <c r="AC4" s="258" t="s">
        <v>266</v>
      </c>
      <c r="AD4" s="242" t="s">
        <v>247</v>
      </c>
      <c r="AE4" s="249" t="s">
        <v>266</v>
      </c>
    </row>
    <row r="5" spans="1:31">
      <c r="A5" s="31"/>
      <c r="B5" s="75"/>
      <c r="C5" s="75"/>
      <c r="D5" s="75"/>
      <c r="E5" s="75"/>
      <c r="F5" s="75"/>
      <c r="G5" s="75"/>
      <c r="H5" s="75"/>
      <c r="I5" s="75"/>
      <c r="J5" s="75"/>
      <c r="K5" s="75"/>
      <c r="L5" s="225"/>
      <c r="M5" s="226"/>
      <c r="N5" s="226"/>
      <c r="O5" s="226"/>
      <c r="P5" s="226"/>
      <c r="Q5" s="226"/>
      <c r="R5" s="226"/>
      <c r="S5" s="226"/>
      <c r="T5" s="227"/>
      <c r="U5" s="226"/>
      <c r="V5" s="31"/>
      <c r="W5" s="248" t="s">
        <v>249</v>
      </c>
      <c r="X5" s="250">
        <f t="shared" ref="X5:X22" si="0">Z5/$Z$23</f>
        <v>-8.2632851090317663E-2</v>
      </c>
      <c r="Y5" s="250">
        <f t="shared" ref="Y5:Y22" si="1">AA5/$AA$23</f>
        <v>7.1721005088609679E-2</v>
      </c>
      <c r="Z5" s="251">
        <v>131689</v>
      </c>
      <c r="AA5" s="252">
        <v>128076</v>
      </c>
      <c r="AB5" s="259">
        <f t="shared" ref="AB5:AB22" si="2">AD5/$AD$23</f>
        <v>-5.6132062104300169E-2</v>
      </c>
      <c r="AC5" s="250">
        <f t="shared" ref="AC5:AC22" si="3">AE5/$AE$23</f>
        <v>4.5633083721980772E-2</v>
      </c>
      <c r="AD5" s="251">
        <f>HLOOKUP(Lent02v!$X$2,Populiacija!$B$1:$BB$20,2,FALSE)</f>
        <v>77249</v>
      </c>
      <c r="AE5" s="252">
        <f>HLOOKUP(Lent02m!$X$2,Populiacija!$B$1:$BB$40,23,FALSE)</f>
        <v>73541</v>
      </c>
    </row>
    <row r="6" spans="1:31">
      <c r="A6" s="31"/>
      <c r="B6" s="75"/>
      <c r="C6" s="75"/>
      <c r="D6" s="75"/>
      <c r="E6" s="75"/>
      <c r="F6" s="75"/>
      <c r="G6" s="75"/>
      <c r="H6" s="75"/>
      <c r="I6" s="75"/>
      <c r="J6" s="75"/>
      <c r="K6" s="75"/>
      <c r="L6" s="225"/>
      <c r="M6" s="226"/>
      <c r="N6" s="226"/>
      <c r="O6" s="226"/>
      <c r="P6" s="226"/>
      <c r="Q6" s="226"/>
      <c r="R6" s="226"/>
      <c r="S6" s="226"/>
      <c r="T6" s="227"/>
      <c r="U6" s="226"/>
      <c r="V6" s="31"/>
      <c r="W6" s="248" t="s">
        <v>250</v>
      </c>
      <c r="X6" s="250">
        <f t="shared" si="0"/>
        <v>-8.7398598449861448E-2</v>
      </c>
      <c r="Y6" s="250">
        <f t="shared" si="1"/>
        <v>7.5527802557240564E-2</v>
      </c>
      <c r="Z6" s="251">
        <v>139284</v>
      </c>
      <c r="AA6" s="252">
        <v>134874</v>
      </c>
      <c r="AB6" s="259">
        <f t="shared" si="2"/>
        <v>-5.0815251551190557E-2</v>
      </c>
      <c r="AC6" s="250">
        <f t="shared" si="3"/>
        <v>4.1513503585319182E-2</v>
      </c>
      <c r="AD6" s="251">
        <f>HLOOKUP(Lent02v!$X$2,Populiacija!$B$1:$BB$20,3,FALSE)</f>
        <v>69932</v>
      </c>
      <c r="AE6" s="252">
        <f>HLOOKUP(Lent02m!$X$2,Populiacija!$B$1:$BB$40,24,FALSE)</f>
        <v>66902</v>
      </c>
    </row>
    <row r="7" spans="1:31" ht="15">
      <c r="A7" s="31"/>
      <c r="B7" s="75"/>
      <c r="C7" s="75"/>
      <c r="D7" s="75"/>
      <c r="E7" s="75"/>
      <c r="F7" s="75"/>
      <c r="G7" s="75"/>
      <c r="H7" s="75"/>
      <c r="I7" s="75"/>
      <c r="J7" s="75"/>
      <c r="K7" s="75"/>
      <c r="L7" s="225"/>
      <c r="M7" s="226"/>
      <c r="N7" s="226"/>
      <c r="O7" s="226"/>
      <c r="P7" s="226"/>
      <c r="Q7" s="226"/>
      <c r="R7" s="228"/>
      <c r="S7" s="229"/>
      <c r="T7" s="227"/>
      <c r="U7" s="226"/>
      <c r="V7" s="31"/>
      <c r="W7" s="248" t="s">
        <v>251</v>
      </c>
      <c r="X7" s="250">
        <f t="shared" si="0"/>
        <v>-8.7034657242681016E-2</v>
      </c>
      <c r="Y7" s="250">
        <f t="shared" si="1"/>
        <v>7.5403485252439728E-2</v>
      </c>
      <c r="Z7" s="251">
        <v>138704</v>
      </c>
      <c r="AA7" s="252">
        <v>134652</v>
      </c>
      <c r="AB7" s="259">
        <f t="shared" si="2"/>
        <v>-5.2319392298072739E-2</v>
      </c>
      <c r="AC7" s="250">
        <f t="shared" si="3"/>
        <v>4.2287282231262394E-2</v>
      </c>
      <c r="AD7" s="251">
        <f>HLOOKUP(Lent02v!$X$2,Populiacija!$B$1:$BB$20,4,FALSE)</f>
        <v>72002</v>
      </c>
      <c r="AE7" s="252">
        <f>HLOOKUP(Lent02m!$X$2,Populiacija!$B$1:$BB$40,25,FALSE)</f>
        <v>68149</v>
      </c>
    </row>
    <row r="8" spans="1:31">
      <c r="A8" s="31"/>
      <c r="B8" s="75"/>
      <c r="C8" s="75"/>
      <c r="D8" s="75"/>
      <c r="E8" s="75"/>
      <c r="F8" s="75"/>
      <c r="G8" s="75"/>
      <c r="H8" s="75"/>
      <c r="I8" s="75"/>
      <c r="J8" s="75"/>
      <c r="K8" s="75"/>
      <c r="L8" s="225"/>
      <c r="M8" s="226"/>
      <c r="N8" s="226"/>
      <c r="O8" s="226"/>
      <c r="P8" s="226"/>
      <c r="Q8" s="226"/>
      <c r="R8" s="230"/>
      <c r="S8" s="230"/>
      <c r="T8" s="227"/>
      <c r="U8" s="226"/>
      <c r="V8" s="31"/>
      <c r="W8" s="248" t="s">
        <v>252</v>
      </c>
      <c r="X8" s="250">
        <f t="shared" si="0"/>
        <v>-9.7385019677924581E-2</v>
      </c>
      <c r="Y8" s="250">
        <f t="shared" si="1"/>
        <v>8.0916005740995542E-2</v>
      </c>
      <c r="Z8" s="251">
        <v>155199</v>
      </c>
      <c r="AA8" s="252">
        <v>144496</v>
      </c>
      <c r="AB8" s="259">
        <f t="shared" si="2"/>
        <v>-6.487787757747597E-2</v>
      </c>
      <c r="AC8" s="250">
        <f t="shared" si="3"/>
        <v>5.2440722474701718E-2</v>
      </c>
      <c r="AD8" s="251">
        <f>HLOOKUP(Lent02v!$X$2,Populiacija!$B$1:$BB$20,5,FALSE)</f>
        <v>89285</v>
      </c>
      <c r="AE8" s="252">
        <f>HLOOKUP(Lent02m!$X$2,Populiacija!$B$1:$BB$40,26,FALSE)</f>
        <v>84512</v>
      </c>
    </row>
    <row r="9" spans="1:31">
      <c r="A9" s="31"/>
      <c r="B9" s="75"/>
      <c r="C9" s="75"/>
      <c r="D9" s="75"/>
      <c r="E9" s="75"/>
      <c r="F9" s="75"/>
      <c r="G9" s="75"/>
      <c r="H9" s="75"/>
      <c r="I9" s="75"/>
      <c r="J9" s="75"/>
      <c r="K9" s="75"/>
      <c r="L9" s="225"/>
      <c r="M9" s="226"/>
      <c r="N9" s="226"/>
      <c r="O9" s="226"/>
      <c r="P9" s="226"/>
      <c r="Q9" s="226"/>
      <c r="R9" s="230"/>
      <c r="S9" s="230"/>
      <c r="T9" s="227"/>
      <c r="U9" s="226"/>
      <c r="V9" s="31"/>
      <c r="W9" s="248" t="s">
        <v>253</v>
      </c>
      <c r="X9" s="250">
        <f t="shared" si="0"/>
        <v>-8.4350904582145295E-2</v>
      </c>
      <c r="Y9" s="250">
        <f t="shared" si="1"/>
        <v>7.2295552632418936E-2</v>
      </c>
      <c r="Z9" s="251">
        <v>134427</v>
      </c>
      <c r="AA9" s="252">
        <v>129102</v>
      </c>
      <c r="AB9" s="259">
        <f t="shared" si="2"/>
        <v>-7.8636042264175074E-2</v>
      </c>
      <c r="AC9" s="250">
        <f t="shared" si="3"/>
        <v>6.3226464594817983E-2</v>
      </c>
      <c r="AD9" s="251">
        <f>HLOOKUP(Lent02v!$X$2,Populiacija!$B$1:$BB$20,6,FALSE)</f>
        <v>108219</v>
      </c>
      <c r="AE9" s="252">
        <f>HLOOKUP(Lent02m!$X$2,Populiacija!$B$1:$BB$40,27,FALSE)</f>
        <v>101894</v>
      </c>
    </row>
    <row r="10" spans="1:31">
      <c r="A10" s="3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225"/>
      <c r="M10" s="226"/>
      <c r="N10" s="226"/>
      <c r="O10" s="226"/>
      <c r="P10" s="226"/>
      <c r="Q10" s="226"/>
      <c r="R10" s="230"/>
      <c r="S10" s="230"/>
      <c r="T10" s="227"/>
      <c r="U10" s="226"/>
      <c r="V10" s="31"/>
      <c r="W10" s="248" t="s">
        <v>254</v>
      </c>
      <c r="X10" s="250">
        <f t="shared" si="0"/>
        <v>-7.6778417533432397E-2</v>
      </c>
      <c r="Y10" s="250">
        <f t="shared" si="1"/>
        <v>6.8426596511387633E-2</v>
      </c>
      <c r="Z10" s="251">
        <v>122359</v>
      </c>
      <c r="AA10" s="252">
        <v>122193</v>
      </c>
      <c r="AB10" s="259">
        <f t="shared" si="2"/>
        <v>-7.2604946515806915E-2</v>
      </c>
      <c r="AC10" s="250">
        <f t="shared" si="3"/>
        <v>5.893127952086534E-2</v>
      </c>
      <c r="AD10" s="251">
        <f>HLOOKUP(Lent02v!$X$2,Populiacija!$B$1:$BB$20,7,FALSE)</f>
        <v>99919</v>
      </c>
      <c r="AE10" s="252">
        <f>HLOOKUP(Lent02m!$X$2,Populiacija!$B$1:$BB$40,28,FALSE)</f>
        <v>94972</v>
      </c>
    </row>
    <row r="11" spans="1:31">
      <c r="A11" s="31"/>
      <c r="B11" s="75"/>
      <c r="C11" s="75"/>
      <c r="D11" s="75"/>
      <c r="E11" s="75"/>
      <c r="F11" s="75"/>
      <c r="G11" s="75"/>
      <c r="H11" s="75"/>
      <c r="I11" s="75"/>
      <c r="J11" s="75"/>
      <c r="K11" s="75"/>
      <c r="L11" s="225"/>
      <c r="M11" s="226"/>
      <c r="N11" s="226"/>
      <c r="O11" s="226"/>
      <c r="P11" s="226"/>
      <c r="Q11" s="226"/>
      <c r="R11" s="230"/>
      <c r="S11" s="230"/>
      <c r="T11" s="227"/>
      <c r="U11" s="226"/>
      <c r="V11" s="31"/>
      <c r="W11" s="248" t="s">
        <v>255</v>
      </c>
      <c r="X11" s="250">
        <f t="shared" si="0"/>
        <v>-6.6259889161077862E-2</v>
      </c>
      <c r="Y11" s="250">
        <f t="shared" si="1"/>
        <v>6.1934097268771214E-2</v>
      </c>
      <c r="Z11" s="251">
        <v>105596</v>
      </c>
      <c r="AA11" s="252">
        <v>110599</v>
      </c>
      <c r="AB11" s="259">
        <f t="shared" si="2"/>
        <v>-6.4947634829505288E-2</v>
      </c>
      <c r="AC11" s="250">
        <f t="shared" si="3"/>
        <v>5.4115484756498626E-2</v>
      </c>
      <c r="AD11" s="251">
        <f>HLOOKUP(Lent02v!$X$2,Populiacija!$B$1:$BB$20,8,FALSE)</f>
        <v>89381</v>
      </c>
      <c r="AE11" s="252">
        <f>HLOOKUP(Lent02m!$X$2,Populiacija!$B$1:$BB$40,29,FALSE)</f>
        <v>87211</v>
      </c>
    </row>
    <row r="12" spans="1:31">
      <c r="A12" s="31"/>
      <c r="B12" s="75"/>
      <c r="C12" s="75"/>
      <c r="D12" s="75"/>
      <c r="E12" s="75"/>
      <c r="F12" s="75"/>
      <c r="G12" s="75"/>
      <c r="H12" s="75"/>
      <c r="I12" s="75"/>
      <c r="J12" s="75"/>
      <c r="K12" s="75"/>
      <c r="L12" s="225"/>
      <c r="M12" s="226"/>
      <c r="N12" s="226"/>
      <c r="O12" s="226"/>
      <c r="P12" s="226"/>
      <c r="Q12" s="226"/>
      <c r="R12" s="230"/>
      <c r="S12" s="230"/>
      <c r="T12" s="227"/>
      <c r="U12" s="226"/>
      <c r="V12" s="31"/>
      <c r="W12" s="248" t="s">
        <v>256</v>
      </c>
      <c r="X12" s="250">
        <f t="shared" si="0"/>
        <v>-7.2633880165455203E-2</v>
      </c>
      <c r="Y12" s="250">
        <f t="shared" si="1"/>
        <v>6.8853867248158063E-2</v>
      </c>
      <c r="Z12" s="251">
        <v>115754</v>
      </c>
      <c r="AA12" s="252">
        <v>122956</v>
      </c>
      <c r="AB12" s="259">
        <f t="shared" si="2"/>
        <v>-6.481829325803426E-2</v>
      </c>
      <c r="AC12" s="250">
        <f t="shared" si="3"/>
        <v>5.7304917186449006E-2</v>
      </c>
      <c r="AD12" s="251">
        <f>HLOOKUP(Lent02v!$X$2,Populiacija!$B$1:$BB$20,9,FALSE)</f>
        <v>89203</v>
      </c>
      <c r="AE12" s="252">
        <f>HLOOKUP(Lent02m!$X$2,Populiacija!$B$1:$BB$40,30,FALSE)</f>
        <v>92351</v>
      </c>
    </row>
    <row r="13" spans="1:31">
      <c r="A13" s="31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225"/>
      <c r="M13" s="226"/>
      <c r="N13" s="226"/>
      <c r="O13" s="226"/>
      <c r="P13" s="226"/>
      <c r="Q13" s="226"/>
      <c r="R13" s="230"/>
      <c r="S13" s="230"/>
      <c r="T13" s="227"/>
      <c r="U13" s="226"/>
      <c r="V13" s="31"/>
      <c r="W13" s="248" t="s">
        <v>257</v>
      </c>
      <c r="X13" s="250">
        <f t="shared" si="0"/>
        <v>-6.9465709208465523E-2</v>
      </c>
      <c r="Y13" s="250">
        <f t="shared" si="1"/>
        <v>6.9882004958132501E-2</v>
      </c>
      <c r="Z13" s="251">
        <v>110705</v>
      </c>
      <c r="AA13" s="252">
        <v>124792</v>
      </c>
      <c r="AB13" s="259">
        <f t="shared" si="2"/>
        <v>-7.1577480324458417E-2</v>
      </c>
      <c r="AC13" s="250">
        <f t="shared" si="3"/>
        <v>6.5514913388914672E-2</v>
      </c>
      <c r="AD13" s="251">
        <f>HLOOKUP(Lent02v!$X$2,Populiacija!$B$1:$BB$20,10,FALSE)</f>
        <v>98505</v>
      </c>
      <c r="AE13" s="252">
        <f>HLOOKUP(Lent02m!$X$2,Populiacija!$B$1:$BB$40,31,FALSE)</f>
        <v>105582</v>
      </c>
    </row>
    <row r="14" spans="1:31">
      <c r="A14" s="31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225"/>
      <c r="M14" s="226"/>
      <c r="N14" s="226"/>
      <c r="O14" s="226"/>
      <c r="P14" s="226"/>
      <c r="Q14" s="226"/>
      <c r="R14" s="230"/>
      <c r="S14" s="230"/>
      <c r="T14" s="227"/>
      <c r="U14" s="226"/>
      <c r="V14" s="31"/>
      <c r="W14" s="248" t="s">
        <v>258</v>
      </c>
      <c r="X14" s="250">
        <f t="shared" si="0"/>
        <v>-6.7709379141399947E-2</v>
      </c>
      <c r="Y14" s="250">
        <f t="shared" si="1"/>
        <v>6.9309137377901647E-2</v>
      </c>
      <c r="Z14" s="251">
        <v>107906</v>
      </c>
      <c r="AA14" s="252">
        <v>123769</v>
      </c>
      <c r="AB14" s="259">
        <f t="shared" si="2"/>
        <v>-7.3029303132318604E-2</v>
      </c>
      <c r="AC14" s="250">
        <f t="shared" si="3"/>
        <v>6.8410843573852118E-2</v>
      </c>
      <c r="AD14" s="251">
        <f>HLOOKUP(Lent02v!$X$2,Populiacija!$B$1:$BB$20,11,FALSE)</f>
        <v>100503</v>
      </c>
      <c r="AE14" s="252">
        <f>HLOOKUP(Lent02m!$X$2,Populiacija!$B$1:$BB$40,32,FALSE)</f>
        <v>110249</v>
      </c>
    </row>
    <row r="15" spans="1:31">
      <c r="A15" s="31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225"/>
      <c r="M15" s="226"/>
      <c r="N15" s="226"/>
      <c r="O15" s="226"/>
      <c r="P15" s="226"/>
      <c r="Q15" s="226"/>
      <c r="R15" s="230"/>
      <c r="S15" s="230"/>
      <c r="T15" s="227"/>
      <c r="U15" s="226"/>
      <c r="V15" s="31"/>
      <c r="W15" s="248" t="s">
        <v>259</v>
      </c>
      <c r="X15" s="250">
        <f t="shared" si="0"/>
        <v>-5.2772102526002972E-2</v>
      </c>
      <c r="Y15" s="250">
        <f t="shared" si="1"/>
        <v>6.5330423636415558E-2</v>
      </c>
      <c r="Z15" s="251">
        <v>84101</v>
      </c>
      <c r="AA15" s="252">
        <v>116664</v>
      </c>
      <c r="AB15" s="259">
        <f t="shared" si="2"/>
        <v>-7.8874379541941916E-2</v>
      </c>
      <c r="AC15" s="250">
        <f t="shared" si="3"/>
        <v>7.6517214247951687E-2</v>
      </c>
      <c r="AD15" s="251">
        <f>HLOOKUP(Lent02v!$X$2,Populiacija!$B$1:$BB$20,12,FALSE)</f>
        <v>108547</v>
      </c>
      <c r="AE15" s="252">
        <f>HLOOKUP(Lent02m!$X$2,Populiacija!$B$1:$BB$40,33,FALSE)</f>
        <v>123313</v>
      </c>
    </row>
    <row r="16" spans="1:31">
      <c r="A16" s="31"/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225"/>
      <c r="M16" s="226"/>
      <c r="N16" s="226"/>
      <c r="O16" s="226"/>
      <c r="P16" s="226"/>
      <c r="Q16" s="226"/>
      <c r="R16" s="230"/>
      <c r="S16" s="230"/>
      <c r="T16" s="227"/>
      <c r="U16" s="226"/>
      <c r="V16" s="31"/>
      <c r="W16" s="248" t="s">
        <v>260</v>
      </c>
      <c r="X16" s="250">
        <f t="shared" si="0"/>
        <v>-3.8180570057427414E-2</v>
      </c>
      <c r="Y16" s="250">
        <f t="shared" si="1"/>
        <v>5.0318269099925914E-2</v>
      </c>
      <c r="Z16" s="251">
        <v>60847</v>
      </c>
      <c r="AA16" s="252">
        <v>89856</v>
      </c>
      <c r="AB16" s="259">
        <f t="shared" si="2"/>
        <v>-6.7357893214726627E-2</v>
      </c>
      <c r="AC16" s="250">
        <f t="shared" si="3"/>
        <v>6.9964605987197587E-2</v>
      </c>
      <c r="AD16" s="251">
        <f>HLOOKUP(Lent02v!$X$2,Populiacija!$B$1:$BB$20,13,FALSE)</f>
        <v>92698</v>
      </c>
      <c r="AE16" s="252">
        <f>HLOOKUP(Lent02m!$X$2,Populiacija!$B$1:$BB$40,34,FALSE)</f>
        <v>112753</v>
      </c>
    </row>
    <row r="17" spans="1:31">
      <c r="A17" s="31"/>
      <c r="B17" s="75"/>
      <c r="C17" s="75"/>
      <c r="D17" s="75"/>
      <c r="E17" s="75"/>
      <c r="F17" s="75"/>
      <c r="G17" s="75"/>
      <c r="H17" s="75"/>
      <c r="I17" s="75"/>
      <c r="J17" s="75"/>
      <c r="K17" s="75"/>
      <c r="L17" s="225"/>
      <c r="M17" s="226"/>
      <c r="N17" s="226"/>
      <c r="O17" s="226"/>
      <c r="P17" s="226"/>
      <c r="Q17" s="226"/>
      <c r="R17" s="230"/>
      <c r="S17" s="230"/>
      <c r="T17" s="227"/>
      <c r="U17" s="226"/>
      <c r="V17" s="31"/>
      <c r="W17" s="248" t="s">
        <v>261</v>
      </c>
      <c r="X17" s="250">
        <f t="shared" si="0"/>
        <v>-2.6195609614071726E-2</v>
      </c>
      <c r="Y17" s="250">
        <f t="shared" si="1"/>
        <v>3.6549287611444582E-2</v>
      </c>
      <c r="Z17" s="251">
        <v>41747</v>
      </c>
      <c r="AA17" s="252">
        <v>65268</v>
      </c>
      <c r="AB17" s="259">
        <f t="shared" si="2"/>
        <v>-5.268634450926863E-2</v>
      </c>
      <c r="AC17" s="250">
        <f t="shared" si="3"/>
        <v>6.0848041539565093E-2</v>
      </c>
      <c r="AD17" s="251">
        <f>HLOOKUP(Lent02v!$X$2,Populiacija!$B$1:$BB$20,14,FALSE)</f>
        <v>72507</v>
      </c>
      <c r="AE17" s="252">
        <f>HLOOKUP(Lent02m!$X$2,Populiacija!$B$1:$BB$40,35,FALSE)</f>
        <v>98061</v>
      </c>
    </row>
    <row r="18" spans="1:31">
      <c r="A18" s="31"/>
      <c r="B18" s="75"/>
      <c r="C18" s="75"/>
      <c r="D18" s="75"/>
      <c r="E18" s="75"/>
      <c r="F18" s="75"/>
      <c r="G18" s="75"/>
      <c r="H18" s="75"/>
      <c r="I18" s="75"/>
      <c r="J18" s="75"/>
      <c r="K18" s="75"/>
      <c r="L18" s="225"/>
      <c r="M18" s="226"/>
      <c r="N18" s="226"/>
      <c r="O18" s="226"/>
      <c r="P18" s="226"/>
      <c r="Q18" s="226"/>
      <c r="R18" s="230"/>
      <c r="S18" s="230"/>
      <c r="T18" s="227"/>
      <c r="U18" s="226"/>
      <c r="V18" s="31"/>
      <c r="W18" s="248" t="s">
        <v>262</v>
      </c>
      <c r="X18" s="250">
        <f t="shared" si="0"/>
        <v>-2.9547633629171521E-2</v>
      </c>
      <c r="Y18" s="250">
        <f t="shared" si="1"/>
        <v>4.3674573135254427E-2</v>
      </c>
      <c r="Z18" s="251">
        <v>47089</v>
      </c>
      <c r="AA18" s="252">
        <v>77992</v>
      </c>
      <c r="AB18" s="259">
        <f t="shared" si="2"/>
        <v>-4.0096613794060605E-2</v>
      </c>
      <c r="AC18" s="250">
        <f t="shared" si="3"/>
        <v>5.2905486071984371E-2</v>
      </c>
      <c r="AD18" s="251">
        <f>HLOOKUP(Lent02v!$X$2,Populiacija!$B$1:$BB$20,15,FALSE)</f>
        <v>55181</v>
      </c>
      <c r="AE18" s="252">
        <f>HLOOKUP(Lent02m!$X$2,Populiacija!$B$1:$BB$40,36,FALSE)</f>
        <v>85261</v>
      </c>
    </row>
    <row r="19" spans="1:31">
      <c r="A19" s="31"/>
      <c r="B19" s="75"/>
      <c r="C19" s="75"/>
      <c r="D19" s="75"/>
      <c r="E19" s="75"/>
      <c r="F19" s="75"/>
      <c r="G19" s="75"/>
      <c r="H19" s="75"/>
      <c r="I19" s="75"/>
      <c r="J19" s="75"/>
      <c r="K19" s="75"/>
      <c r="L19" s="225"/>
      <c r="M19" s="226"/>
      <c r="N19" s="226"/>
      <c r="O19" s="226"/>
      <c r="P19" s="226"/>
      <c r="Q19" s="226"/>
      <c r="R19" s="230"/>
      <c r="S19" s="230"/>
      <c r="T19" s="227"/>
      <c r="U19" s="226"/>
      <c r="V19" s="31"/>
      <c r="W19" s="248" t="s">
        <v>263</v>
      </c>
      <c r="X19" s="250">
        <f t="shared" si="0"/>
        <v>-3.1029125336331873E-2</v>
      </c>
      <c r="Y19" s="250">
        <f t="shared" si="1"/>
        <v>3.7367429874120332E-2</v>
      </c>
      <c r="Z19" s="251">
        <v>49450</v>
      </c>
      <c r="AA19" s="252">
        <v>66729</v>
      </c>
      <c r="AB19" s="259">
        <f t="shared" si="2"/>
        <v>-3.5773844082368784E-2</v>
      </c>
      <c r="AC19" s="250">
        <f t="shared" si="3"/>
        <v>5.4017443837445674E-2</v>
      </c>
      <c r="AD19" s="251">
        <f>HLOOKUP(Lent02v!$X$2,Populiacija!$B$1:$BB$20,16,FALSE)</f>
        <v>49232</v>
      </c>
      <c r="AE19" s="252">
        <f>HLOOKUP(Lent02m!$X$2,Populiacija!$B$1:$BB$40,37,FALSE)</f>
        <v>87053</v>
      </c>
    </row>
    <row r="20" spans="1:31">
      <c r="A20" s="31"/>
      <c r="B20" s="75"/>
      <c r="C20" s="75"/>
      <c r="D20" s="75"/>
      <c r="E20" s="75"/>
      <c r="F20" s="75"/>
      <c r="G20" s="75"/>
      <c r="H20" s="75"/>
      <c r="I20" s="75"/>
      <c r="J20" s="75"/>
      <c r="K20" s="75"/>
      <c r="L20" s="225"/>
      <c r="M20" s="226"/>
      <c r="N20" s="226"/>
      <c r="O20" s="226"/>
      <c r="P20" s="226"/>
      <c r="Q20" s="226"/>
      <c r="R20" s="230"/>
      <c r="S20" s="230"/>
      <c r="T20" s="227"/>
      <c r="U20" s="226"/>
      <c r="V20" s="31"/>
      <c r="W20" s="248" t="s">
        <v>264</v>
      </c>
      <c r="X20" s="250">
        <f t="shared" si="0"/>
        <v>-1.6705528894421912E-2</v>
      </c>
      <c r="Y20" s="250">
        <f t="shared" si="1"/>
        <v>2.7591721811471126E-2</v>
      </c>
      <c r="Z20" s="251">
        <v>26623</v>
      </c>
      <c r="AA20" s="252">
        <v>49272</v>
      </c>
      <c r="AB20" s="259">
        <f t="shared" si="2"/>
        <v>-2.8660057651462251E-2</v>
      </c>
      <c r="AC20" s="250">
        <f t="shared" si="3"/>
        <v>5.0288165840558161E-2</v>
      </c>
      <c r="AD20" s="251">
        <f>HLOOKUP(Lent02v!$X$2,Populiacija!$B$1:$BB$20,17,FALSE)</f>
        <v>39442</v>
      </c>
      <c r="AE20" s="252">
        <f>HLOOKUP(Lent02m!$X$2,Populiacija!$B$1:$BB$40,38,FALSE)</f>
        <v>81043</v>
      </c>
    </row>
    <row r="21" spans="1:31">
      <c r="A21" s="31"/>
      <c r="B21" s="75"/>
      <c r="C21" s="75"/>
      <c r="D21" s="75"/>
      <c r="E21" s="75"/>
      <c r="F21" s="75"/>
      <c r="G21" s="75"/>
      <c r="H21" s="75"/>
      <c r="I21" s="75"/>
      <c r="J21" s="75"/>
      <c r="K21" s="75"/>
      <c r="L21" s="225"/>
      <c r="M21" s="226"/>
      <c r="N21" s="226"/>
      <c r="O21" s="226"/>
      <c r="P21" s="226"/>
      <c r="Q21" s="226"/>
      <c r="R21" s="230"/>
      <c r="S21" s="230"/>
      <c r="T21" s="227"/>
      <c r="U21" s="226"/>
      <c r="V21" s="31"/>
      <c r="W21" s="248" t="s">
        <v>265</v>
      </c>
      <c r="X21" s="250">
        <f t="shared" si="0"/>
        <v>-8.6065820649773098E-3</v>
      </c>
      <c r="Y21" s="250">
        <f t="shared" si="1"/>
        <v>1.4568084163935326E-2</v>
      </c>
      <c r="Z21" s="251">
        <v>13716</v>
      </c>
      <c r="AA21" s="252">
        <v>26015</v>
      </c>
      <c r="AB21" s="259">
        <f t="shared" si="2"/>
        <v>-1.814342527000053E-2</v>
      </c>
      <c r="AC21" s="250">
        <f t="shared" si="3"/>
        <v>3.7693630815129574E-2</v>
      </c>
      <c r="AD21" s="251">
        <f>HLOOKUP(Lent02v!$X$2,Populiacija!$B$1:$BB$20,18,FALSE)</f>
        <v>24969</v>
      </c>
      <c r="AE21" s="252">
        <f>HLOOKUP(Lent02m!$X$2,Populiacija!$B$1:$BB$40,39,FALSE)</f>
        <v>60746</v>
      </c>
    </row>
    <row r="22" spans="1:31">
      <c r="A22" s="31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225"/>
      <c r="M22" s="226"/>
      <c r="N22" s="226"/>
      <c r="O22" s="226"/>
      <c r="P22" s="226"/>
      <c r="Q22" s="226"/>
      <c r="R22" s="230"/>
      <c r="S22" s="230"/>
      <c r="T22" s="227"/>
      <c r="U22" s="226"/>
      <c r="V22" s="31"/>
      <c r="W22" s="248" t="s">
        <v>23</v>
      </c>
      <c r="X22" s="250">
        <f t="shared" si="0"/>
        <v>-5.3135416248343437E-3</v>
      </c>
      <c r="Y22" s="250">
        <f t="shared" si="1"/>
        <v>1.033065603137724E-2</v>
      </c>
      <c r="Z22" s="251">
        <v>8468</v>
      </c>
      <c r="AA22" s="252">
        <v>18448</v>
      </c>
      <c r="AB22" s="259">
        <f t="shared" si="2"/>
        <v>-1.04287091783831E-2</v>
      </c>
      <c r="AC22" s="250">
        <f t="shared" si="3"/>
        <v>2.956616272806924E-2</v>
      </c>
      <c r="AD22" s="251">
        <f>HLOOKUP(Lent02v!$X$2,Populiacija!$B$1:$BB$20,19,FALSE)</f>
        <v>14352</v>
      </c>
      <c r="AE22" s="252">
        <f>HLOOKUP(Lent02m!$X$2,Populiacija!$B$1:$BB$40,40,FALSE)</f>
        <v>47648</v>
      </c>
    </row>
    <row r="23" spans="1:31">
      <c r="A23" s="31"/>
      <c r="B23" s="75"/>
      <c r="C23" s="75"/>
      <c r="D23" s="75"/>
      <c r="E23" s="75"/>
      <c r="F23" s="75"/>
      <c r="G23" s="75"/>
      <c r="H23" s="75"/>
      <c r="I23" s="75"/>
      <c r="J23" s="75"/>
      <c r="K23" s="75"/>
      <c r="L23" s="225"/>
      <c r="M23" s="226"/>
      <c r="N23" s="226"/>
      <c r="O23" s="226"/>
      <c r="P23" s="226"/>
      <c r="Q23" s="226"/>
      <c r="R23" s="230"/>
      <c r="S23" s="230"/>
      <c r="T23" s="227"/>
      <c r="U23" s="226"/>
      <c r="V23" s="31"/>
      <c r="W23" s="253" t="s">
        <v>248</v>
      </c>
      <c r="X23" s="254"/>
      <c r="Y23" s="254"/>
      <c r="Z23" s="255">
        <v>-1593664</v>
      </c>
      <c r="AA23" s="256">
        <v>1785753</v>
      </c>
      <c r="AB23" s="253"/>
      <c r="AC23" s="254"/>
      <c r="AD23" s="255">
        <f>-Populiacija!AJ20</f>
        <v>-1376201</v>
      </c>
      <c r="AE23" s="256">
        <f>Populiacija!AJ41</f>
        <v>1611572</v>
      </c>
    </row>
    <row r="24" spans="1:31" ht="13.5" thickBot="1">
      <c r="A24" s="31"/>
      <c r="B24" s="75"/>
      <c r="C24" s="75"/>
      <c r="D24" s="75"/>
      <c r="E24" s="75"/>
      <c r="F24" s="75"/>
      <c r="G24" s="75"/>
      <c r="H24" s="75"/>
      <c r="I24" s="75"/>
      <c r="J24" s="75"/>
      <c r="K24" s="75"/>
      <c r="L24" s="231"/>
      <c r="M24" s="232"/>
      <c r="N24" s="232"/>
      <c r="O24" s="232"/>
      <c r="P24" s="232"/>
      <c r="Q24" s="232"/>
      <c r="R24" s="233"/>
      <c r="S24" s="233"/>
      <c r="T24" s="234"/>
      <c r="U24" s="226"/>
      <c r="V24" s="31"/>
      <c r="W24" s="31"/>
      <c r="X24" s="31"/>
      <c r="Y24" s="31"/>
      <c r="Z24" s="31"/>
      <c r="AA24" s="31"/>
      <c r="AB24" s="31"/>
      <c r="AC24" s="31"/>
      <c r="AD24" s="31"/>
      <c r="AE24" s="31"/>
    </row>
    <row r="25" spans="1:31">
      <c r="A25" s="31"/>
      <c r="B25" s="75"/>
      <c r="C25" s="75"/>
      <c r="D25" s="75"/>
      <c r="E25" s="75"/>
      <c r="F25" s="75"/>
      <c r="G25" s="75"/>
      <c r="H25" s="75"/>
      <c r="I25" s="75"/>
      <c r="J25" s="75"/>
      <c r="K25" s="75"/>
      <c r="L25" s="226"/>
      <c r="M25" s="226"/>
      <c r="N25" s="226"/>
      <c r="O25" s="226"/>
      <c r="P25" s="226"/>
      <c r="Q25" s="226"/>
      <c r="R25" s="230"/>
      <c r="S25" s="230"/>
      <c r="T25" s="226"/>
      <c r="U25" s="226"/>
      <c r="V25" s="31"/>
      <c r="W25" s="31"/>
      <c r="X25" s="31"/>
      <c r="Y25" s="31"/>
      <c r="Z25" s="31"/>
      <c r="AA25" s="31"/>
      <c r="AB25" s="31"/>
      <c r="AC25" s="31"/>
      <c r="AD25" s="31"/>
      <c r="AE25" s="31"/>
    </row>
    <row r="26" spans="1:31">
      <c r="A26" s="31"/>
      <c r="B26" s="75"/>
      <c r="C26" s="75"/>
      <c r="D26" s="75"/>
      <c r="E26" s="75"/>
      <c r="F26" s="75"/>
      <c r="G26" s="75"/>
      <c r="H26" s="75"/>
      <c r="I26" s="75"/>
      <c r="J26" s="75"/>
      <c r="K26" s="75"/>
      <c r="L26" s="226"/>
      <c r="M26" s="226"/>
      <c r="N26" s="226"/>
      <c r="O26" s="226"/>
      <c r="P26" s="226"/>
      <c r="Q26" s="226"/>
      <c r="R26" s="235"/>
      <c r="S26" s="235"/>
      <c r="T26" s="226"/>
      <c r="U26" s="226"/>
      <c r="V26" s="31"/>
      <c r="W26" s="31"/>
      <c r="X26" s="31"/>
      <c r="Y26" s="31"/>
      <c r="Z26" s="31"/>
      <c r="AA26" s="31"/>
      <c r="AB26" s="31"/>
      <c r="AC26" s="31"/>
      <c r="AD26" s="31"/>
      <c r="AE26" s="31"/>
    </row>
    <row r="27" spans="1:31" ht="13.5" thickBot="1">
      <c r="A27" s="31"/>
      <c r="B27" s="75"/>
      <c r="C27" s="75"/>
      <c r="D27" s="75"/>
      <c r="E27" s="75"/>
      <c r="F27" s="75"/>
      <c r="G27" s="75"/>
      <c r="H27" s="31"/>
      <c r="I27" s="31"/>
      <c r="J27" s="31"/>
      <c r="K27" s="31"/>
      <c r="L27" s="242"/>
      <c r="M27" s="242"/>
      <c r="N27" s="242"/>
      <c r="O27" s="242"/>
      <c r="P27" s="242"/>
      <c r="Q27" s="242"/>
      <c r="R27" s="242"/>
      <c r="S27" s="242"/>
      <c r="T27" s="242"/>
      <c r="U27" s="31"/>
      <c r="V27" s="31"/>
      <c r="W27" s="31"/>
      <c r="X27" s="31"/>
      <c r="Y27" s="31"/>
      <c r="Z27" s="31"/>
      <c r="AA27" s="31"/>
      <c r="AB27" s="31"/>
      <c r="AC27" s="31"/>
      <c r="AD27" s="31"/>
      <c r="AE27" s="31"/>
    </row>
    <row r="28" spans="1:31" ht="13.5" thickBot="1">
      <c r="A28" s="31"/>
      <c r="B28" s="75"/>
      <c r="C28" s="308" t="s">
        <v>447</v>
      </c>
      <c r="D28" s="406" t="s">
        <v>431</v>
      </c>
      <c r="E28" s="408">
        <v>2012</v>
      </c>
      <c r="F28" s="409"/>
      <c r="G28" s="75"/>
      <c r="H28" s="31"/>
      <c r="I28" s="31"/>
      <c r="J28" s="31"/>
      <c r="K28" s="31"/>
      <c r="L28" s="242"/>
      <c r="M28" s="242"/>
      <c r="N28" s="31"/>
      <c r="O28" s="31"/>
      <c r="P28" s="31"/>
      <c r="Q28" s="31"/>
      <c r="R28" s="31"/>
      <c r="S28" s="242"/>
      <c r="T28" s="242"/>
      <c r="U28" s="31"/>
      <c r="V28" s="31"/>
      <c r="W28" s="31"/>
      <c r="X28" s="31"/>
      <c r="Y28" s="31"/>
      <c r="Z28" s="31"/>
      <c r="AA28" s="31"/>
      <c r="AB28" s="31"/>
      <c r="AC28" s="31"/>
      <c r="AD28" s="31"/>
      <c r="AE28" s="31"/>
    </row>
    <row r="29" spans="1:31" ht="13.5" customHeight="1" thickBot="1">
      <c r="A29" s="31"/>
      <c r="B29" s="75"/>
      <c r="C29" s="308" t="s">
        <v>448</v>
      </c>
      <c r="D29" s="407"/>
      <c r="E29" s="239" t="s">
        <v>247</v>
      </c>
      <c r="F29" s="239" t="s">
        <v>432</v>
      </c>
      <c r="G29" s="75"/>
      <c r="H29" s="31"/>
      <c r="I29" s="31"/>
      <c r="J29" s="31"/>
      <c r="K29" s="31"/>
      <c r="L29" s="242"/>
      <c r="M29" s="31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</row>
    <row r="30" spans="1:31" ht="13.5" thickBot="1">
      <c r="A30" s="31"/>
      <c r="B30" s="75"/>
      <c r="C30" s="75"/>
      <c r="D30" s="240" t="s">
        <v>429</v>
      </c>
      <c r="E30" s="241">
        <f>Populiacija!AJ20</f>
        <v>1376201</v>
      </c>
      <c r="F30" s="241">
        <f>Populiacija!AJ41</f>
        <v>1611572</v>
      </c>
      <c r="G30" s="75"/>
      <c r="H30" s="31"/>
      <c r="I30" s="31"/>
      <c r="J30" s="31"/>
      <c r="K30" s="31"/>
      <c r="L30" s="242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</row>
    <row r="31" spans="1:31" ht="13.5" thickBot="1">
      <c r="A31" s="31"/>
      <c r="B31" s="75"/>
      <c r="C31" s="75"/>
      <c r="D31" s="240" t="s">
        <v>301</v>
      </c>
      <c r="E31" s="241">
        <f>Populiacija!AJ2</f>
        <v>76990</v>
      </c>
      <c r="F31" s="241">
        <f>Populiacija!AJ23</f>
        <v>73013</v>
      </c>
      <c r="G31" s="75"/>
      <c r="H31" s="31"/>
      <c r="I31" s="31"/>
      <c r="J31" s="31"/>
      <c r="K31" s="31"/>
      <c r="L31" s="31"/>
      <c r="M31" s="31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</row>
    <row r="32" spans="1:31" ht="13.5" thickBot="1">
      <c r="A32" s="31"/>
      <c r="B32" s="75"/>
      <c r="C32" s="75"/>
      <c r="D32" s="240" t="s">
        <v>302</v>
      </c>
      <c r="E32" s="241">
        <f>Populiacija!AJ3</f>
        <v>69031</v>
      </c>
      <c r="F32" s="241">
        <f>Populiacija!AJ24</f>
        <v>65809</v>
      </c>
      <c r="G32" s="75"/>
      <c r="H32" s="31"/>
      <c r="I32" s="31"/>
      <c r="J32" s="31"/>
      <c r="K32" s="31"/>
      <c r="L32" s="31"/>
      <c r="M32" s="31"/>
      <c r="N32" s="31"/>
      <c r="O32" s="31"/>
      <c r="P32" s="31"/>
      <c r="Q32" s="31"/>
      <c r="R32" s="31"/>
      <c r="S32" s="31"/>
      <c r="T32" s="31"/>
      <c r="U32" s="31"/>
      <c r="V32" s="31"/>
      <c r="W32" s="31"/>
      <c r="X32" s="31"/>
      <c r="Y32" s="31"/>
      <c r="Z32" s="31"/>
      <c r="AA32" s="31"/>
      <c r="AB32" s="31"/>
      <c r="AC32" s="31"/>
      <c r="AD32" s="31"/>
      <c r="AE32" s="31"/>
    </row>
    <row r="33" spans="1:31" ht="13.5" thickBot="1">
      <c r="A33" s="31"/>
      <c r="B33" s="75"/>
      <c r="C33" s="75"/>
      <c r="D33" s="240" t="s">
        <v>303</v>
      </c>
      <c r="E33" s="241">
        <f>Populiacija!AJ4</f>
        <v>80024</v>
      </c>
      <c r="F33" s="241">
        <f>Populiacija!AJ25</f>
        <v>75452</v>
      </c>
      <c r="G33" s="75"/>
      <c r="H33" s="31"/>
      <c r="I33" s="31"/>
      <c r="J33" s="31"/>
      <c r="K33" s="31"/>
      <c r="L33" s="31"/>
      <c r="M33" s="31"/>
      <c r="N33" s="31"/>
      <c r="O33" s="31"/>
      <c r="P33" s="31"/>
      <c r="Q33" s="31"/>
      <c r="R33" s="31"/>
      <c r="S33" s="31"/>
      <c r="T33" s="31"/>
      <c r="U33" s="31"/>
      <c r="V33" s="31"/>
      <c r="W33" s="31"/>
      <c r="X33" s="31"/>
      <c r="Y33" s="31"/>
      <c r="Z33" s="31"/>
      <c r="AA33" s="31"/>
      <c r="AB33" s="31"/>
      <c r="AC33" s="31"/>
      <c r="AD33" s="31"/>
      <c r="AE33" s="31"/>
    </row>
    <row r="34" spans="1:31" ht="13.5" thickBot="1">
      <c r="A34" s="31"/>
      <c r="B34" s="75"/>
      <c r="C34" s="75"/>
      <c r="D34" s="240" t="s">
        <v>304</v>
      </c>
      <c r="E34" s="241">
        <f>Populiacija!AJ5</f>
        <v>99735</v>
      </c>
      <c r="F34" s="241">
        <f>Populiacija!AJ26</f>
        <v>95059</v>
      </c>
      <c r="G34" s="75"/>
      <c r="H34" s="31"/>
      <c r="I34" s="31"/>
      <c r="J34" s="31"/>
      <c r="K34" s="31"/>
      <c r="L34" s="31"/>
      <c r="M34" s="31"/>
      <c r="N34" s="31"/>
      <c r="O34" s="31"/>
      <c r="P34" s="31"/>
      <c r="Q34" s="31"/>
      <c r="R34" s="31"/>
      <c r="S34" s="31"/>
      <c r="T34" s="31"/>
      <c r="U34" s="31"/>
      <c r="V34" s="31"/>
      <c r="W34" s="31"/>
      <c r="X34" s="31"/>
      <c r="Y34" s="31"/>
      <c r="Z34" s="31"/>
      <c r="AA34" s="31"/>
      <c r="AB34" s="31"/>
      <c r="AC34" s="31"/>
      <c r="AD34" s="31"/>
      <c r="AE34" s="31"/>
    </row>
    <row r="35" spans="1:31" ht="13.5" thickBot="1">
      <c r="A35" s="31"/>
      <c r="B35" s="75"/>
      <c r="C35" s="75"/>
      <c r="D35" s="240" t="s">
        <v>305</v>
      </c>
      <c r="E35" s="241">
        <f>Populiacija!AJ6</f>
        <v>110229</v>
      </c>
      <c r="F35" s="241">
        <f>Populiacija!AJ27</f>
        <v>104570</v>
      </c>
      <c r="G35" s="75"/>
      <c r="H35" s="31"/>
      <c r="I35" s="31"/>
      <c r="J35" s="31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1"/>
      <c r="AB35" s="31"/>
      <c r="AC35" s="31"/>
      <c r="AD35" s="31"/>
      <c r="AE35" s="31"/>
    </row>
    <row r="36" spans="1:31" ht="13.5" thickBot="1">
      <c r="A36" s="31"/>
      <c r="B36" s="75"/>
      <c r="C36" s="75"/>
      <c r="D36" s="240" t="s">
        <v>306</v>
      </c>
      <c r="E36" s="241">
        <f>Populiacija!AJ7</f>
        <v>98582</v>
      </c>
      <c r="F36" s="241">
        <f>Populiacija!AJ28</f>
        <v>94921</v>
      </c>
      <c r="G36" s="75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</row>
    <row r="37" spans="1:31" ht="13.5" thickBot="1">
      <c r="A37" s="31"/>
      <c r="B37" s="75"/>
      <c r="C37" s="75"/>
      <c r="D37" s="240" t="s">
        <v>307</v>
      </c>
      <c r="E37" s="241">
        <f>Populiacija!AJ8</f>
        <v>89229</v>
      </c>
      <c r="F37" s="241">
        <f>Populiacija!AJ29</f>
        <v>88878</v>
      </c>
      <c r="G37" s="75"/>
      <c r="H37" s="31"/>
      <c r="I37" s="31"/>
      <c r="J37" s="31"/>
      <c r="K37" s="31"/>
      <c r="L37" s="31"/>
      <c r="M37" s="31"/>
      <c r="N37" s="31"/>
      <c r="O37" s="31"/>
      <c r="P37" s="31"/>
      <c r="Q37" s="31"/>
      <c r="R37" s="31"/>
      <c r="S37" s="31"/>
      <c r="T37" s="31"/>
      <c r="U37" s="31"/>
      <c r="V37" s="31"/>
      <c r="W37" s="31"/>
      <c r="X37" s="31"/>
      <c r="Y37" s="31"/>
      <c r="Z37" s="31"/>
      <c r="AA37" s="31"/>
      <c r="AB37" s="31"/>
      <c r="AC37" s="31"/>
      <c r="AD37" s="31"/>
      <c r="AE37" s="31"/>
    </row>
    <row r="38" spans="1:31" ht="13.5" thickBot="1">
      <c r="A38" s="31"/>
      <c r="B38" s="75"/>
      <c r="C38" s="75"/>
      <c r="D38" s="240" t="s">
        <v>308</v>
      </c>
      <c r="E38" s="241">
        <f>Populiacija!AJ9</f>
        <v>93818</v>
      </c>
      <c r="F38" s="241">
        <f>Populiacija!AJ30</f>
        <v>98840</v>
      </c>
      <c r="G38" s="75"/>
      <c r="H38" s="31"/>
      <c r="I38" s="31"/>
      <c r="J38" s="31"/>
      <c r="K38" s="31"/>
      <c r="L38" s="31"/>
      <c r="M38" s="31"/>
      <c r="N38" s="31"/>
      <c r="O38" s="31"/>
      <c r="P38" s="31"/>
      <c r="Q38" s="31"/>
      <c r="R38" s="31"/>
      <c r="S38" s="31"/>
      <c r="T38" s="31"/>
      <c r="U38" s="31"/>
      <c r="V38" s="31"/>
      <c r="W38" s="31"/>
      <c r="X38" s="31"/>
      <c r="Y38" s="31"/>
      <c r="Z38" s="31"/>
      <c r="AA38" s="31"/>
      <c r="AB38" s="31"/>
      <c r="AC38" s="31"/>
      <c r="AD38" s="31"/>
      <c r="AE38" s="31"/>
    </row>
    <row r="39" spans="1:31" ht="13.5" thickBot="1">
      <c r="A39" s="31"/>
      <c r="B39" s="75"/>
      <c r="C39" s="75"/>
      <c r="D39" s="240" t="s">
        <v>309</v>
      </c>
      <c r="E39" s="241">
        <f>Populiacija!AJ10</f>
        <v>103082</v>
      </c>
      <c r="F39" s="241">
        <f>Populiacija!AJ31</f>
        <v>110970</v>
      </c>
      <c r="G39" s="75"/>
      <c r="H39" s="31"/>
      <c r="I39" s="31"/>
      <c r="J39" s="31"/>
      <c r="K39" s="31"/>
      <c r="L39" s="31"/>
      <c r="M39" s="31"/>
      <c r="N39" s="31"/>
      <c r="O39" s="31"/>
      <c r="P39" s="31"/>
      <c r="Q39" s="31"/>
      <c r="R39" s="31"/>
      <c r="S39" s="31"/>
      <c r="T39" s="31"/>
      <c r="U39" s="31"/>
      <c r="V39" s="31"/>
      <c r="W39" s="31"/>
      <c r="X39" s="31"/>
      <c r="Y39" s="31"/>
      <c r="Z39" s="31"/>
      <c r="AA39" s="31"/>
      <c r="AB39" s="31"/>
      <c r="AC39" s="31"/>
      <c r="AD39" s="31"/>
      <c r="AE39" s="31"/>
    </row>
    <row r="40" spans="1:31" ht="13.5" thickBot="1">
      <c r="A40" s="31"/>
      <c r="B40" s="75"/>
      <c r="C40" s="75"/>
      <c r="D40" s="240" t="s">
        <v>310</v>
      </c>
      <c r="E40" s="241">
        <f>Populiacija!AJ11</f>
        <v>105353</v>
      </c>
      <c r="F40" s="241">
        <f>Populiacija!AJ32</f>
        <v>114964</v>
      </c>
      <c r="G40" s="75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1"/>
      <c r="AB40" s="31"/>
      <c r="AC40" s="31"/>
      <c r="AD40" s="31"/>
      <c r="AE40" s="31"/>
    </row>
    <row r="41" spans="1:31" ht="13.5" thickBot="1">
      <c r="A41" s="31"/>
      <c r="B41" s="75"/>
      <c r="C41" s="75"/>
      <c r="D41" s="240" t="s">
        <v>311</v>
      </c>
      <c r="E41" s="241">
        <f>Populiacija!AJ12</f>
        <v>110854</v>
      </c>
      <c r="F41" s="241">
        <f>Populiacija!AJ33</f>
        <v>127045</v>
      </c>
      <c r="G41" s="75"/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V41" s="31"/>
      <c r="W41" s="31"/>
      <c r="X41" s="31"/>
      <c r="Y41" s="31"/>
      <c r="Z41" s="31"/>
      <c r="AA41" s="31"/>
      <c r="AB41" s="31"/>
      <c r="AC41" s="31"/>
      <c r="AD41" s="31"/>
      <c r="AE41" s="31"/>
    </row>
    <row r="42" spans="1:31" ht="13.5" thickBot="1">
      <c r="A42" s="31"/>
      <c r="B42" s="75"/>
      <c r="C42" s="75"/>
      <c r="D42" s="240" t="s">
        <v>312</v>
      </c>
      <c r="E42" s="241">
        <f>Populiacija!AJ13</f>
        <v>84799</v>
      </c>
      <c r="F42" s="241">
        <f>Populiacija!AJ34</f>
        <v>104067</v>
      </c>
      <c r="G42" s="75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 ht="13.5" thickBot="1">
      <c r="A43" s="31"/>
      <c r="B43" s="75"/>
      <c r="C43" s="75"/>
      <c r="D43" s="240" t="s">
        <v>433</v>
      </c>
      <c r="E43" s="241">
        <f>Populiacija!AJ14</f>
        <v>71597</v>
      </c>
      <c r="F43" s="241">
        <f>Populiacija!AJ35</f>
        <v>98097</v>
      </c>
      <c r="G43" s="75"/>
      <c r="H43" s="31"/>
      <c r="I43" s="31"/>
      <c r="J43" s="31"/>
      <c r="K43" s="31"/>
      <c r="L43" s="31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 ht="13.5" thickBot="1">
      <c r="A44" s="31"/>
      <c r="B44" s="75"/>
      <c r="C44" s="75"/>
      <c r="D44" s="240" t="s">
        <v>160</v>
      </c>
      <c r="E44" s="241">
        <f>Populiacija!AJ15</f>
        <v>54690</v>
      </c>
      <c r="F44" s="241">
        <f>Populiacija!AJ36</f>
        <v>85141</v>
      </c>
      <c r="G44" s="75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  <row r="45" spans="1:31" ht="13.5" thickBot="1">
      <c r="A45" s="31"/>
      <c r="B45" s="75"/>
      <c r="C45" s="75"/>
      <c r="D45" s="240" t="s">
        <v>314</v>
      </c>
      <c r="E45" s="241">
        <f>Populiacija!AJ16</f>
        <v>52108</v>
      </c>
      <c r="F45" s="241">
        <f>Populiacija!AJ37</f>
        <v>91236</v>
      </c>
      <c r="G45" s="75"/>
      <c r="H45" s="31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1"/>
      <c r="AB45" s="31"/>
      <c r="AC45" s="31"/>
      <c r="AD45" s="31"/>
      <c r="AE45" s="31"/>
    </row>
    <row r="46" spans="1:31" ht="13.5" thickBot="1">
      <c r="A46" s="31"/>
      <c r="B46" s="75"/>
      <c r="C46" s="75"/>
      <c r="D46" s="240" t="s">
        <v>315</v>
      </c>
      <c r="E46" s="241">
        <f>Populiacija!AJ17</f>
        <v>38873</v>
      </c>
      <c r="F46" s="241">
        <f>Populiacija!AJ38</f>
        <v>80259</v>
      </c>
      <c r="G46" s="75"/>
      <c r="H46" s="31"/>
      <c r="I46" s="31"/>
      <c r="J46" s="31"/>
      <c r="K46" s="31"/>
      <c r="L46" s="31"/>
      <c r="M46" s="31"/>
      <c r="N46" s="31"/>
      <c r="O46" s="31"/>
      <c r="P46" s="31"/>
      <c r="Q46" s="31"/>
      <c r="R46" s="31"/>
      <c r="S46" s="31"/>
      <c r="T46" s="31"/>
      <c r="U46" s="31"/>
      <c r="V46" s="31"/>
      <c r="W46" s="31"/>
      <c r="X46" s="31"/>
      <c r="Y46" s="31"/>
      <c r="Z46" s="31"/>
      <c r="AA46" s="31"/>
      <c r="AB46" s="31"/>
      <c r="AC46" s="31"/>
      <c r="AD46" s="31"/>
      <c r="AE46" s="31"/>
    </row>
    <row r="47" spans="1:31" ht="13.5" thickBot="1">
      <c r="A47" s="31"/>
      <c r="B47" s="75"/>
      <c r="C47" s="75"/>
      <c r="D47" s="240" t="s">
        <v>316</v>
      </c>
      <c r="E47" s="241">
        <f>Populiacija!AJ18</f>
        <v>24864</v>
      </c>
      <c r="F47" s="241">
        <f>Populiacija!AJ39</f>
        <v>60258</v>
      </c>
      <c r="G47" s="75"/>
      <c r="H47" s="31"/>
      <c r="I47" s="31"/>
      <c r="J47" s="31"/>
      <c r="K47" s="31"/>
      <c r="L47" s="31"/>
      <c r="M47" s="31"/>
      <c r="N47" s="31"/>
      <c r="O47" s="31"/>
      <c r="P47" s="31"/>
      <c r="Q47" s="31"/>
      <c r="R47" s="31"/>
      <c r="S47" s="31"/>
      <c r="T47" s="31"/>
      <c r="U47" s="31"/>
      <c r="V47" s="31"/>
      <c r="W47" s="31"/>
      <c r="X47" s="31"/>
      <c r="Y47" s="31"/>
      <c r="Z47" s="31"/>
      <c r="AA47" s="31"/>
      <c r="AB47" s="31"/>
      <c r="AC47" s="31"/>
      <c r="AD47" s="31"/>
      <c r="AE47" s="31"/>
    </row>
    <row r="48" spans="1:31" ht="13.5" thickBot="1">
      <c r="A48" s="31"/>
      <c r="B48" s="75"/>
      <c r="C48" s="75"/>
      <c r="D48" s="240" t="s">
        <v>317</v>
      </c>
      <c r="E48" s="241">
        <f>Populiacija!AJ19</f>
        <v>12343</v>
      </c>
      <c r="F48" s="241">
        <f>Populiacija!AJ40</f>
        <v>42993</v>
      </c>
      <c r="G48" s="75"/>
      <c r="H48" s="31"/>
      <c r="I48" s="31"/>
      <c r="J48" s="31"/>
      <c r="K48" s="31"/>
      <c r="L48" s="31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</row>
    <row r="49" spans="1:31">
      <c r="A49" s="31"/>
      <c r="B49" s="75"/>
      <c r="C49" s="75"/>
      <c r="D49" s="75"/>
      <c r="E49" s="75"/>
      <c r="F49" s="75"/>
      <c r="G49" s="75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31"/>
      <c r="V49" s="31"/>
      <c r="W49" s="31"/>
      <c r="X49" s="31"/>
      <c r="Y49" s="31"/>
      <c r="Z49" s="31"/>
      <c r="AA49" s="31"/>
      <c r="AB49" s="31"/>
      <c r="AC49" s="31"/>
      <c r="AD49" s="31"/>
      <c r="AE49" s="31"/>
    </row>
    <row r="50" spans="1:31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31"/>
      <c r="P50" s="31"/>
      <c r="Q50" s="31"/>
      <c r="R50" s="31"/>
      <c r="S50" s="31"/>
      <c r="T50" s="31"/>
      <c r="U50" s="31"/>
      <c r="V50" s="31"/>
      <c r="W50" s="31"/>
      <c r="X50" s="31"/>
      <c r="Y50" s="31"/>
      <c r="Z50" s="31"/>
      <c r="AA50" s="31"/>
      <c r="AB50" s="31"/>
      <c r="AC50" s="31"/>
      <c r="AD50" s="31"/>
      <c r="AE50" s="31"/>
    </row>
    <row r="51" spans="1:31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1"/>
      <c r="AB51" s="31"/>
      <c r="AC51" s="31"/>
      <c r="AD51" s="31"/>
      <c r="AE51" s="31"/>
    </row>
    <row r="52" spans="1:31">
      <c r="A52" s="31"/>
      <c r="B52" s="31"/>
      <c r="C52" s="31"/>
      <c r="D52" s="31"/>
      <c r="E52" s="31"/>
      <c r="F52" s="31"/>
      <c r="G52" s="31"/>
      <c r="H52" s="31"/>
      <c r="I52" s="31"/>
      <c r="J52" s="31"/>
      <c r="K52" s="31"/>
      <c r="L52" s="31"/>
      <c r="M52" s="31"/>
      <c r="N52" s="31"/>
      <c r="O52" s="31"/>
      <c r="P52" s="31"/>
      <c r="Q52" s="31"/>
      <c r="R52" s="31"/>
      <c r="S52" s="31"/>
      <c r="T52" s="31"/>
      <c r="U52" s="31"/>
      <c r="V52" s="31"/>
      <c r="W52" s="31"/>
      <c r="X52" s="31"/>
      <c r="Y52" s="31"/>
      <c r="Z52" s="31"/>
      <c r="AA52" s="31"/>
      <c r="AB52" s="31"/>
      <c r="AC52" s="31"/>
      <c r="AD52" s="31"/>
      <c r="AE52" s="31"/>
    </row>
    <row r="53" spans="1:31">
      <c r="A53" s="31"/>
      <c r="B53" s="31"/>
      <c r="C53" s="31"/>
      <c r="D53" s="31"/>
      <c r="E53" s="31"/>
      <c r="F53" s="31"/>
      <c r="G53" s="31"/>
      <c r="H53" s="31"/>
      <c r="I53" s="31"/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  <c r="U53" s="31"/>
      <c r="V53" s="31"/>
      <c r="W53" s="31"/>
      <c r="X53" s="31"/>
      <c r="Y53" s="31"/>
      <c r="Z53" s="31"/>
      <c r="AA53" s="31"/>
      <c r="AB53" s="31"/>
      <c r="AC53" s="31"/>
      <c r="AD53" s="31"/>
      <c r="AE53" s="31"/>
    </row>
  </sheetData>
  <mergeCells count="6">
    <mergeCell ref="X3:AA3"/>
    <mergeCell ref="AB3:AE3"/>
    <mergeCell ref="D28:D29"/>
    <mergeCell ref="E28:F28"/>
    <mergeCell ref="W1:Y1"/>
    <mergeCell ref="AA1:AC1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tabColor theme="6" tint="0.39997558519241921"/>
  </sheetPr>
  <dimension ref="A1:AE44"/>
  <sheetViews>
    <sheetView zoomScaleNormal="100" workbookViewId="0">
      <selection activeCell="D1" sqref="D1"/>
    </sheetView>
  </sheetViews>
  <sheetFormatPr defaultRowHeight="12.75"/>
  <cols>
    <col min="1" max="1" width="6.7109375" customWidth="1"/>
    <col min="2" max="2" width="0.140625" customWidth="1"/>
    <col min="3" max="6" width="7.7109375" customWidth="1"/>
    <col min="7" max="7" width="4.7109375" customWidth="1"/>
    <col min="8" max="8" width="10.7109375" customWidth="1"/>
    <col min="9" max="9" width="7.7109375" customWidth="1"/>
    <col min="10" max="10" width="0.85546875" customWidth="1"/>
    <col min="11" max="11" width="2.7109375" customWidth="1"/>
    <col min="12" max="12" width="0.8554687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7.7109375" customWidth="1"/>
    <col min="22" max="22" width="9.140625" style="212"/>
    <col min="23" max="23" width="28.140625" style="212" bestFit="1" customWidth="1"/>
    <col min="24" max="24" width="6" style="212" bestFit="1" customWidth="1"/>
    <col min="25" max="25" width="5.7109375" style="212" bestFit="1" customWidth="1"/>
    <col min="26" max="26" width="8.5703125" style="212" bestFit="1" customWidth="1"/>
    <col min="27" max="27" width="24" style="212" bestFit="1" customWidth="1"/>
    <col min="28" max="28" width="5" style="212" bestFit="1" customWidth="1"/>
    <col min="29" max="29" width="5.7109375" style="212" bestFit="1" customWidth="1"/>
    <col min="30" max="30" width="9.140625" style="212"/>
    <col min="31" max="31" width="9.42578125" style="212" bestFit="1" customWidth="1"/>
  </cols>
  <sheetData>
    <row r="1" spans="1:31" ht="20.100000000000001" customHeight="1">
      <c r="A1" s="352">
        <v>2014</v>
      </c>
      <c r="B1" s="352"/>
      <c r="C1" s="352" t="s">
        <v>406</v>
      </c>
      <c r="D1" s="244" t="s">
        <v>614</v>
      </c>
      <c r="E1" s="352" t="s">
        <v>426</v>
      </c>
      <c r="F1" s="350"/>
      <c r="G1" s="351" t="s">
        <v>407</v>
      </c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1"/>
      <c r="T1" s="31"/>
      <c r="U1" s="31"/>
      <c r="V1" s="31"/>
      <c r="W1" s="410" t="s">
        <v>479</v>
      </c>
      <c r="X1" s="410"/>
      <c r="Y1" s="410"/>
      <c r="Z1" s="243"/>
      <c r="AA1" s="410" t="s">
        <v>482</v>
      </c>
      <c r="AB1" s="410"/>
      <c r="AC1" s="410"/>
      <c r="AD1" s="31"/>
      <c r="AE1" s="31"/>
    </row>
    <row r="2" spans="1:31" ht="20.100000000000001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31"/>
      <c r="W2" s="243" t="s">
        <v>26</v>
      </c>
      <c r="X2" s="243">
        <v>5066</v>
      </c>
      <c r="Y2" s="260">
        <v>0.28387313683738652</v>
      </c>
      <c r="Z2" s="243"/>
      <c r="AA2" s="243" t="s">
        <v>26</v>
      </c>
      <c r="AB2" s="243">
        <v>922</v>
      </c>
      <c r="AC2" s="260">
        <v>0.31022880215343202</v>
      </c>
      <c r="AD2" s="31"/>
      <c r="AE2" s="31"/>
    </row>
    <row r="3" spans="1:31" ht="24.95" customHeight="1">
      <c r="A3" s="75"/>
      <c r="B3" s="75"/>
      <c r="C3" s="411" t="str">
        <f>W1</f>
        <v>Vyrai ir moterys, visos amžiaus grupės (17846 atv.)</v>
      </c>
      <c r="D3" s="411"/>
      <c r="E3" s="411"/>
      <c r="F3" s="411"/>
      <c r="G3" s="411"/>
      <c r="H3" s="411"/>
      <c r="I3" s="411"/>
      <c r="J3" s="206"/>
      <c r="K3" s="75"/>
      <c r="L3" s="75"/>
      <c r="M3" s="411" t="str">
        <f>AA1</f>
        <v>Vyrai ir moterys, 30-54 metų (2972 atv.)</v>
      </c>
      <c r="N3" s="411"/>
      <c r="O3" s="411"/>
      <c r="P3" s="411"/>
      <c r="Q3" s="411"/>
      <c r="R3" s="411"/>
      <c r="S3" s="411"/>
      <c r="T3" s="75"/>
      <c r="U3" s="75"/>
      <c r="V3" s="31"/>
      <c r="W3" s="243" t="s">
        <v>219</v>
      </c>
      <c r="X3" s="243">
        <v>531</v>
      </c>
      <c r="Y3" s="260">
        <v>2.9754566849714222E-2</v>
      </c>
      <c r="Z3" s="243"/>
      <c r="AA3" s="243" t="s">
        <v>213</v>
      </c>
      <c r="AB3" s="243">
        <v>108</v>
      </c>
      <c r="AC3" s="260">
        <v>3.6339165545087482E-2</v>
      </c>
      <c r="AD3" s="31"/>
      <c r="AE3" s="31"/>
    </row>
    <row r="4" spans="1:31" ht="20.100000000000001" customHeight="1">
      <c r="A4" s="75"/>
      <c r="B4" s="75"/>
      <c r="C4" s="75"/>
      <c r="D4" s="75"/>
      <c r="E4" s="75"/>
      <c r="F4" s="75"/>
      <c r="G4" s="75"/>
      <c r="H4" s="75"/>
      <c r="I4" s="77" t="str">
        <f>W12</f>
        <v>Priešinės liaukos</v>
      </c>
      <c r="J4" s="77"/>
      <c r="K4" s="75"/>
      <c r="L4" s="75"/>
      <c r="M4" s="75"/>
      <c r="N4" s="75"/>
      <c r="O4" s="75"/>
      <c r="P4" s="75"/>
      <c r="Q4" s="75"/>
      <c r="R4" s="75"/>
      <c r="S4" s="77" t="str">
        <f>AA12</f>
        <v>Krūties</v>
      </c>
      <c r="T4" s="75"/>
      <c r="U4" s="75"/>
      <c r="V4" s="31"/>
      <c r="W4" s="243" t="s">
        <v>233</v>
      </c>
      <c r="X4" s="243">
        <v>616</v>
      </c>
      <c r="Y4" s="260">
        <v>3.4517538944301242E-2</v>
      </c>
      <c r="Z4" s="243"/>
      <c r="AA4" s="243" t="s">
        <v>231</v>
      </c>
      <c r="AB4" s="243">
        <v>119</v>
      </c>
      <c r="AC4" s="260">
        <v>4.0040376850605651E-2</v>
      </c>
      <c r="AD4" s="31"/>
      <c r="AE4" s="31"/>
    </row>
    <row r="5" spans="1:31" ht="20.100000000000001" customHeight="1">
      <c r="A5" s="75"/>
      <c r="B5" s="75"/>
      <c r="C5" s="75"/>
      <c r="D5" s="75"/>
      <c r="E5" s="75"/>
      <c r="F5" s="75"/>
      <c r="G5" s="75"/>
      <c r="H5" s="75"/>
      <c r="I5" s="77" t="str">
        <f>W11</f>
        <v>Kiti odos piktybiniai navikai</v>
      </c>
      <c r="J5" s="77"/>
      <c r="K5" s="75"/>
      <c r="L5" s="75"/>
      <c r="M5" s="75"/>
      <c r="N5" s="75"/>
      <c r="O5" s="75"/>
      <c r="P5" s="75"/>
      <c r="Q5" s="75"/>
      <c r="R5" s="75"/>
      <c r="S5" s="77" t="str">
        <f>AA11</f>
        <v>Priešinės liaukos</v>
      </c>
      <c r="T5" s="75"/>
      <c r="U5" s="75"/>
      <c r="V5" s="31"/>
      <c r="W5" s="243" t="s">
        <v>212</v>
      </c>
      <c r="X5" s="243">
        <v>678</v>
      </c>
      <c r="Y5" s="260">
        <v>3.7991706825058834E-2</v>
      </c>
      <c r="Z5" s="243"/>
      <c r="AA5" s="243" t="s">
        <v>215</v>
      </c>
      <c r="AB5" s="243">
        <v>127</v>
      </c>
      <c r="AC5" s="260">
        <v>4.2732166890982505E-2</v>
      </c>
      <c r="AD5" s="31"/>
      <c r="AE5" s="31"/>
    </row>
    <row r="6" spans="1:31" ht="20.100000000000001" customHeight="1">
      <c r="A6" s="75"/>
      <c r="B6" s="75"/>
      <c r="C6" s="75"/>
      <c r="D6" s="75"/>
      <c r="E6" s="75"/>
      <c r="F6" s="75"/>
      <c r="G6" s="75"/>
      <c r="H6" s="75"/>
      <c r="I6" s="77" t="str">
        <f>W10</f>
        <v>Krūties</v>
      </c>
      <c r="J6" s="77"/>
      <c r="K6" s="75"/>
      <c r="L6" s="75"/>
      <c r="M6" s="75"/>
      <c r="N6" s="75"/>
      <c r="O6" s="75"/>
      <c r="P6" s="75"/>
      <c r="Q6" s="75"/>
      <c r="R6" s="75"/>
      <c r="S6" s="77" t="str">
        <f>AA10</f>
        <v>Kiti odos piktybiniai navikai</v>
      </c>
      <c r="T6" s="75"/>
      <c r="U6" s="75"/>
      <c r="V6" s="31"/>
      <c r="W6" s="243" t="s">
        <v>213</v>
      </c>
      <c r="X6" s="243">
        <v>687</v>
      </c>
      <c r="Y6" s="260">
        <v>3.8496021517426877E-2</v>
      </c>
      <c r="Z6" s="243"/>
      <c r="AA6" s="243" t="s">
        <v>233</v>
      </c>
      <c r="AB6" s="243">
        <v>135</v>
      </c>
      <c r="AC6" s="260">
        <v>4.5423956931359352E-2</v>
      </c>
      <c r="AD6" s="31"/>
      <c r="AE6" s="31"/>
    </row>
    <row r="7" spans="1:31" ht="20.100000000000001" customHeight="1">
      <c r="A7" s="75"/>
      <c r="B7" s="75"/>
      <c r="C7" s="75"/>
      <c r="D7" s="75"/>
      <c r="E7" s="75"/>
      <c r="F7" s="75"/>
      <c r="G7" s="75"/>
      <c r="H7" s="75"/>
      <c r="I7" s="77" t="str">
        <f>W9</f>
        <v>Plaučių, trachėjos, bronchų</v>
      </c>
      <c r="J7" s="77"/>
      <c r="K7" s="75"/>
      <c r="L7" s="75"/>
      <c r="M7" s="75"/>
      <c r="N7" s="75"/>
      <c r="O7" s="75"/>
      <c r="P7" s="75"/>
      <c r="Q7" s="75"/>
      <c r="R7" s="75"/>
      <c r="S7" s="77" t="str">
        <f>AA9</f>
        <v>Gimdos kaklelio</v>
      </c>
      <c r="T7" s="75"/>
      <c r="U7" s="75"/>
      <c r="V7" s="31"/>
      <c r="W7" s="243" t="s">
        <v>215</v>
      </c>
      <c r="X7" s="243">
        <v>820</v>
      </c>
      <c r="Y7" s="260">
        <v>4.5948671971310098E-2</v>
      </c>
      <c r="Z7" s="243"/>
      <c r="AA7" s="243" t="s">
        <v>222</v>
      </c>
      <c r="AB7" s="243">
        <v>143</v>
      </c>
      <c r="AC7" s="260">
        <v>4.8115746971736206E-2</v>
      </c>
      <c r="AD7" s="31"/>
      <c r="AE7" s="31"/>
    </row>
    <row r="8" spans="1:31" ht="20.100000000000001" customHeight="1">
      <c r="A8" s="75"/>
      <c r="B8" s="75"/>
      <c r="C8" s="75"/>
      <c r="D8" s="75"/>
      <c r="E8" s="75"/>
      <c r="F8" s="75"/>
      <c r="G8" s="75"/>
      <c r="H8" s="75"/>
      <c r="I8" s="77" t="str">
        <f>W8</f>
        <v>Gaubtinės žarnos</v>
      </c>
      <c r="J8" s="77"/>
      <c r="K8" s="75"/>
      <c r="L8" s="75"/>
      <c r="M8" s="75"/>
      <c r="N8" s="75"/>
      <c r="O8" s="75"/>
      <c r="P8" s="75"/>
      <c r="Q8" s="75"/>
      <c r="R8" s="75"/>
      <c r="S8" s="77" t="str">
        <f>AA8</f>
        <v>Plaučių, trachėjos, bronchų</v>
      </c>
      <c r="T8" s="75"/>
      <c r="U8" s="75"/>
      <c r="V8" s="31"/>
      <c r="W8" s="243" t="s">
        <v>214</v>
      </c>
      <c r="X8" s="243">
        <v>871</v>
      </c>
      <c r="Y8" s="260">
        <v>4.8806455228062311E-2</v>
      </c>
      <c r="Z8" s="243"/>
      <c r="AA8" s="243" t="s">
        <v>217</v>
      </c>
      <c r="AB8" s="243">
        <v>145</v>
      </c>
      <c r="AC8" s="260">
        <v>4.8788694481830416E-2</v>
      </c>
      <c r="AD8" s="31"/>
      <c r="AE8" s="31"/>
    </row>
    <row r="9" spans="1:31" ht="20.100000000000001" customHeight="1">
      <c r="A9" s="75"/>
      <c r="B9" s="75"/>
      <c r="C9" s="75"/>
      <c r="D9" s="75"/>
      <c r="E9" s="75"/>
      <c r="F9" s="75"/>
      <c r="G9" s="75"/>
      <c r="H9" s="75"/>
      <c r="I9" s="77" t="str">
        <f>W7</f>
        <v>Skrandžio</v>
      </c>
      <c r="J9" s="77"/>
      <c r="K9" s="75"/>
      <c r="L9" s="75"/>
      <c r="M9" s="75"/>
      <c r="N9" s="75"/>
      <c r="O9" s="75"/>
      <c r="P9" s="75"/>
      <c r="Q9" s="75"/>
      <c r="R9" s="75"/>
      <c r="S9" s="77" t="str">
        <f>AA7</f>
        <v>Skydliaukės</v>
      </c>
      <c r="T9" s="75"/>
      <c r="U9" s="75"/>
      <c r="V9" s="31"/>
      <c r="W9" s="243" t="s">
        <v>217</v>
      </c>
      <c r="X9" s="243">
        <v>1436</v>
      </c>
      <c r="Y9" s="260">
        <v>8.0466210915611347E-2</v>
      </c>
      <c r="Z9" s="243"/>
      <c r="AA9" s="243" t="s">
        <v>232</v>
      </c>
      <c r="AB9" s="243">
        <v>170</v>
      </c>
      <c r="AC9" s="260">
        <v>5.7200538358008077E-2</v>
      </c>
      <c r="AD9" s="31"/>
      <c r="AE9" s="31"/>
    </row>
    <row r="10" spans="1:31" ht="20.100000000000001" customHeight="1">
      <c r="A10" s="75"/>
      <c r="B10" s="75"/>
      <c r="C10" s="75"/>
      <c r="D10" s="75"/>
      <c r="E10" s="75"/>
      <c r="F10" s="75"/>
      <c r="G10" s="75"/>
      <c r="H10" s="75"/>
      <c r="I10" s="77" t="str">
        <f>W6</f>
        <v>Inkstų</v>
      </c>
      <c r="J10" s="77"/>
      <c r="K10" s="75"/>
      <c r="L10" s="75"/>
      <c r="M10" s="75"/>
      <c r="N10" s="75"/>
      <c r="O10" s="75"/>
      <c r="P10" s="75"/>
      <c r="Q10" s="75"/>
      <c r="R10" s="75"/>
      <c r="S10" s="77" t="str">
        <f>AA6</f>
        <v>Gimdos kūno</v>
      </c>
      <c r="T10" s="75"/>
      <c r="U10" s="75"/>
      <c r="V10" s="31"/>
      <c r="W10" s="243" t="s">
        <v>234</v>
      </c>
      <c r="X10" s="243">
        <v>1669</v>
      </c>
      <c r="Y10" s="260">
        <v>9.3522357951361657E-2</v>
      </c>
      <c r="Z10" s="243"/>
      <c r="AA10" s="243" t="s">
        <v>216</v>
      </c>
      <c r="AB10" s="243">
        <v>275</v>
      </c>
      <c r="AC10" s="260">
        <v>9.2530282637954236E-2</v>
      </c>
      <c r="AD10" s="31"/>
      <c r="AE10" s="31"/>
    </row>
    <row r="11" spans="1:31" ht="20.100000000000001" customHeight="1">
      <c r="A11" s="75"/>
      <c r="B11" s="75"/>
      <c r="C11" s="75"/>
      <c r="D11" s="75"/>
      <c r="E11" s="75"/>
      <c r="F11" s="75"/>
      <c r="G11" s="75"/>
      <c r="H11" s="75"/>
      <c r="I11" s="77" t="str">
        <f>W5</f>
        <v>Tiesiosios žarnos, išangės</v>
      </c>
      <c r="J11" s="77"/>
      <c r="K11" s="75"/>
      <c r="L11" s="75"/>
      <c r="M11" s="75"/>
      <c r="N11" s="75"/>
      <c r="O11" s="75"/>
      <c r="P11" s="75"/>
      <c r="Q11" s="75"/>
      <c r="R11" s="75"/>
      <c r="S11" s="77" t="str">
        <f>AA5</f>
        <v>Skrandžio</v>
      </c>
      <c r="T11" s="75"/>
      <c r="U11" s="75"/>
      <c r="V11" s="31"/>
      <c r="W11" s="243" t="s">
        <v>216</v>
      </c>
      <c r="X11" s="243">
        <v>2242</v>
      </c>
      <c r="Y11" s="260">
        <v>0.12563039336546006</v>
      </c>
      <c r="Z11" s="243"/>
      <c r="AA11" s="243" t="s">
        <v>218</v>
      </c>
      <c r="AB11" s="243">
        <v>326</v>
      </c>
      <c r="AC11" s="260">
        <v>0.10969044414535666</v>
      </c>
      <c r="AD11" s="31"/>
      <c r="AE11" s="31"/>
    </row>
    <row r="12" spans="1:31" ht="20.100000000000001" customHeight="1">
      <c r="A12" s="75"/>
      <c r="B12" s="75"/>
      <c r="C12" s="75"/>
      <c r="D12" s="75"/>
      <c r="E12" s="75"/>
      <c r="F12" s="75"/>
      <c r="G12" s="75"/>
      <c r="H12" s="75"/>
      <c r="I12" s="77" t="str">
        <f>W4</f>
        <v>Gimdos kūno</v>
      </c>
      <c r="J12" s="77"/>
      <c r="K12" s="75"/>
      <c r="L12" s="75"/>
      <c r="M12" s="75"/>
      <c r="N12" s="75"/>
      <c r="O12" s="75"/>
      <c r="P12" s="75"/>
      <c r="Q12" s="75"/>
      <c r="R12" s="75"/>
      <c r="S12" s="77" t="str">
        <f>AA4</f>
        <v>Kiaušidžių</v>
      </c>
      <c r="T12" s="75"/>
      <c r="U12" s="75"/>
      <c r="V12" s="31"/>
      <c r="W12" s="243" t="s">
        <v>218</v>
      </c>
      <c r="X12" s="243">
        <v>3230</v>
      </c>
      <c r="Y12" s="260">
        <v>0.18099293959430685</v>
      </c>
      <c r="Z12" s="243"/>
      <c r="AA12" s="243" t="s">
        <v>234</v>
      </c>
      <c r="AB12" s="243">
        <v>502</v>
      </c>
      <c r="AC12" s="260">
        <v>0.16890982503364738</v>
      </c>
      <c r="AD12" s="31"/>
      <c r="AE12" s="31"/>
    </row>
    <row r="13" spans="1:31" ht="20.100000000000001" customHeight="1">
      <c r="A13" s="75"/>
      <c r="B13" s="75"/>
      <c r="C13" s="75"/>
      <c r="D13" s="75"/>
      <c r="E13" s="75"/>
      <c r="F13" s="75"/>
      <c r="G13" s="75"/>
      <c r="H13" s="75"/>
      <c r="I13" s="77" t="str">
        <f>W3</f>
        <v>Kasos</v>
      </c>
      <c r="J13" s="77"/>
      <c r="K13" s="75"/>
      <c r="L13" s="75"/>
      <c r="M13" s="75"/>
      <c r="N13" s="75"/>
      <c r="O13" s="75"/>
      <c r="P13" s="75"/>
      <c r="Q13" s="75"/>
      <c r="R13" s="75"/>
      <c r="S13" s="77" t="str">
        <f>AA3</f>
        <v>Inkstų</v>
      </c>
      <c r="T13" s="75"/>
      <c r="U13" s="75"/>
      <c r="V13" s="31"/>
      <c r="W13" s="307" t="s">
        <v>210</v>
      </c>
      <c r="X13" s="243">
        <v>17846</v>
      </c>
      <c r="Y13" s="260">
        <v>1</v>
      </c>
      <c r="Z13" s="243"/>
      <c r="AA13" s="307" t="s">
        <v>210</v>
      </c>
      <c r="AB13" s="243">
        <v>2972</v>
      </c>
      <c r="AC13" s="260">
        <v>1</v>
      </c>
      <c r="AD13" s="31"/>
      <c r="AE13" s="31"/>
    </row>
    <row r="14" spans="1:31" ht="20.100000000000001" customHeight="1">
      <c r="A14" s="75"/>
      <c r="B14" s="75"/>
      <c r="C14" s="75"/>
      <c r="D14" s="75"/>
      <c r="E14" s="75"/>
      <c r="F14" s="75"/>
      <c r="G14" s="75"/>
      <c r="H14" s="75"/>
      <c r="I14" s="77" t="str">
        <f>W2</f>
        <v>Kiti</v>
      </c>
      <c r="J14" s="77"/>
      <c r="K14" s="75"/>
      <c r="L14" s="75"/>
      <c r="M14" s="75"/>
      <c r="N14" s="75"/>
      <c r="O14" s="75"/>
      <c r="P14" s="75"/>
      <c r="Q14" s="75"/>
      <c r="R14" s="75"/>
      <c r="S14" s="77" t="str">
        <f>AA2</f>
        <v>Kiti</v>
      </c>
      <c r="T14" s="75"/>
      <c r="U14" s="75"/>
      <c r="V14" s="31"/>
      <c r="W14" s="410" t="s">
        <v>480</v>
      </c>
      <c r="X14" s="410"/>
      <c r="Y14" s="410"/>
      <c r="Z14" s="243"/>
      <c r="AA14" s="410" t="s">
        <v>483</v>
      </c>
      <c r="AB14" s="410"/>
      <c r="AC14" s="410"/>
      <c r="AD14" s="31"/>
      <c r="AE14" s="31"/>
    </row>
    <row r="15" spans="1:31" ht="24.9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1"/>
      <c r="W15" s="243" t="s">
        <v>26</v>
      </c>
      <c r="X15" s="243">
        <v>2</v>
      </c>
      <c r="Y15" s="260">
        <v>3.0303030303030304E-2</v>
      </c>
      <c r="Z15" s="243"/>
      <c r="AA15" s="243" t="s">
        <v>26</v>
      </c>
      <c r="AB15" s="243">
        <v>2246</v>
      </c>
      <c r="AC15" s="262">
        <v>0.23903788846317581</v>
      </c>
      <c r="AD15" s="31"/>
      <c r="AE15" s="31"/>
    </row>
    <row r="16" spans="1:31" ht="24.95" customHeight="1">
      <c r="A16" s="75"/>
      <c r="B16" s="75"/>
      <c r="C16" s="411" t="str">
        <f>W14</f>
        <v>Vyrai ir moterys, 0-14 metų (66 atv.)</v>
      </c>
      <c r="D16" s="411"/>
      <c r="E16" s="411"/>
      <c r="F16" s="411"/>
      <c r="G16" s="411"/>
      <c r="H16" s="411"/>
      <c r="I16" s="411"/>
      <c r="J16" s="206"/>
      <c r="K16" s="75"/>
      <c r="L16" s="75"/>
      <c r="M16" s="411" t="str">
        <f>AA14</f>
        <v>Vyrai ir moterys, 55-74 metų (9396 atv.)</v>
      </c>
      <c r="N16" s="411"/>
      <c r="O16" s="411"/>
      <c r="P16" s="411"/>
      <c r="Q16" s="411"/>
      <c r="R16" s="411"/>
      <c r="S16" s="411"/>
      <c r="T16" s="75"/>
      <c r="U16" s="75"/>
      <c r="V16" s="31"/>
      <c r="W16" s="243" t="s">
        <v>213</v>
      </c>
      <c r="X16" s="243">
        <v>1</v>
      </c>
      <c r="Y16" s="260">
        <v>1.5151515151515152E-2</v>
      </c>
      <c r="Z16" s="243"/>
      <c r="AA16" s="243" t="s">
        <v>219</v>
      </c>
      <c r="AB16" s="243">
        <v>275</v>
      </c>
      <c r="AC16" s="260">
        <v>2.9267773520647085E-2</v>
      </c>
      <c r="AD16" s="31"/>
      <c r="AE16" s="31"/>
    </row>
    <row r="17" spans="1:31" ht="20.100000000000001" customHeight="1">
      <c r="A17" s="75"/>
      <c r="B17" s="75"/>
      <c r="C17" s="75"/>
      <c r="D17" s="75"/>
      <c r="E17" s="75"/>
      <c r="F17" s="75"/>
      <c r="G17" s="75"/>
      <c r="H17" s="75"/>
      <c r="I17" s="77" t="str">
        <f>W25</f>
        <v>Leukemijos</v>
      </c>
      <c r="J17" s="77"/>
      <c r="K17" s="75"/>
      <c r="L17" s="75"/>
      <c r="M17" s="75"/>
      <c r="N17" s="75"/>
      <c r="O17" s="75"/>
      <c r="P17" s="75"/>
      <c r="Q17" s="75"/>
      <c r="R17" s="75"/>
      <c r="S17" s="77" t="str">
        <f>AA25</f>
        <v>Priešinės liaukos</v>
      </c>
      <c r="T17" s="75"/>
      <c r="U17" s="75"/>
      <c r="V17" s="31"/>
      <c r="W17" s="243" t="s">
        <v>235</v>
      </c>
      <c r="X17" s="243">
        <v>1</v>
      </c>
      <c r="Y17" s="260">
        <v>1.5151515151515152E-2</v>
      </c>
      <c r="Z17" s="243"/>
      <c r="AA17" s="243" t="s">
        <v>212</v>
      </c>
      <c r="AB17" s="243">
        <v>313</v>
      </c>
      <c r="AC17" s="260">
        <v>3.3312047679863774E-2</v>
      </c>
      <c r="AD17" s="31"/>
      <c r="AE17" s="31"/>
    </row>
    <row r="18" spans="1:31" ht="20.100000000000001" customHeight="1">
      <c r="A18" s="75"/>
      <c r="B18" s="75"/>
      <c r="C18" s="75"/>
      <c r="D18" s="75"/>
      <c r="E18" s="75"/>
      <c r="F18" s="75"/>
      <c r="G18" s="75"/>
      <c r="H18" s="75"/>
      <c r="I18" s="77" t="str">
        <f>W24</f>
        <v>Smegenų</v>
      </c>
      <c r="J18" s="77"/>
      <c r="K18" s="75"/>
      <c r="L18" s="75"/>
      <c r="M18" s="75"/>
      <c r="N18" s="75"/>
      <c r="O18" s="75"/>
      <c r="P18" s="75"/>
      <c r="Q18" s="75"/>
      <c r="R18" s="75"/>
      <c r="S18" s="77" t="str">
        <f>AA24</f>
        <v>Kiti odos piktybiniai navikai</v>
      </c>
      <c r="T18" s="75"/>
      <c r="U18" s="75"/>
      <c r="V18" s="31"/>
      <c r="W18" s="243" t="s">
        <v>222</v>
      </c>
      <c r="X18" s="243">
        <v>1</v>
      </c>
      <c r="Y18" s="260">
        <v>1.5151515151515152E-2</v>
      </c>
      <c r="Z18" s="243"/>
      <c r="AA18" s="243" t="s">
        <v>233</v>
      </c>
      <c r="AB18" s="243">
        <v>342</v>
      </c>
      <c r="AC18" s="260">
        <v>3.6398467432950193E-2</v>
      </c>
      <c r="AD18" s="31"/>
      <c r="AE18" s="31"/>
    </row>
    <row r="19" spans="1:31" ht="20.100000000000001" customHeight="1">
      <c r="A19" s="75"/>
      <c r="B19" s="75"/>
      <c r="C19" s="75"/>
      <c r="D19" s="75"/>
      <c r="E19" s="75"/>
      <c r="F19" s="75"/>
      <c r="G19" s="75"/>
      <c r="H19" s="75"/>
      <c r="I19" s="77" t="str">
        <f>W23</f>
        <v>Kaulų ir jungiamojo audinio</v>
      </c>
      <c r="J19" s="77"/>
      <c r="K19" s="75"/>
      <c r="L19" s="75"/>
      <c r="M19" s="75"/>
      <c r="N19" s="75"/>
      <c r="O19" s="75"/>
      <c r="P19" s="75"/>
      <c r="Q19" s="75"/>
      <c r="R19" s="75"/>
      <c r="S19" s="77" t="str">
        <f>AA23</f>
        <v>Plaučių, trachėjos, bronchų</v>
      </c>
      <c r="T19" s="75"/>
      <c r="U19" s="75"/>
      <c r="V19" s="31"/>
      <c r="W19" s="243" t="s">
        <v>445</v>
      </c>
      <c r="X19" s="243">
        <v>2</v>
      </c>
      <c r="Y19" s="260">
        <v>3.0303030303030304E-2</v>
      </c>
      <c r="Z19" s="243"/>
      <c r="AA19" s="243" t="s">
        <v>215</v>
      </c>
      <c r="AB19" s="243">
        <v>376</v>
      </c>
      <c r="AC19" s="260">
        <v>4.0017028522775652E-2</v>
      </c>
      <c r="AD19" s="31"/>
      <c r="AE19" s="31"/>
    </row>
    <row r="20" spans="1:31" ht="20.100000000000001" customHeight="1">
      <c r="A20" s="75"/>
      <c r="B20" s="75"/>
      <c r="C20" s="75"/>
      <c r="D20" s="75"/>
      <c r="E20" s="75"/>
      <c r="F20" s="75"/>
      <c r="G20" s="75"/>
      <c r="H20" s="75"/>
      <c r="I20" s="77" t="str">
        <f>W22</f>
        <v>Kitų endokrininių liaukų</v>
      </c>
      <c r="J20" s="77"/>
      <c r="K20" s="75"/>
      <c r="L20" s="75"/>
      <c r="M20" s="75"/>
      <c r="N20" s="75"/>
      <c r="O20" s="75"/>
      <c r="P20" s="75"/>
      <c r="Q20" s="75"/>
      <c r="R20" s="75"/>
      <c r="S20" s="77" t="str">
        <f>AA22</f>
        <v>Krūties</v>
      </c>
      <c r="T20" s="75"/>
      <c r="U20" s="75"/>
      <c r="V20" s="31"/>
      <c r="W20" s="243" t="s">
        <v>224</v>
      </c>
      <c r="X20" s="243">
        <v>3</v>
      </c>
      <c r="Y20" s="260">
        <v>4.5454545454545456E-2</v>
      </c>
      <c r="Z20" s="243"/>
      <c r="AA20" s="243" t="s">
        <v>213</v>
      </c>
      <c r="AB20" s="243">
        <v>396</v>
      </c>
      <c r="AC20" s="260">
        <v>4.2145593869731802E-2</v>
      </c>
      <c r="AD20" s="31"/>
      <c r="AE20" s="31"/>
    </row>
    <row r="21" spans="1:31" ht="20.100000000000001" customHeight="1">
      <c r="A21" s="75"/>
      <c r="B21" s="75"/>
      <c r="C21" s="75"/>
      <c r="D21" s="75"/>
      <c r="E21" s="75"/>
      <c r="F21" s="75"/>
      <c r="G21" s="75"/>
      <c r="H21" s="75"/>
      <c r="I21" s="77" t="str">
        <f>W21</f>
        <v>Ne Hodžkino limfomos</v>
      </c>
      <c r="J21" s="77"/>
      <c r="K21" s="75"/>
      <c r="L21" s="75"/>
      <c r="M21" s="75"/>
      <c r="N21" s="75"/>
      <c r="O21" s="75"/>
      <c r="P21" s="75"/>
      <c r="Q21" s="75"/>
      <c r="R21" s="75"/>
      <c r="S21" s="77" t="str">
        <f>AA21</f>
        <v>Gaubtinės žarnos</v>
      </c>
      <c r="T21" s="75"/>
      <c r="U21" s="75"/>
      <c r="V21" s="31"/>
      <c r="W21" s="243" t="s">
        <v>226</v>
      </c>
      <c r="X21" s="243">
        <v>3</v>
      </c>
      <c r="Y21" s="260">
        <v>4.5454545454545456E-2</v>
      </c>
      <c r="Z21" s="243"/>
      <c r="AA21" s="243" t="s">
        <v>214</v>
      </c>
      <c r="AB21" s="243">
        <v>442</v>
      </c>
      <c r="AC21" s="260">
        <v>4.7041294167730952E-2</v>
      </c>
      <c r="AD21" s="31"/>
      <c r="AE21" s="31"/>
    </row>
    <row r="22" spans="1:31" ht="20.100000000000001" customHeight="1">
      <c r="A22" s="75"/>
      <c r="B22" s="75"/>
      <c r="C22" s="75"/>
      <c r="D22" s="75"/>
      <c r="E22" s="75"/>
      <c r="F22" s="75"/>
      <c r="G22" s="75"/>
      <c r="H22" s="75"/>
      <c r="I22" s="77" t="str">
        <f>W20</f>
        <v>Kitų virškinimo sistemos organų</v>
      </c>
      <c r="J22" s="77"/>
      <c r="K22" s="75"/>
      <c r="L22" s="75"/>
      <c r="M22" s="75"/>
      <c r="N22" s="75"/>
      <c r="O22" s="75"/>
      <c r="P22" s="75"/>
      <c r="Q22" s="75"/>
      <c r="R22" s="75"/>
      <c r="S22" s="77" t="str">
        <f>AA20</f>
        <v>Inkstų</v>
      </c>
      <c r="T22" s="75"/>
      <c r="U22" s="75"/>
      <c r="V22" s="31"/>
      <c r="W22" s="243" t="s">
        <v>236</v>
      </c>
      <c r="X22" s="243">
        <v>4</v>
      </c>
      <c r="Y22" s="260">
        <v>6.0606060606060608E-2</v>
      </c>
      <c r="Z22" s="243"/>
      <c r="AA22" s="243" t="s">
        <v>234</v>
      </c>
      <c r="AB22" s="243">
        <v>802</v>
      </c>
      <c r="AC22" s="260">
        <v>8.5355470412941684E-2</v>
      </c>
      <c r="AD22" s="31"/>
      <c r="AE22" s="31"/>
    </row>
    <row r="23" spans="1:31" ht="20.100000000000001" customHeight="1">
      <c r="A23" s="75"/>
      <c r="B23" s="75"/>
      <c r="C23" s="75"/>
      <c r="D23" s="75"/>
      <c r="E23" s="75"/>
      <c r="F23" s="75"/>
      <c r="G23" s="75"/>
      <c r="H23" s="75"/>
      <c r="I23" s="77" t="str">
        <f>W19</f>
        <v>Kitų kvėpavimo sistemos organų</v>
      </c>
      <c r="J23" s="77"/>
      <c r="K23" s="75"/>
      <c r="L23" s="75"/>
      <c r="M23" s="75"/>
      <c r="N23" s="75"/>
      <c r="O23" s="75"/>
      <c r="P23" s="75"/>
      <c r="Q23" s="75"/>
      <c r="R23" s="75"/>
      <c r="S23" s="77" t="str">
        <f>AA19</f>
        <v>Skrandžio</v>
      </c>
      <c r="T23" s="75"/>
      <c r="U23" s="75"/>
      <c r="V23" s="31"/>
      <c r="W23" s="243" t="s">
        <v>228</v>
      </c>
      <c r="X23" s="243">
        <v>9</v>
      </c>
      <c r="Y23" s="260">
        <v>0.13636363636363635</v>
      </c>
      <c r="Z23" s="243"/>
      <c r="AA23" s="243" t="s">
        <v>217</v>
      </c>
      <c r="AB23" s="243">
        <v>888</v>
      </c>
      <c r="AC23" s="260">
        <v>9.4508301404853126E-2</v>
      </c>
      <c r="AD23" s="31"/>
      <c r="AE23" s="31"/>
    </row>
    <row r="24" spans="1:31" ht="20.100000000000001" customHeight="1">
      <c r="A24" s="75"/>
      <c r="B24" s="75"/>
      <c r="C24" s="75"/>
      <c r="D24" s="75"/>
      <c r="E24" s="75"/>
      <c r="F24" s="75"/>
      <c r="G24" s="75"/>
      <c r="H24" s="75"/>
      <c r="I24" s="77" t="str">
        <f>W18</f>
        <v>Skydliaukės</v>
      </c>
      <c r="J24" s="77"/>
      <c r="K24" s="75"/>
      <c r="L24" s="75"/>
      <c r="M24" s="75"/>
      <c r="N24" s="75"/>
      <c r="O24" s="75"/>
      <c r="P24" s="75"/>
      <c r="Q24" s="75"/>
      <c r="R24" s="75"/>
      <c r="S24" s="77" t="str">
        <f>AA18</f>
        <v>Gimdos kūno</v>
      </c>
      <c r="T24" s="75"/>
      <c r="U24" s="75"/>
      <c r="V24" s="31"/>
      <c r="W24" s="243" t="s">
        <v>225</v>
      </c>
      <c r="X24" s="243">
        <v>14</v>
      </c>
      <c r="Y24" s="260">
        <v>0.21212121212121213</v>
      </c>
      <c r="Z24" s="243"/>
      <c r="AA24" s="243" t="s">
        <v>216</v>
      </c>
      <c r="AB24" s="243">
        <v>1012</v>
      </c>
      <c r="AC24" s="260">
        <v>0.10770540655598126</v>
      </c>
      <c r="AD24" s="31"/>
      <c r="AE24" s="31"/>
    </row>
    <row r="25" spans="1:31" ht="20.100000000000001" customHeight="1">
      <c r="A25" s="75"/>
      <c r="B25" s="75"/>
      <c r="C25" s="75"/>
      <c r="D25" s="75"/>
      <c r="E25" s="75"/>
      <c r="F25" s="75"/>
      <c r="G25" s="75"/>
      <c r="H25" s="75"/>
      <c r="I25" s="77" t="str">
        <f>W17</f>
        <v>Akių</v>
      </c>
      <c r="J25" s="77"/>
      <c r="K25" s="75"/>
      <c r="L25" s="75"/>
      <c r="M25" s="75"/>
      <c r="N25" s="75"/>
      <c r="O25" s="75"/>
      <c r="P25" s="75"/>
      <c r="Q25" s="75"/>
      <c r="R25" s="75"/>
      <c r="S25" s="77" t="str">
        <f>TEXT(AA15,)</f>
        <v>Kiti</v>
      </c>
      <c r="T25" s="75"/>
      <c r="U25" s="75"/>
      <c r="V25" s="31"/>
      <c r="W25" s="243" t="s">
        <v>227</v>
      </c>
      <c r="X25" s="243">
        <v>26</v>
      </c>
      <c r="Y25" s="260">
        <v>0.39393939393939392</v>
      </c>
      <c r="Z25" s="243"/>
      <c r="AA25" s="243" t="s">
        <v>218</v>
      </c>
      <c r="AB25" s="243">
        <v>2304</v>
      </c>
      <c r="AC25" s="260">
        <v>0.24521072796934865</v>
      </c>
      <c r="AD25" s="31"/>
      <c r="AE25" s="31"/>
    </row>
    <row r="26" spans="1:31" ht="20.100000000000001" customHeight="1">
      <c r="A26" s="75"/>
      <c r="B26" s="75"/>
      <c r="C26" s="75"/>
      <c r="D26" s="75"/>
      <c r="E26" s="75"/>
      <c r="F26" s="75"/>
      <c r="G26" s="75"/>
      <c r="H26" s="75"/>
      <c r="I26" s="77" t="str">
        <f>W16</f>
        <v>Inkstų</v>
      </c>
      <c r="J26" s="77"/>
      <c r="K26" s="75"/>
      <c r="L26" s="75"/>
      <c r="M26" s="75"/>
      <c r="N26" s="75"/>
      <c r="O26" s="75"/>
      <c r="P26" s="75"/>
      <c r="Q26" s="75"/>
      <c r="R26" s="75"/>
      <c r="S26" s="77" t="str">
        <f>TEXT(AA16,)</f>
        <v>Kasos</v>
      </c>
      <c r="T26" s="75"/>
      <c r="U26" s="75"/>
      <c r="V26" s="31"/>
      <c r="W26" s="307" t="s">
        <v>210</v>
      </c>
      <c r="X26" s="243">
        <v>66</v>
      </c>
      <c r="Y26" s="260">
        <v>1</v>
      </c>
      <c r="Z26" s="243"/>
      <c r="AA26" s="307" t="s">
        <v>210</v>
      </c>
      <c r="AB26" s="243">
        <v>9396</v>
      </c>
      <c r="AC26" s="260">
        <v>1</v>
      </c>
      <c r="AD26" s="31"/>
      <c r="AE26" s="31"/>
    </row>
    <row r="27" spans="1:31" ht="20.100000000000001" customHeight="1">
      <c r="A27" s="75"/>
      <c r="B27" s="75"/>
      <c r="C27" s="75"/>
      <c r="D27" s="75"/>
      <c r="E27" s="75"/>
      <c r="F27" s="75"/>
      <c r="G27" s="75"/>
      <c r="H27" s="75"/>
      <c r="I27" s="77" t="str">
        <f>TEXT(W15,)</f>
        <v>Kiti</v>
      </c>
      <c r="J27" s="77"/>
      <c r="K27" s="75"/>
      <c r="L27" s="75"/>
      <c r="M27" s="75"/>
      <c r="N27" s="75"/>
      <c r="O27" s="75"/>
      <c r="P27" s="75"/>
      <c r="Q27" s="75"/>
      <c r="R27" s="75"/>
      <c r="S27" s="77" t="str">
        <f>TEXT(AA15,)</f>
        <v>Kiti</v>
      </c>
      <c r="T27" s="75"/>
      <c r="U27" s="75"/>
      <c r="V27" s="31"/>
      <c r="W27" s="410" t="s">
        <v>481</v>
      </c>
      <c r="X27" s="410"/>
      <c r="Y27" s="410"/>
      <c r="Z27" s="243"/>
      <c r="AA27" s="410" t="s">
        <v>484</v>
      </c>
      <c r="AB27" s="410"/>
      <c r="AC27" s="410"/>
      <c r="AD27" s="31"/>
      <c r="AE27" s="31"/>
    </row>
    <row r="28" spans="1:31" ht="24.9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31"/>
      <c r="W28" s="243" t="s">
        <v>26</v>
      </c>
      <c r="X28" s="243">
        <v>40</v>
      </c>
      <c r="Y28" s="260">
        <v>0.20833333333333334</v>
      </c>
      <c r="Z28" s="243"/>
      <c r="AA28" s="243" t="s">
        <v>26</v>
      </c>
      <c r="AB28" s="243">
        <v>1393</v>
      </c>
      <c r="AC28" s="260">
        <v>0.26685823754789273</v>
      </c>
      <c r="AD28" s="31"/>
      <c r="AE28" s="31"/>
    </row>
    <row r="29" spans="1:31" ht="24.95" customHeight="1">
      <c r="A29" s="75"/>
      <c r="B29" s="75"/>
      <c r="C29" s="411" t="str">
        <f>W27</f>
        <v>Vyrai ir moterys, 15-29 metų (192 atv.)</v>
      </c>
      <c r="D29" s="411"/>
      <c r="E29" s="411"/>
      <c r="F29" s="411"/>
      <c r="G29" s="411"/>
      <c r="H29" s="411"/>
      <c r="I29" s="411"/>
      <c r="J29" s="206"/>
      <c r="K29" s="75"/>
      <c r="L29" s="75"/>
      <c r="M29" s="411" t="str">
        <f>AA27</f>
        <v>Vyrai ir moterys, 75 ir daugiau metų (5220 atv.)</v>
      </c>
      <c r="N29" s="411"/>
      <c r="O29" s="411"/>
      <c r="P29" s="411"/>
      <c r="Q29" s="411"/>
      <c r="R29" s="411"/>
      <c r="S29" s="411"/>
      <c r="T29" s="75"/>
      <c r="U29" s="75"/>
      <c r="V29" s="31"/>
      <c r="W29" s="243" t="s">
        <v>229</v>
      </c>
      <c r="X29" s="243">
        <v>9</v>
      </c>
      <c r="Y29" s="260">
        <v>4.6875E-2</v>
      </c>
      <c r="Z29" s="243"/>
      <c r="AA29" s="243" t="s">
        <v>227</v>
      </c>
      <c r="AB29" s="243">
        <v>191</v>
      </c>
      <c r="AC29" s="260">
        <v>3.6590038314176246E-2</v>
      </c>
      <c r="AD29" s="31"/>
      <c r="AE29" s="31"/>
    </row>
    <row r="30" spans="1:31" ht="20.100000000000001" customHeight="1">
      <c r="A30" s="75"/>
      <c r="B30" s="75"/>
      <c r="C30" s="75"/>
      <c r="D30" s="75"/>
      <c r="E30" s="75"/>
      <c r="F30" s="75"/>
      <c r="G30" s="75"/>
      <c r="H30" s="75"/>
      <c r="I30" s="77" t="str">
        <f>W38</f>
        <v>Skydliaukės</v>
      </c>
      <c r="J30" s="75"/>
      <c r="K30" s="75"/>
      <c r="L30" s="75"/>
      <c r="M30" s="75"/>
      <c r="N30" s="75"/>
      <c r="O30" s="75"/>
      <c r="P30" s="75"/>
      <c r="Q30" s="75"/>
      <c r="R30" s="75"/>
      <c r="S30" s="77" t="str">
        <f>AA38</f>
        <v>Kiti odos piktybiniai navikai</v>
      </c>
      <c r="T30" s="75"/>
      <c r="U30" s="75"/>
      <c r="V30" s="31"/>
      <c r="W30" s="243" t="s">
        <v>228</v>
      </c>
      <c r="X30" s="243">
        <v>11</v>
      </c>
      <c r="Y30" s="260">
        <v>5.7291666666666664E-2</v>
      </c>
      <c r="Z30" s="243"/>
      <c r="AA30" s="243" t="s">
        <v>219</v>
      </c>
      <c r="AB30" s="243">
        <v>197</v>
      </c>
      <c r="AC30" s="260">
        <v>3.7739463601532568E-2</v>
      </c>
      <c r="AD30" s="31"/>
      <c r="AE30" s="31"/>
    </row>
    <row r="31" spans="1:31" ht="20.100000000000001" customHeight="1">
      <c r="A31" s="75"/>
      <c r="B31" s="75"/>
      <c r="C31" s="75"/>
      <c r="D31" s="75"/>
      <c r="E31" s="75"/>
      <c r="F31" s="75"/>
      <c r="G31" s="75"/>
      <c r="H31" s="75"/>
      <c r="I31" s="77" t="str">
        <f>W37</f>
        <v>Hodžkino limfomos</v>
      </c>
      <c r="J31" s="75"/>
      <c r="K31" s="75"/>
      <c r="L31" s="75"/>
      <c r="M31" s="75"/>
      <c r="N31" s="75"/>
      <c r="O31" s="75"/>
      <c r="P31" s="75"/>
      <c r="Q31" s="75"/>
      <c r="R31" s="75"/>
      <c r="S31" s="77" t="str">
        <f>AA37</f>
        <v>Priešinės liaukos</v>
      </c>
      <c r="T31" s="75"/>
      <c r="U31" s="75"/>
      <c r="V31" s="31"/>
      <c r="W31" s="243" t="s">
        <v>231</v>
      </c>
      <c r="X31" s="243">
        <v>11</v>
      </c>
      <c r="Y31" s="260">
        <v>5.7291666666666664E-2</v>
      </c>
      <c r="Z31" s="243"/>
      <c r="AA31" s="243" t="s">
        <v>237</v>
      </c>
      <c r="AB31" s="243">
        <v>198</v>
      </c>
      <c r="AC31" s="260">
        <v>3.793103448275862E-2</v>
      </c>
      <c r="AD31" s="31"/>
      <c r="AE31" s="31"/>
    </row>
    <row r="32" spans="1:31" ht="20.100000000000001" customHeight="1">
      <c r="A32" s="75"/>
      <c r="B32" s="75"/>
      <c r="C32" s="75"/>
      <c r="D32" s="75"/>
      <c r="E32" s="75"/>
      <c r="F32" s="75"/>
      <c r="G32" s="75"/>
      <c r="H32" s="75"/>
      <c r="I32" s="77" t="str">
        <f>W36</f>
        <v>Gimdos kaklelio</v>
      </c>
      <c r="J32" s="75"/>
      <c r="K32" s="75"/>
      <c r="L32" s="75"/>
      <c r="M32" s="75"/>
      <c r="N32" s="75"/>
      <c r="O32" s="75"/>
      <c r="P32" s="75"/>
      <c r="Q32" s="75"/>
      <c r="R32" s="75"/>
      <c r="S32" s="77" t="str">
        <f>AA36</f>
        <v>Plaučių, trachėjos, bronchų</v>
      </c>
      <c r="T32" s="75"/>
      <c r="U32" s="75"/>
      <c r="V32" s="31"/>
      <c r="W32" s="243" t="s">
        <v>225</v>
      </c>
      <c r="X32" s="243">
        <v>13</v>
      </c>
      <c r="Y32" s="260">
        <v>6.7708333333333329E-2</v>
      </c>
      <c r="Z32" s="243"/>
      <c r="AA32" s="243" t="s">
        <v>212</v>
      </c>
      <c r="AB32" s="243">
        <v>271</v>
      </c>
      <c r="AC32" s="260">
        <v>5.1915708812260535E-2</v>
      </c>
      <c r="AD32" s="31"/>
      <c r="AE32" s="31"/>
    </row>
    <row r="33" spans="1:31" ht="20.100000000000001" customHeight="1">
      <c r="A33" s="75"/>
      <c r="B33" s="75"/>
      <c r="C33" s="75"/>
      <c r="D33" s="75"/>
      <c r="E33" s="75"/>
      <c r="F33" s="75"/>
      <c r="G33" s="75"/>
      <c r="H33" s="75"/>
      <c r="I33" s="77" t="str">
        <f>W35</f>
        <v>Sėklidžių</v>
      </c>
      <c r="J33" s="75"/>
      <c r="K33" s="75"/>
      <c r="L33" s="75"/>
      <c r="M33" s="75"/>
      <c r="N33" s="75"/>
      <c r="O33" s="75"/>
      <c r="P33" s="75"/>
      <c r="Q33" s="75"/>
      <c r="R33" s="75"/>
      <c r="S33" s="77" t="str">
        <f>AA35</f>
        <v>Gaubtinės žarnos</v>
      </c>
      <c r="T33" s="75"/>
      <c r="U33" s="75"/>
      <c r="V33" s="31"/>
      <c r="W33" s="243" t="s">
        <v>227</v>
      </c>
      <c r="X33" s="243">
        <v>13</v>
      </c>
      <c r="Y33" s="260">
        <v>6.7708333333333329E-2</v>
      </c>
      <c r="Z33" s="243"/>
      <c r="AA33" s="243" t="s">
        <v>215</v>
      </c>
      <c r="AB33" s="243">
        <v>311</v>
      </c>
      <c r="AC33" s="260">
        <v>5.9578544061302682E-2</v>
      </c>
      <c r="AD33" s="31"/>
      <c r="AE33" s="31"/>
    </row>
    <row r="34" spans="1:31" ht="20.100000000000001" customHeight="1">
      <c r="A34" s="75"/>
      <c r="B34" s="75"/>
      <c r="C34" s="75"/>
      <c r="D34" s="75"/>
      <c r="E34" s="75"/>
      <c r="F34" s="75"/>
      <c r="G34" s="75"/>
      <c r="H34" s="75"/>
      <c r="I34" s="77" t="str">
        <f>W34</f>
        <v>Kiti odos piktybiniai navikai</v>
      </c>
      <c r="J34" s="75"/>
      <c r="K34" s="75"/>
      <c r="L34" s="75"/>
      <c r="M34" s="75"/>
      <c r="N34" s="75"/>
      <c r="O34" s="75"/>
      <c r="P34" s="75"/>
      <c r="Q34" s="75"/>
      <c r="R34" s="75"/>
      <c r="S34" s="77" t="str">
        <f>AA34</f>
        <v>Krūties</v>
      </c>
      <c r="T34" s="75"/>
      <c r="U34" s="75"/>
      <c r="V34" s="31"/>
      <c r="W34" s="243" t="s">
        <v>216</v>
      </c>
      <c r="X34" s="243">
        <v>14</v>
      </c>
      <c r="Y34" s="260">
        <v>7.2916666666666671E-2</v>
      </c>
      <c r="Z34" s="243"/>
      <c r="AA34" s="243" t="s">
        <v>234</v>
      </c>
      <c r="AB34" s="243">
        <v>358</v>
      </c>
      <c r="AC34" s="260">
        <v>6.8582375478927204E-2</v>
      </c>
      <c r="AD34" s="31"/>
      <c r="AE34" s="31"/>
    </row>
    <row r="35" spans="1:31" ht="20.100000000000001" customHeight="1">
      <c r="A35" s="75"/>
      <c r="B35" s="75"/>
      <c r="C35" s="75"/>
      <c r="D35" s="75"/>
      <c r="E35" s="75"/>
      <c r="F35" s="75"/>
      <c r="G35" s="75"/>
      <c r="H35" s="75"/>
      <c r="I35" s="77" t="str">
        <f>W33</f>
        <v>Leukemijos</v>
      </c>
      <c r="J35" s="75"/>
      <c r="K35" s="75"/>
      <c r="L35" s="75"/>
      <c r="M35" s="75"/>
      <c r="N35" s="75"/>
      <c r="O35" s="75"/>
      <c r="P35" s="75"/>
      <c r="Q35" s="75"/>
      <c r="R35" s="75"/>
      <c r="S35" s="77" t="str">
        <f>AA33</f>
        <v>Skrandžio</v>
      </c>
      <c r="T35" s="75"/>
      <c r="U35" s="75"/>
      <c r="V35" s="31"/>
      <c r="W35" s="243" t="s">
        <v>221</v>
      </c>
      <c r="X35" s="243">
        <v>14</v>
      </c>
      <c r="Y35" s="260">
        <v>7.2916666666666671E-2</v>
      </c>
      <c r="Z35" s="243"/>
      <c r="AA35" s="243" t="s">
        <v>214</v>
      </c>
      <c r="AB35" s="243">
        <v>359</v>
      </c>
      <c r="AC35" s="260">
        <v>6.8773946360153257E-2</v>
      </c>
      <c r="AD35" s="31"/>
      <c r="AE35" s="31"/>
    </row>
    <row r="36" spans="1:31" ht="20.100000000000001" customHeight="1">
      <c r="A36" s="75"/>
      <c r="B36" s="75"/>
      <c r="C36" s="75"/>
      <c r="D36" s="75"/>
      <c r="E36" s="75"/>
      <c r="F36" s="75"/>
      <c r="G36" s="75"/>
      <c r="H36" s="75"/>
      <c r="I36" s="77" t="str">
        <f>W32</f>
        <v>Smegenų</v>
      </c>
      <c r="J36" s="75"/>
      <c r="K36" s="75"/>
      <c r="L36" s="75"/>
      <c r="M36" s="75"/>
      <c r="N36" s="75"/>
      <c r="O36" s="75"/>
      <c r="P36" s="75"/>
      <c r="Q36" s="75"/>
      <c r="R36" s="75"/>
      <c r="S36" s="77" t="str">
        <f>AA32</f>
        <v>Tiesiosios žarnos, išangės</v>
      </c>
      <c r="T36" s="75"/>
      <c r="U36" s="75"/>
      <c r="V36" s="31"/>
      <c r="W36" s="243" t="s">
        <v>232</v>
      </c>
      <c r="X36" s="243">
        <v>17</v>
      </c>
      <c r="Y36" s="260">
        <v>8.8541666666666671E-2</v>
      </c>
      <c r="Z36" s="243"/>
      <c r="AA36" s="243" t="s">
        <v>217</v>
      </c>
      <c r="AB36" s="243">
        <v>401</v>
      </c>
      <c r="AC36" s="260">
        <v>7.6819923371647503E-2</v>
      </c>
      <c r="AD36" s="31"/>
      <c r="AE36" s="31"/>
    </row>
    <row r="37" spans="1:31" ht="20.100000000000001" customHeight="1">
      <c r="A37" s="75"/>
      <c r="B37" s="75"/>
      <c r="C37" s="75"/>
      <c r="D37" s="75"/>
      <c r="E37" s="75"/>
      <c r="F37" s="75"/>
      <c r="G37" s="75"/>
      <c r="H37" s="75"/>
      <c r="I37" s="77" t="str">
        <f>W31</f>
        <v>Kiaušidžių</v>
      </c>
      <c r="J37" s="75"/>
      <c r="K37" s="75"/>
      <c r="L37" s="75"/>
      <c r="M37" s="75"/>
      <c r="N37" s="75"/>
      <c r="O37" s="75"/>
      <c r="P37" s="75"/>
      <c r="Q37" s="75"/>
      <c r="R37" s="75"/>
      <c r="S37" s="77" t="str">
        <f>AA31</f>
        <v>Nepatikslintos lokalizacijos</v>
      </c>
      <c r="T37" s="75"/>
      <c r="U37" s="75"/>
      <c r="V37" s="31"/>
      <c r="W37" s="243" t="s">
        <v>223</v>
      </c>
      <c r="X37" s="243">
        <v>23</v>
      </c>
      <c r="Y37" s="260">
        <v>0.11979166666666667</v>
      </c>
      <c r="Z37" s="243"/>
      <c r="AA37" s="243" t="s">
        <v>218</v>
      </c>
      <c r="AB37" s="243">
        <v>600</v>
      </c>
      <c r="AC37" s="260">
        <v>0.11494252873563218</v>
      </c>
      <c r="AD37" s="31"/>
      <c r="AE37" s="31"/>
    </row>
    <row r="38" spans="1:31" ht="20.100000000000001" customHeight="1">
      <c r="A38" s="75"/>
      <c r="B38" s="75"/>
      <c r="C38" s="75"/>
      <c r="D38" s="75"/>
      <c r="E38" s="75"/>
      <c r="F38" s="75"/>
      <c r="G38" s="75"/>
      <c r="H38" s="75"/>
      <c r="I38" s="77" t="str">
        <f>W30</f>
        <v>Kaulų ir jungiamojo audinio</v>
      </c>
      <c r="J38" s="75"/>
      <c r="K38" s="75"/>
      <c r="L38" s="75"/>
      <c r="M38" s="75"/>
      <c r="N38" s="75"/>
      <c r="O38" s="75"/>
      <c r="P38" s="75"/>
      <c r="Q38" s="75"/>
      <c r="R38" s="75"/>
      <c r="S38" s="77" t="str">
        <f>AA30</f>
        <v>Kasos</v>
      </c>
      <c r="T38" s="75"/>
      <c r="U38" s="75"/>
      <c r="V38" s="31"/>
      <c r="W38" s="243" t="s">
        <v>222</v>
      </c>
      <c r="X38" s="243">
        <v>27</v>
      </c>
      <c r="Y38" s="260">
        <v>0.140625</v>
      </c>
      <c r="Z38" s="243"/>
      <c r="AA38" s="243" t="s">
        <v>216</v>
      </c>
      <c r="AB38" s="243">
        <v>941</v>
      </c>
      <c r="AC38" s="260">
        <v>0.18026819923371648</v>
      </c>
      <c r="AD38" s="31"/>
      <c r="AE38" s="31"/>
    </row>
    <row r="39" spans="1:31" ht="20.100000000000001" customHeight="1">
      <c r="A39" s="75"/>
      <c r="B39" s="75"/>
      <c r="C39" s="75"/>
      <c r="D39" s="75"/>
      <c r="E39" s="75"/>
      <c r="F39" s="75"/>
      <c r="G39" s="75"/>
      <c r="H39" s="75"/>
      <c r="I39" s="77" t="str">
        <f>W29</f>
        <v>Odos melanoma</v>
      </c>
      <c r="J39" s="75"/>
      <c r="K39" s="75"/>
      <c r="L39" s="75"/>
      <c r="M39" s="75"/>
      <c r="N39" s="75"/>
      <c r="O39" s="75"/>
      <c r="P39" s="75"/>
      <c r="Q39" s="75"/>
      <c r="R39" s="75"/>
      <c r="S39" s="77" t="str">
        <f>AA29</f>
        <v>Leukemijos</v>
      </c>
      <c r="T39" s="75"/>
      <c r="U39" s="75"/>
      <c r="V39" s="31"/>
      <c r="W39" s="307" t="s">
        <v>210</v>
      </c>
      <c r="X39" s="243">
        <v>192</v>
      </c>
      <c r="Y39" s="260">
        <v>0.99999999999999989</v>
      </c>
      <c r="Z39" s="243"/>
      <c r="AA39" s="307" t="s">
        <v>210</v>
      </c>
      <c r="AB39" s="243">
        <v>5220</v>
      </c>
      <c r="AC39" s="260">
        <v>0.99999999999999989</v>
      </c>
      <c r="AD39" s="31"/>
      <c r="AE39" s="31"/>
    </row>
    <row r="40" spans="1:31" ht="20.100000000000001" customHeight="1">
      <c r="A40" s="75"/>
      <c r="B40" s="75"/>
      <c r="C40" s="75"/>
      <c r="D40" s="75"/>
      <c r="E40" s="75"/>
      <c r="F40" s="75"/>
      <c r="G40" s="75"/>
      <c r="H40" s="75"/>
      <c r="I40" s="77" t="str">
        <f>W28</f>
        <v>Kiti</v>
      </c>
      <c r="J40" s="75"/>
      <c r="K40" s="75"/>
      <c r="L40" s="75"/>
      <c r="M40" s="75"/>
      <c r="N40" s="75"/>
      <c r="O40" s="75"/>
      <c r="P40" s="75"/>
      <c r="Q40" s="75"/>
      <c r="R40" s="75"/>
      <c r="S40" s="77" t="str">
        <f>AA28</f>
        <v>Kiti</v>
      </c>
      <c r="T40" s="75"/>
      <c r="U40" s="75"/>
      <c r="V40" s="31"/>
      <c r="W40" s="410"/>
      <c r="X40" s="410"/>
      <c r="Y40" s="410"/>
      <c r="Z40" s="243"/>
      <c r="AA40" s="410"/>
      <c r="AB40" s="410"/>
      <c r="AC40" s="410"/>
      <c r="AD40" s="31"/>
      <c r="AE40" s="31"/>
    </row>
    <row r="41" spans="1:31" ht="24.9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31"/>
      <c r="W41" s="243"/>
      <c r="X41" s="243"/>
      <c r="Y41" s="263"/>
      <c r="Z41" s="243"/>
      <c r="AA41" s="243"/>
      <c r="AB41" s="243"/>
      <c r="AC41" s="263"/>
      <c r="AD41" s="31"/>
      <c r="AE41" s="31"/>
    </row>
    <row r="42" spans="1:3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1"/>
      <c r="X42" s="31"/>
      <c r="Y42" s="31"/>
      <c r="Z42" s="31"/>
      <c r="AA42" s="31"/>
      <c r="AB42" s="31"/>
      <c r="AC42" s="31"/>
      <c r="AD42" s="31"/>
      <c r="AE42" s="31"/>
    </row>
    <row r="43" spans="1:31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242"/>
      <c r="M43" s="31"/>
      <c r="N43" s="31"/>
      <c r="O43" s="31"/>
      <c r="P43" s="31"/>
      <c r="Q43" s="31"/>
      <c r="R43" s="31"/>
      <c r="S43" s="31"/>
      <c r="T43" s="31"/>
      <c r="U43" s="31"/>
      <c r="V43" s="31"/>
      <c r="W43" s="31"/>
      <c r="X43" s="31"/>
      <c r="Y43" s="31"/>
      <c r="Z43" s="31"/>
      <c r="AA43" s="31"/>
      <c r="AB43" s="31"/>
      <c r="AC43" s="31"/>
      <c r="AD43" s="31"/>
      <c r="AE43" s="31"/>
    </row>
    <row r="44" spans="1:31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31"/>
      <c r="L44" s="31"/>
      <c r="M44" s="31"/>
      <c r="N44" s="31"/>
      <c r="O44" s="31"/>
      <c r="P44" s="31"/>
      <c r="Q44" s="31"/>
      <c r="R44" s="31"/>
      <c r="S44" s="31"/>
      <c r="T44" s="31"/>
      <c r="U44" s="31"/>
      <c r="V44" s="31"/>
      <c r="W44" s="31"/>
      <c r="X44" s="31"/>
      <c r="Y44" s="31"/>
      <c r="Z44" s="31"/>
      <c r="AA44" s="31"/>
      <c r="AB44" s="31"/>
      <c r="AC44" s="31"/>
      <c r="AD44" s="31"/>
      <c r="AE44" s="31"/>
    </row>
  </sheetData>
  <mergeCells count="14">
    <mergeCell ref="W1:Y1"/>
    <mergeCell ref="AA1:AC1"/>
    <mergeCell ref="C3:I3"/>
    <mergeCell ref="M3:S3"/>
    <mergeCell ref="W14:Y14"/>
    <mergeCell ref="AA14:AC14"/>
    <mergeCell ref="W40:Y40"/>
    <mergeCell ref="AA40:AC40"/>
    <mergeCell ref="C16:I16"/>
    <mergeCell ref="M16:S16"/>
    <mergeCell ref="W27:Y27"/>
    <mergeCell ref="AA27:AC27"/>
    <mergeCell ref="C29:I29"/>
    <mergeCell ref="M29:S29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>
    <tabColor theme="6" tint="0.39997558519241921"/>
  </sheetPr>
  <dimension ref="A1:AE84"/>
  <sheetViews>
    <sheetView zoomScaleNormal="100" workbookViewId="0">
      <selection activeCell="D1" sqref="D1"/>
    </sheetView>
  </sheetViews>
  <sheetFormatPr defaultRowHeight="12.75"/>
  <cols>
    <col min="1" max="1" width="6.7109375" customWidth="1"/>
    <col min="2" max="2" width="0.140625" customWidth="1"/>
    <col min="3" max="6" width="7.7109375" customWidth="1"/>
    <col min="7" max="7" width="4.7109375" customWidth="1"/>
    <col min="8" max="8" width="10.7109375" customWidth="1"/>
    <col min="9" max="9" width="7.7109375" customWidth="1"/>
    <col min="10" max="10" width="0.85546875" customWidth="1"/>
    <col min="11" max="11" width="2.7109375" customWidth="1"/>
    <col min="12" max="12" width="0.85546875" customWidth="1"/>
    <col min="13" max="16" width="7.7109375" customWidth="1"/>
    <col min="17" max="17" width="4.7109375" customWidth="1"/>
    <col min="18" max="18" width="10.7109375" customWidth="1"/>
    <col min="19" max="19" width="7.7109375" customWidth="1"/>
    <col min="20" max="20" width="0.140625" customWidth="1"/>
    <col min="21" max="21" width="7.7109375" customWidth="1"/>
    <col min="23" max="23" width="31.5703125" bestFit="1" customWidth="1"/>
    <col min="24" max="24" width="5" bestFit="1" customWidth="1"/>
    <col min="25" max="25" width="5.7109375" bestFit="1" customWidth="1"/>
    <col min="26" max="26" width="8.5703125" bestFit="1" customWidth="1"/>
    <col min="27" max="27" width="34.140625" bestFit="1" customWidth="1"/>
    <col min="28" max="28" width="5" bestFit="1" customWidth="1"/>
    <col min="29" max="29" width="5.7109375" bestFit="1" customWidth="1"/>
    <col min="31" max="31" width="9.42578125" bestFit="1" customWidth="1"/>
  </cols>
  <sheetData>
    <row r="1" spans="1:31" ht="20.100000000000001" customHeight="1">
      <c r="A1" s="352">
        <v>2014</v>
      </c>
      <c r="B1" s="352"/>
      <c r="C1" s="352" t="s">
        <v>406</v>
      </c>
      <c r="D1" s="244" t="s">
        <v>615</v>
      </c>
      <c r="E1" s="352" t="s">
        <v>426</v>
      </c>
      <c r="F1" s="350"/>
      <c r="G1" s="351" t="s">
        <v>407</v>
      </c>
      <c r="H1" s="350"/>
      <c r="I1" s="350"/>
      <c r="J1" s="350"/>
      <c r="K1" s="350"/>
      <c r="L1" s="350"/>
      <c r="M1" s="350"/>
      <c r="N1" s="350"/>
      <c r="O1" s="350"/>
      <c r="P1" s="350"/>
      <c r="Q1" s="350"/>
      <c r="R1" s="350"/>
      <c r="S1" s="31"/>
      <c r="T1" s="31"/>
      <c r="U1" s="31"/>
      <c r="V1" s="31"/>
      <c r="W1" s="412" t="s">
        <v>453</v>
      </c>
      <c r="X1" s="412"/>
      <c r="Y1" s="412"/>
      <c r="Z1" s="350"/>
      <c r="AA1" s="412" t="s">
        <v>459</v>
      </c>
      <c r="AB1" s="412"/>
      <c r="AC1" s="412"/>
      <c r="AD1" s="350"/>
    </row>
    <row r="2" spans="1:31" ht="20.100000000000001" customHeight="1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31"/>
      <c r="W2" s="350" t="s">
        <v>26</v>
      </c>
      <c r="X2" s="350">
        <v>1837</v>
      </c>
      <c r="Y2" s="366">
        <v>0.19197408297627755</v>
      </c>
      <c r="Z2" s="350"/>
      <c r="AA2" s="350" t="s">
        <v>26</v>
      </c>
      <c r="AB2" s="350">
        <v>2153</v>
      </c>
      <c r="AC2" s="366">
        <v>0.26011840038661349</v>
      </c>
      <c r="AD2" s="350"/>
      <c r="AE2" s="31"/>
    </row>
    <row r="3" spans="1:31" ht="24.95" customHeight="1">
      <c r="A3" s="75"/>
      <c r="B3" s="75"/>
      <c r="C3" s="411" t="str">
        <f>W1</f>
        <v>Vyrai, visos amžiaus grupės (9569 atv.)</v>
      </c>
      <c r="D3" s="411"/>
      <c r="E3" s="411"/>
      <c r="F3" s="411"/>
      <c r="G3" s="411"/>
      <c r="H3" s="411"/>
      <c r="I3" s="411"/>
      <c r="J3" s="76"/>
      <c r="K3" s="75"/>
      <c r="L3" s="75"/>
      <c r="M3" s="411" t="str">
        <f>AA1</f>
        <v>Moterys, visos amžiaus grupės (8277 atv.)</v>
      </c>
      <c r="N3" s="411"/>
      <c r="O3" s="411"/>
      <c r="P3" s="411"/>
      <c r="Q3" s="411"/>
      <c r="R3" s="411"/>
      <c r="S3" s="411"/>
      <c r="T3" s="75"/>
      <c r="U3" s="75"/>
      <c r="V3" s="31"/>
      <c r="W3" s="350" t="s">
        <v>211</v>
      </c>
      <c r="X3" s="350">
        <v>272</v>
      </c>
      <c r="Y3" s="366">
        <v>2.8425122792350297E-2</v>
      </c>
      <c r="Z3" s="350"/>
      <c r="AA3" s="350" t="s">
        <v>213</v>
      </c>
      <c r="AB3" s="350">
        <v>266</v>
      </c>
      <c r="AC3" s="366">
        <v>3.2137247795094838E-2</v>
      </c>
      <c r="AD3" s="350"/>
      <c r="AE3" s="31"/>
    </row>
    <row r="4" spans="1:31" ht="20.100000000000001" customHeight="1">
      <c r="A4" s="75"/>
      <c r="B4" s="75"/>
      <c r="C4" s="75"/>
      <c r="D4" s="75"/>
      <c r="E4" s="75"/>
      <c r="F4" s="75"/>
      <c r="G4" s="75"/>
      <c r="H4" s="75"/>
      <c r="I4" s="77" t="str">
        <f>W12</f>
        <v>Priešinės liaukos</v>
      </c>
      <c r="J4" s="77"/>
      <c r="K4" s="75"/>
      <c r="L4" s="75"/>
      <c r="M4" s="75"/>
      <c r="N4" s="75"/>
      <c r="O4" s="75"/>
      <c r="P4" s="75"/>
      <c r="Q4" s="75"/>
      <c r="R4" s="75"/>
      <c r="S4" s="77" t="str">
        <f>AA12</f>
        <v>Krūties</v>
      </c>
      <c r="T4" s="75"/>
      <c r="U4" s="75"/>
      <c r="V4" s="31"/>
      <c r="W4" s="350" t="s">
        <v>220</v>
      </c>
      <c r="X4" s="350">
        <v>272</v>
      </c>
      <c r="Y4" s="366">
        <v>2.8425122792350297E-2</v>
      </c>
      <c r="Z4" s="350"/>
      <c r="AA4" s="350" t="s">
        <v>222</v>
      </c>
      <c r="AB4" s="350">
        <v>294</v>
      </c>
      <c r="AC4" s="366">
        <v>3.5520115984052192E-2</v>
      </c>
      <c r="AD4" s="350"/>
      <c r="AE4" s="31"/>
    </row>
    <row r="5" spans="1:31" ht="20.100000000000001" customHeight="1">
      <c r="A5" s="75"/>
      <c r="B5" s="75"/>
      <c r="C5" s="75"/>
      <c r="D5" s="75"/>
      <c r="E5" s="75"/>
      <c r="F5" s="75"/>
      <c r="G5" s="75"/>
      <c r="H5" s="75"/>
      <c r="I5" s="77" t="str">
        <f>W11</f>
        <v>Plaučių, trachėjos, bronchų</v>
      </c>
      <c r="J5" s="77"/>
      <c r="K5" s="75"/>
      <c r="L5" s="75"/>
      <c r="M5" s="75"/>
      <c r="N5" s="75"/>
      <c r="O5" s="75"/>
      <c r="P5" s="75"/>
      <c r="Q5" s="75"/>
      <c r="R5" s="75"/>
      <c r="S5" s="77" t="str">
        <f>AA11</f>
        <v>Kiti odos piktybiniai navikai</v>
      </c>
      <c r="T5" s="75"/>
      <c r="U5" s="75"/>
      <c r="V5" s="31"/>
      <c r="W5" s="350" t="s">
        <v>219</v>
      </c>
      <c r="X5" s="350">
        <v>273</v>
      </c>
      <c r="Y5" s="366">
        <v>2.8529626920263351E-2</v>
      </c>
      <c r="Z5" s="350"/>
      <c r="AA5" s="350" t="s">
        <v>212</v>
      </c>
      <c r="AB5" s="350">
        <v>327</v>
      </c>
      <c r="AC5" s="366">
        <v>3.9507067778180499E-2</v>
      </c>
      <c r="AD5" s="350"/>
      <c r="AE5" s="31"/>
    </row>
    <row r="6" spans="1:31" ht="20.100000000000001" customHeight="1">
      <c r="A6" s="75"/>
      <c r="B6" s="75"/>
      <c r="C6" s="75"/>
      <c r="D6" s="75"/>
      <c r="E6" s="75"/>
      <c r="F6" s="75"/>
      <c r="G6" s="75"/>
      <c r="H6" s="75"/>
      <c r="I6" s="77" t="str">
        <f>W10</f>
        <v>Kiti odos piktybiniai navikai</v>
      </c>
      <c r="J6" s="77"/>
      <c r="K6" s="75"/>
      <c r="L6" s="75"/>
      <c r="M6" s="75"/>
      <c r="N6" s="75"/>
      <c r="O6" s="75"/>
      <c r="P6" s="75"/>
      <c r="Q6" s="75"/>
      <c r="R6" s="75"/>
      <c r="S6" s="77" t="str">
        <f>AA10</f>
        <v>Gimdos kūno</v>
      </c>
      <c r="T6" s="75"/>
      <c r="U6" s="75"/>
      <c r="V6" s="31"/>
      <c r="W6" s="350" t="s">
        <v>212</v>
      </c>
      <c r="X6" s="350">
        <v>351</v>
      </c>
      <c r="Y6" s="366">
        <v>3.6680948897481448E-2</v>
      </c>
      <c r="Z6" s="350"/>
      <c r="AA6" s="350" t="s">
        <v>215</v>
      </c>
      <c r="AB6" s="350">
        <v>353</v>
      </c>
      <c r="AC6" s="366">
        <v>4.2648302525069473E-2</v>
      </c>
      <c r="AD6" s="350"/>
      <c r="AE6" s="31"/>
    </row>
    <row r="7" spans="1:31" ht="20.100000000000001" customHeight="1">
      <c r="A7" s="75"/>
      <c r="B7" s="75"/>
      <c r="C7" s="75"/>
      <c r="D7" s="75"/>
      <c r="E7" s="75"/>
      <c r="F7" s="75"/>
      <c r="G7" s="75"/>
      <c r="H7" s="75"/>
      <c r="I7" s="77" t="str">
        <f>W9</f>
        <v>Skrandžio</v>
      </c>
      <c r="J7" s="77"/>
      <c r="K7" s="75"/>
      <c r="L7" s="75"/>
      <c r="M7" s="75"/>
      <c r="N7" s="75"/>
      <c r="O7" s="75"/>
      <c r="P7" s="75"/>
      <c r="Q7" s="75"/>
      <c r="R7" s="75"/>
      <c r="S7" s="77" t="str">
        <f>AA9</f>
        <v>Gaubtinės žarnos</v>
      </c>
      <c r="T7" s="75"/>
      <c r="U7" s="75"/>
      <c r="V7" s="31"/>
      <c r="W7" s="350" t="s">
        <v>214</v>
      </c>
      <c r="X7" s="350">
        <v>403</v>
      </c>
      <c r="Y7" s="366">
        <v>4.2115163548960187E-2</v>
      </c>
      <c r="Z7" s="350"/>
      <c r="AA7" s="350" t="s">
        <v>232</v>
      </c>
      <c r="AB7" s="350">
        <v>366</v>
      </c>
      <c r="AC7" s="366">
        <v>4.4218919898513953E-2</v>
      </c>
      <c r="AD7" s="350"/>
      <c r="AE7" s="31"/>
    </row>
    <row r="8" spans="1:31" ht="20.100000000000001" customHeight="1">
      <c r="A8" s="75"/>
      <c r="B8" s="75"/>
      <c r="C8" s="75"/>
      <c r="D8" s="75"/>
      <c r="E8" s="75"/>
      <c r="F8" s="75"/>
      <c r="G8" s="75"/>
      <c r="H8" s="75"/>
      <c r="I8" s="77" t="str">
        <f>W8</f>
        <v>Inkstų</v>
      </c>
      <c r="J8" s="77"/>
      <c r="K8" s="75"/>
      <c r="L8" s="75"/>
      <c r="M8" s="75"/>
      <c r="N8" s="75"/>
      <c r="O8" s="75"/>
      <c r="P8" s="75"/>
      <c r="Q8" s="75"/>
      <c r="R8" s="75"/>
      <c r="S8" s="77" t="str">
        <f>AA8</f>
        <v>Kiaušidžių</v>
      </c>
      <c r="T8" s="75"/>
      <c r="U8" s="75"/>
      <c r="V8" s="31"/>
      <c r="W8" s="350" t="s">
        <v>213</v>
      </c>
      <c r="X8" s="350">
        <v>421</v>
      </c>
      <c r="Y8" s="366">
        <v>4.3996237851395129E-2</v>
      </c>
      <c r="Z8" s="350"/>
      <c r="AA8" s="350" t="s">
        <v>231</v>
      </c>
      <c r="AB8" s="350">
        <v>404</v>
      </c>
      <c r="AC8" s="366">
        <v>4.8809955297813221E-2</v>
      </c>
      <c r="AD8" s="350"/>
      <c r="AE8" s="31"/>
    </row>
    <row r="9" spans="1:31" ht="20.100000000000001" customHeight="1">
      <c r="A9" s="75"/>
      <c r="B9" s="75"/>
      <c r="C9" s="75"/>
      <c r="D9" s="75"/>
      <c r="E9" s="75"/>
      <c r="F9" s="75"/>
      <c r="G9" s="75"/>
      <c r="H9" s="75"/>
      <c r="I9" s="77" t="str">
        <f>W7</f>
        <v>Gaubtinės žarnos</v>
      </c>
      <c r="J9" s="77"/>
      <c r="K9" s="75"/>
      <c r="L9" s="75"/>
      <c r="M9" s="75"/>
      <c r="N9" s="75"/>
      <c r="O9" s="75"/>
      <c r="P9" s="75"/>
      <c r="Q9" s="75"/>
      <c r="R9" s="75"/>
      <c r="S9" s="77" t="str">
        <f>AA7</f>
        <v>Gimdos kaklelio</v>
      </c>
      <c r="T9" s="75"/>
      <c r="U9" s="75"/>
      <c r="V9" s="31"/>
      <c r="W9" s="350" t="s">
        <v>215</v>
      </c>
      <c r="X9" s="350">
        <v>467</v>
      </c>
      <c r="Y9" s="366">
        <v>4.8803427735395546E-2</v>
      </c>
      <c r="Z9" s="350"/>
      <c r="AA9" s="350" t="s">
        <v>214</v>
      </c>
      <c r="AB9" s="350">
        <v>468</v>
      </c>
      <c r="AC9" s="366">
        <v>5.6542225444001448E-2</v>
      </c>
      <c r="AD9" s="350"/>
      <c r="AE9" s="31"/>
    </row>
    <row r="10" spans="1:31" ht="20.100000000000001" customHeight="1">
      <c r="A10" s="75"/>
      <c r="B10" s="75"/>
      <c r="C10" s="75"/>
      <c r="D10" s="75"/>
      <c r="E10" s="75"/>
      <c r="F10" s="75"/>
      <c r="G10" s="75"/>
      <c r="H10" s="75"/>
      <c r="I10" s="77" t="str">
        <f>W6</f>
        <v>Tiesiosios žarnos, išangės</v>
      </c>
      <c r="J10" s="77"/>
      <c r="K10" s="75"/>
      <c r="L10" s="75"/>
      <c r="M10" s="75"/>
      <c r="N10" s="75"/>
      <c r="O10" s="75"/>
      <c r="P10" s="75"/>
      <c r="Q10" s="75"/>
      <c r="R10" s="75"/>
      <c r="S10" s="77" t="str">
        <f>AA6</f>
        <v>Skrandžio</v>
      </c>
      <c r="T10" s="75"/>
      <c r="U10" s="75"/>
      <c r="V10" s="31"/>
      <c r="W10" s="350" t="s">
        <v>216</v>
      </c>
      <c r="X10" s="350">
        <v>867</v>
      </c>
      <c r="Y10" s="366">
        <v>9.0605078900616573E-2</v>
      </c>
      <c r="Z10" s="350"/>
      <c r="AA10" s="350" t="s">
        <v>233</v>
      </c>
      <c r="AB10" s="350">
        <v>616</v>
      </c>
      <c r="AC10" s="366">
        <v>7.4423100157061731E-2</v>
      </c>
      <c r="AD10" s="350"/>
      <c r="AE10" s="31"/>
    </row>
    <row r="11" spans="1:31" ht="20.100000000000001" customHeight="1">
      <c r="A11" s="75"/>
      <c r="B11" s="75"/>
      <c r="C11" s="75"/>
      <c r="D11" s="75"/>
      <c r="E11" s="75"/>
      <c r="F11" s="75"/>
      <c r="G11" s="75"/>
      <c r="H11" s="75"/>
      <c r="I11" s="77" t="str">
        <f>W5</f>
        <v>Kasos</v>
      </c>
      <c r="J11" s="77"/>
      <c r="K11" s="75"/>
      <c r="L11" s="75"/>
      <c r="M11" s="75"/>
      <c r="N11" s="75"/>
      <c r="O11" s="75"/>
      <c r="P11" s="75"/>
      <c r="Q11" s="75"/>
      <c r="R11" s="75"/>
      <c r="S11" s="77" t="str">
        <f>AA5</f>
        <v>Tiesiosios žarnos, išangės</v>
      </c>
      <c r="T11" s="75"/>
      <c r="U11" s="75"/>
      <c r="V11" s="31"/>
      <c r="W11" s="350" t="s">
        <v>217</v>
      </c>
      <c r="X11" s="350">
        <v>1176</v>
      </c>
      <c r="Y11" s="366">
        <v>0.12289685442574981</v>
      </c>
      <c r="Z11" s="350"/>
      <c r="AA11" s="350" t="s">
        <v>216</v>
      </c>
      <c r="AB11" s="350">
        <v>1375</v>
      </c>
      <c r="AC11" s="366">
        <v>0.16612299142201281</v>
      </c>
      <c r="AD11" s="350"/>
      <c r="AE11" s="31"/>
    </row>
    <row r="12" spans="1:31" ht="20.100000000000001" customHeight="1">
      <c r="A12" s="75"/>
      <c r="B12" s="75"/>
      <c r="C12" s="75"/>
      <c r="D12" s="75"/>
      <c r="E12" s="75"/>
      <c r="F12" s="75"/>
      <c r="G12" s="75"/>
      <c r="H12" s="75"/>
      <c r="I12" s="77" t="str">
        <f>W4</f>
        <v>Šlapimo pūslės</v>
      </c>
      <c r="J12" s="77"/>
      <c r="K12" s="75"/>
      <c r="L12" s="75"/>
      <c r="M12" s="75"/>
      <c r="N12" s="75"/>
      <c r="O12" s="75"/>
      <c r="P12" s="75"/>
      <c r="Q12" s="75"/>
      <c r="R12" s="75"/>
      <c r="S12" s="77" t="str">
        <f>AA4</f>
        <v>Skydliaukės</v>
      </c>
      <c r="T12" s="75"/>
      <c r="U12" s="75"/>
      <c r="V12" s="31"/>
      <c r="W12" s="350" t="s">
        <v>218</v>
      </c>
      <c r="X12" s="350">
        <v>3230</v>
      </c>
      <c r="Y12" s="366">
        <v>0.33754833315915977</v>
      </c>
      <c r="Z12" s="350"/>
      <c r="AA12" s="350" t="s">
        <v>234</v>
      </c>
      <c r="AB12" s="350">
        <v>1655</v>
      </c>
      <c r="AC12" s="366">
        <v>0.19995167331158634</v>
      </c>
      <c r="AD12" s="350"/>
      <c r="AE12" s="31"/>
    </row>
    <row r="13" spans="1:31" ht="20.100000000000001" customHeight="1">
      <c r="A13" s="75"/>
      <c r="B13" s="75"/>
      <c r="C13" s="75"/>
      <c r="D13" s="75"/>
      <c r="E13" s="75"/>
      <c r="F13" s="75"/>
      <c r="G13" s="75"/>
      <c r="H13" s="75"/>
      <c r="I13" s="77" t="str">
        <f>W3</f>
        <v>Burnos ertmės ir ryklės</v>
      </c>
      <c r="J13" s="77"/>
      <c r="K13" s="75"/>
      <c r="L13" s="75"/>
      <c r="M13" s="75"/>
      <c r="N13" s="75"/>
      <c r="O13" s="75"/>
      <c r="P13" s="75"/>
      <c r="Q13" s="75"/>
      <c r="R13" s="75"/>
      <c r="S13" s="77" t="str">
        <f>AA3</f>
        <v>Inkstų</v>
      </c>
      <c r="T13" s="75"/>
      <c r="U13" s="75"/>
      <c r="V13" s="31"/>
      <c r="W13" s="365" t="s">
        <v>210</v>
      </c>
      <c r="X13" s="350">
        <v>9569</v>
      </c>
      <c r="Y13" s="366">
        <v>0.99999999999999989</v>
      </c>
      <c r="Z13" s="350"/>
      <c r="AA13" s="365" t="s">
        <v>210</v>
      </c>
      <c r="AB13" s="350">
        <v>8277</v>
      </c>
      <c r="AC13" s="366">
        <v>1</v>
      </c>
      <c r="AD13" s="350"/>
      <c r="AE13" s="31"/>
    </row>
    <row r="14" spans="1:31" ht="20.100000000000001" customHeight="1">
      <c r="A14" s="75"/>
      <c r="B14" s="75"/>
      <c r="C14" s="75"/>
      <c r="D14" s="75"/>
      <c r="E14" s="75"/>
      <c r="F14" s="75"/>
      <c r="G14" s="75"/>
      <c r="H14" s="75"/>
      <c r="I14" s="77" t="str">
        <f>W2</f>
        <v>Kiti</v>
      </c>
      <c r="J14" s="77"/>
      <c r="K14" s="75"/>
      <c r="L14" s="75"/>
      <c r="M14" s="75"/>
      <c r="N14" s="75"/>
      <c r="O14" s="75"/>
      <c r="P14" s="75"/>
      <c r="Q14" s="75"/>
      <c r="R14" s="75"/>
      <c r="S14" s="77" t="str">
        <f>AA2</f>
        <v>Kiti</v>
      </c>
      <c r="T14" s="75"/>
      <c r="U14" s="75"/>
      <c r="V14" s="31"/>
      <c r="W14" s="412" t="s">
        <v>454</v>
      </c>
      <c r="X14" s="412"/>
      <c r="Y14" s="412"/>
      <c r="Z14" s="350"/>
      <c r="AA14" s="412" t="s">
        <v>460</v>
      </c>
      <c r="AB14" s="412"/>
      <c r="AC14" s="412"/>
      <c r="AD14" s="350"/>
      <c r="AE14" s="31"/>
    </row>
    <row r="15" spans="1:31" ht="24.95" customHeight="1">
      <c r="A15" s="75"/>
      <c r="B15" s="75"/>
      <c r="C15" s="75"/>
      <c r="D15" s="75"/>
      <c r="E15" s="75"/>
      <c r="F15" s="75"/>
      <c r="G15" s="75"/>
      <c r="H15" s="75"/>
      <c r="I15" s="75"/>
      <c r="J15" s="75"/>
      <c r="K15" s="75"/>
      <c r="L15" s="75"/>
      <c r="M15" s="75"/>
      <c r="N15" s="75"/>
      <c r="O15" s="75"/>
      <c r="P15" s="75"/>
      <c r="Q15" s="75"/>
      <c r="R15" s="75"/>
      <c r="S15" s="75"/>
      <c r="T15" s="75"/>
      <c r="U15" s="75"/>
      <c r="V15" s="31"/>
      <c r="W15" s="350" t="s">
        <v>26</v>
      </c>
      <c r="X15" s="350">
        <v>0</v>
      </c>
      <c r="Y15" s="366">
        <f>VALUE(0.001%)</f>
        <v>1.0000000000000001E-5</v>
      </c>
      <c r="Z15" s="350"/>
      <c r="AA15" s="350"/>
      <c r="AB15" s="350"/>
      <c r="AC15" s="350"/>
      <c r="AD15" s="350"/>
      <c r="AE15" s="31"/>
    </row>
    <row r="16" spans="1:31" ht="24.95" customHeight="1">
      <c r="A16" s="75"/>
      <c r="B16" s="75"/>
      <c r="C16" s="411" t="str">
        <f>W14</f>
        <v>Vyrai, 0-14 metų (43 atv.)</v>
      </c>
      <c r="D16" s="411"/>
      <c r="E16" s="411"/>
      <c r="F16" s="411"/>
      <c r="G16" s="411"/>
      <c r="H16" s="411"/>
      <c r="I16" s="411"/>
      <c r="J16" s="76"/>
      <c r="K16" s="75"/>
      <c r="L16" s="75"/>
      <c r="M16" s="411" t="str">
        <f>AA14</f>
        <v>Moterys, 0-14 metų (23 atv.)</v>
      </c>
      <c r="N16" s="411"/>
      <c r="O16" s="411"/>
      <c r="P16" s="411"/>
      <c r="Q16" s="411"/>
      <c r="R16" s="411"/>
      <c r="S16" s="411"/>
      <c r="T16" s="75"/>
      <c r="U16" s="75"/>
      <c r="V16" s="31"/>
      <c r="W16" s="350" t="s">
        <v>445</v>
      </c>
      <c r="X16" s="350">
        <v>1</v>
      </c>
      <c r="Y16" s="366">
        <v>2.3255813953488372E-2</v>
      </c>
      <c r="Z16" s="350"/>
      <c r="AA16" s="350"/>
      <c r="AB16" s="350"/>
      <c r="AC16" s="367"/>
      <c r="AD16" s="350"/>
      <c r="AE16" s="31"/>
    </row>
    <row r="17" spans="1:31" ht="20.100000000000001" customHeight="1">
      <c r="A17" s="75"/>
      <c r="B17" s="75"/>
      <c r="C17" s="75"/>
      <c r="D17" s="75"/>
      <c r="E17" s="75"/>
      <c r="F17" s="75"/>
      <c r="G17" s="75"/>
      <c r="H17" s="75"/>
      <c r="I17" s="77" t="str">
        <f>W25</f>
        <v>Leukemijos</v>
      </c>
      <c r="J17" s="77"/>
      <c r="K17" s="75"/>
      <c r="L17" s="75"/>
      <c r="M17" s="75"/>
      <c r="N17" s="75"/>
      <c r="O17" s="75"/>
      <c r="P17" s="75"/>
      <c r="Q17" s="75"/>
      <c r="R17" s="75"/>
      <c r="S17" s="77" t="str">
        <f>AA25</f>
        <v>Leukemijos</v>
      </c>
      <c r="T17" s="75"/>
      <c r="U17" s="75"/>
      <c r="V17" s="31"/>
      <c r="W17" s="350" t="s">
        <v>213</v>
      </c>
      <c r="X17" s="350">
        <v>1</v>
      </c>
      <c r="Y17" s="366">
        <v>2.3255813953488372E-2</v>
      </c>
      <c r="Z17" s="350"/>
      <c r="AA17" s="350"/>
      <c r="AB17" s="350"/>
      <c r="AC17" s="367"/>
      <c r="AD17" s="350"/>
      <c r="AE17" s="31"/>
    </row>
    <row r="18" spans="1:31" ht="20.100000000000001" customHeight="1">
      <c r="A18" s="75"/>
      <c r="B18" s="75"/>
      <c r="C18" s="75"/>
      <c r="D18" s="75"/>
      <c r="E18" s="75"/>
      <c r="F18" s="75"/>
      <c r="G18" s="75"/>
      <c r="H18" s="75"/>
      <c r="I18" s="77" t="str">
        <f>W24</f>
        <v>Smegenų</v>
      </c>
      <c r="J18" s="77"/>
      <c r="K18" s="75"/>
      <c r="L18" s="75"/>
      <c r="M18" s="75"/>
      <c r="N18" s="75"/>
      <c r="O18" s="75"/>
      <c r="P18" s="75"/>
      <c r="Q18" s="75"/>
      <c r="R18" s="75"/>
      <c r="S18" s="77" t="str">
        <f>AA24</f>
        <v>Smegenų</v>
      </c>
      <c r="T18" s="75"/>
      <c r="U18" s="75"/>
      <c r="V18" s="31"/>
      <c r="W18" s="350" t="s">
        <v>235</v>
      </c>
      <c r="X18" s="350">
        <v>1</v>
      </c>
      <c r="Y18" s="366">
        <v>2.3255813953488372E-2</v>
      </c>
      <c r="Z18" s="350"/>
      <c r="AA18" s="350"/>
      <c r="AB18" s="350"/>
      <c r="AC18" s="367"/>
      <c r="AD18" s="350"/>
      <c r="AE18" s="31"/>
    </row>
    <row r="19" spans="1:31" ht="20.100000000000001" customHeight="1">
      <c r="A19" s="75"/>
      <c r="B19" s="75"/>
      <c r="C19" s="75"/>
      <c r="D19" s="75"/>
      <c r="E19" s="75"/>
      <c r="F19" s="75"/>
      <c r="G19" s="75"/>
      <c r="H19" s="75"/>
      <c r="I19" s="77" t="str">
        <f>W23</f>
        <v>Kaulų ir jungiamojo audinio</v>
      </c>
      <c r="J19" s="77"/>
      <c r="K19" s="75"/>
      <c r="L19" s="75"/>
      <c r="M19" s="75"/>
      <c r="N19" s="75"/>
      <c r="O19" s="75"/>
      <c r="P19" s="75"/>
      <c r="Q19" s="75"/>
      <c r="R19" s="75"/>
      <c r="S19" s="77" t="str">
        <f>AA23</f>
        <v>Kitų virškinimo sistemos organų</v>
      </c>
      <c r="T19" s="75"/>
      <c r="U19" s="75"/>
      <c r="V19" s="31"/>
      <c r="W19" s="350" t="s">
        <v>222</v>
      </c>
      <c r="X19" s="350">
        <v>1</v>
      </c>
      <c r="Y19" s="366">
        <v>2.3255813953488372E-2</v>
      </c>
      <c r="Z19" s="350"/>
      <c r="AA19" s="350" t="s">
        <v>26</v>
      </c>
      <c r="AB19" s="350">
        <v>0</v>
      </c>
      <c r="AC19" s="366">
        <f>VALUE(0.001%)</f>
        <v>1.0000000000000001E-5</v>
      </c>
      <c r="AD19" s="350"/>
      <c r="AE19" s="31"/>
    </row>
    <row r="20" spans="1:31" ht="20.100000000000001" customHeight="1">
      <c r="A20" s="75"/>
      <c r="B20" s="75"/>
      <c r="C20" s="75"/>
      <c r="D20" s="75"/>
      <c r="E20" s="75"/>
      <c r="F20" s="75"/>
      <c r="G20" s="75"/>
      <c r="H20" s="75"/>
      <c r="I20" s="77" t="str">
        <f>W22</f>
        <v>Kitų endokrininių liaukų</v>
      </c>
      <c r="J20" s="77"/>
      <c r="K20" s="75"/>
      <c r="L20" s="75"/>
      <c r="M20" s="75"/>
      <c r="N20" s="75"/>
      <c r="O20" s="75"/>
      <c r="P20" s="75"/>
      <c r="Q20" s="75"/>
      <c r="R20" s="75"/>
      <c r="S20" s="77" t="str">
        <f>AA22</f>
        <v>Kaulų ir jungiamojo audinio</v>
      </c>
      <c r="T20" s="75"/>
      <c r="U20" s="75"/>
      <c r="V20" s="31"/>
      <c r="W20" s="350" t="s">
        <v>223</v>
      </c>
      <c r="X20" s="350">
        <v>1</v>
      </c>
      <c r="Y20" s="366">
        <v>2.3255813953488372E-2</v>
      </c>
      <c r="Z20" s="350"/>
      <c r="AA20" s="350" t="s">
        <v>445</v>
      </c>
      <c r="AB20" s="350">
        <v>1</v>
      </c>
      <c r="AC20" s="366">
        <v>4.3478260869565216E-2</v>
      </c>
      <c r="AD20" s="350"/>
      <c r="AE20" s="31"/>
    </row>
    <row r="21" spans="1:31" ht="20.100000000000001" customHeight="1">
      <c r="A21" s="75"/>
      <c r="B21" s="75"/>
      <c r="C21" s="75"/>
      <c r="D21" s="75"/>
      <c r="E21" s="75"/>
      <c r="F21" s="75"/>
      <c r="G21" s="75"/>
      <c r="H21" s="75"/>
      <c r="I21" s="77" t="str">
        <f>W21</f>
        <v>Ne Hodžkino limfomos</v>
      </c>
      <c r="J21" s="77"/>
      <c r="K21" s="75"/>
      <c r="L21" s="75"/>
      <c r="M21" s="75"/>
      <c r="N21" s="75"/>
      <c r="O21" s="75"/>
      <c r="P21" s="75"/>
      <c r="Q21" s="75"/>
      <c r="R21" s="75"/>
      <c r="S21" s="77" t="str">
        <f>AA21</f>
        <v>Kiti limfinio, kraujodaros audinių</v>
      </c>
      <c r="T21" s="75"/>
      <c r="U21" s="75"/>
      <c r="V21" s="31"/>
      <c r="W21" s="350" t="s">
        <v>226</v>
      </c>
      <c r="X21" s="350">
        <v>3</v>
      </c>
      <c r="Y21" s="366">
        <v>6.9767441860465115E-2</v>
      </c>
      <c r="Z21" s="350"/>
      <c r="AA21" s="350" t="s">
        <v>461</v>
      </c>
      <c r="AB21" s="350">
        <v>1</v>
      </c>
      <c r="AC21" s="366">
        <v>4.3478260869565216E-2</v>
      </c>
      <c r="AD21" s="350"/>
      <c r="AE21" s="31"/>
    </row>
    <row r="22" spans="1:31" ht="20.100000000000001" customHeight="1">
      <c r="A22" s="75"/>
      <c r="B22" s="75"/>
      <c r="C22" s="75"/>
      <c r="D22" s="75"/>
      <c r="E22" s="75"/>
      <c r="F22" s="75"/>
      <c r="G22" s="75"/>
      <c r="H22" s="75"/>
      <c r="I22" s="77" t="str">
        <f>W20</f>
        <v>Hodžkino limfomos</v>
      </c>
      <c r="J22" s="77"/>
      <c r="K22" s="75"/>
      <c r="L22" s="75"/>
      <c r="M22" s="75"/>
      <c r="N22" s="75"/>
      <c r="O22" s="75"/>
      <c r="P22" s="75"/>
      <c r="Q22" s="75"/>
      <c r="R22" s="75"/>
      <c r="S22" s="77" t="str">
        <f>AA20</f>
        <v>Kitų kvėpavimo sistemos organų</v>
      </c>
      <c r="T22" s="75"/>
      <c r="U22" s="75"/>
      <c r="V22" s="31"/>
      <c r="W22" s="350" t="s">
        <v>236</v>
      </c>
      <c r="X22" s="350">
        <v>4</v>
      </c>
      <c r="Y22" s="366">
        <v>9.3023255813953487E-2</v>
      </c>
      <c r="Z22" s="350"/>
      <c r="AA22" s="350" t="s">
        <v>228</v>
      </c>
      <c r="AB22" s="350">
        <v>2</v>
      </c>
      <c r="AC22" s="366">
        <v>8.6956521739130432E-2</v>
      </c>
      <c r="AD22" s="350"/>
      <c r="AE22" s="31"/>
    </row>
    <row r="23" spans="1:31" ht="20.100000000000001" customHeight="1">
      <c r="A23" s="75"/>
      <c r="B23" s="75"/>
      <c r="C23" s="75"/>
      <c r="D23" s="75"/>
      <c r="E23" s="75"/>
      <c r="F23" s="75"/>
      <c r="G23" s="75"/>
      <c r="H23" s="75"/>
      <c r="I23" s="77" t="str">
        <f>W19</f>
        <v>Skydliaukės</v>
      </c>
      <c r="J23" s="77"/>
      <c r="K23" s="75"/>
      <c r="L23" s="75"/>
      <c r="M23" s="75"/>
      <c r="N23" s="75"/>
      <c r="O23" s="75"/>
      <c r="P23" s="75"/>
      <c r="Q23" s="75"/>
      <c r="R23" s="75"/>
      <c r="S23" s="77" t="str">
        <f>AA19</f>
        <v>Kiti</v>
      </c>
      <c r="T23" s="75"/>
      <c r="U23" s="75"/>
      <c r="V23" s="31"/>
      <c r="W23" s="350" t="s">
        <v>228</v>
      </c>
      <c r="X23" s="350">
        <v>7</v>
      </c>
      <c r="Y23" s="366">
        <v>0.16279069767441862</v>
      </c>
      <c r="Z23" s="350"/>
      <c r="AA23" s="350" t="s">
        <v>224</v>
      </c>
      <c r="AB23" s="350">
        <v>3</v>
      </c>
      <c r="AC23" s="366">
        <v>0.13043478260869565</v>
      </c>
      <c r="AD23" s="350"/>
      <c r="AE23" s="31"/>
    </row>
    <row r="24" spans="1:31" ht="20.100000000000001" customHeight="1">
      <c r="A24" s="75"/>
      <c r="B24" s="75"/>
      <c r="C24" s="75"/>
      <c r="D24" s="75"/>
      <c r="E24" s="75"/>
      <c r="F24" s="75"/>
      <c r="G24" s="75"/>
      <c r="H24" s="75"/>
      <c r="I24" s="77" t="str">
        <f>W18</f>
        <v>Akių</v>
      </c>
      <c r="J24" s="77"/>
      <c r="K24" s="75"/>
      <c r="L24" s="75"/>
      <c r="M24" s="75"/>
      <c r="N24" s="75"/>
      <c r="O24" s="75"/>
      <c r="P24" s="75"/>
      <c r="Q24" s="75"/>
      <c r="R24" s="75"/>
      <c r="S24" s="77"/>
      <c r="T24" s="75"/>
      <c r="U24" s="75"/>
      <c r="V24" s="31"/>
      <c r="W24" s="350" t="s">
        <v>225</v>
      </c>
      <c r="X24" s="350">
        <v>9</v>
      </c>
      <c r="Y24" s="366">
        <v>0.20930232558139536</v>
      </c>
      <c r="Z24" s="350"/>
      <c r="AA24" s="350" t="s">
        <v>225</v>
      </c>
      <c r="AB24" s="350">
        <v>5</v>
      </c>
      <c r="AC24" s="366">
        <v>0.21739130434782608</v>
      </c>
      <c r="AD24" s="350"/>
      <c r="AE24" s="31"/>
    </row>
    <row r="25" spans="1:31" ht="20.100000000000001" customHeight="1">
      <c r="A25" s="75"/>
      <c r="B25" s="75"/>
      <c r="C25" s="75"/>
      <c r="D25" s="75"/>
      <c r="E25" s="75"/>
      <c r="F25" s="75"/>
      <c r="G25" s="75"/>
      <c r="H25" s="75"/>
      <c r="I25" s="77" t="str">
        <f>W17</f>
        <v>Inkstų</v>
      </c>
      <c r="J25" s="77"/>
      <c r="K25" s="75"/>
      <c r="L25" s="75"/>
      <c r="M25" s="75"/>
      <c r="N25" s="75"/>
      <c r="O25" s="75"/>
      <c r="P25" s="75"/>
      <c r="Q25" s="75"/>
      <c r="R25" s="75"/>
      <c r="S25" s="77" t="str">
        <f>TEXT(AA15,)</f>
        <v/>
      </c>
      <c r="T25" s="75"/>
      <c r="U25" s="75"/>
      <c r="V25" s="31"/>
      <c r="W25" s="350" t="s">
        <v>227</v>
      </c>
      <c r="X25" s="350">
        <v>15</v>
      </c>
      <c r="Y25" s="366">
        <v>0.34883720930232559</v>
      </c>
      <c r="Z25" s="350"/>
      <c r="AA25" s="350" t="s">
        <v>227</v>
      </c>
      <c r="AB25" s="350">
        <v>11</v>
      </c>
      <c r="AC25" s="366">
        <v>0.47826086956521741</v>
      </c>
      <c r="AD25" s="350"/>
      <c r="AE25" s="31"/>
    </row>
    <row r="26" spans="1:31" ht="20.100000000000001" customHeight="1">
      <c r="A26" s="75"/>
      <c r="B26" s="75"/>
      <c r="C26" s="75"/>
      <c r="D26" s="75"/>
      <c r="E26" s="75"/>
      <c r="F26" s="75"/>
      <c r="G26" s="75"/>
      <c r="H26" s="75"/>
      <c r="I26" s="77"/>
      <c r="J26" s="77"/>
      <c r="K26" s="75"/>
      <c r="L26" s="75"/>
      <c r="M26" s="75"/>
      <c r="N26" s="75"/>
      <c r="O26" s="75"/>
      <c r="P26" s="75"/>
      <c r="Q26" s="75"/>
      <c r="R26" s="75"/>
      <c r="S26" s="77" t="str">
        <f>TEXT(AA16,)</f>
        <v/>
      </c>
      <c r="T26" s="75"/>
      <c r="U26" s="75"/>
      <c r="V26" s="31"/>
      <c r="W26" s="365" t="s">
        <v>210</v>
      </c>
      <c r="X26" s="350">
        <v>43</v>
      </c>
      <c r="Y26" s="366">
        <v>1</v>
      </c>
      <c r="Z26" s="350"/>
      <c r="AA26" s="365" t="s">
        <v>210</v>
      </c>
      <c r="AB26" s="350">
        <v>23</v>
      </c>
      <c r="AC26" s="366">
        <v>1</v>
      </c>
      <c r="AD26" s="350"/>
      <c r="AE26" s="31"/>
    </row>
    <row r="27" spans="1:31" ht="20.100000000000001" customHeight="1">
      <c r="A27" s="75"/>
      <c r="B27" s="75"/>
      <c r="C27" s="75"/>
      <c r="D27" s="75"/>
      <c r="E27" s="75"/>
      <c r="F27" s="75"/>
      <c r="G27" s="75"/>
      <c r="H27" s="75"/>
      <c r="I27" s="77" t="str">
        <f>TEXT(W15,)</f>
        <v>Kiti</v>
      </c>
      <c r="J27" s="77"/>
      <c r="K27" s="75"/>
      <c r="L27" s="75"/>
      <c r="M27" s="75"/>
      <c r="N27" s="75"/>
      <c r="O27" s="75"/>
      <c r="P27" s="75"/>
      <c r="Q27" s="75"/>
      <c r="R27" s="75"/>
      <c r="S27" s="77" t="str">
        <f>TEXT(AA15,)</f>
        <v/>
      </c>
      <c r="T27" s="75"/>
      <c r="U27" s="75"/>
      <c r="V27" s="31"/>
      <c r="W27" s="412" t="s">
        <v>455</v>
      </c>
      <c r="X27" s="412"/>
      <c r="Y27" s="412"/>
      <c r="Z27" s="350"/>
      <c r="AA27" s="412" t="s">
        <v>462</v>
      </c>
      <c r="AB27" s="412"/>
      <c r="AC27" s="412"/>
      <c r="AD27" s="350"/>
      <c r="AE27" s="31"/>
    </row>
    <row r="28" spans="1:31" ht="24.95" customHeight="1">
      <c r="A28" s="75"/>
      <c r="B28" s="75"/>
      <c r="C28" s="75"/>
      <c r="D28" s="75"/>
      <c r="E28" s="75"/>
      <c r="F28" s="75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  <c r="U28" s="75"/>
      <c r="V28" s="31"/>
      <c r="W28" s="350" t="s">
        <v>26</v>
      </c>
      <c r="X28" s="350">
        <v>7</v>
      </c>
      <c r="Y28" s="366">
        <v>0.11475409836065574</v>
      </c>
      <c r="Z28" s="350"/>
      <c r="AA28" s="350" t="s">
        <v>26</v>
      </c>
      <c r="AB28" s="350">
        <v>20</v>
      </c>
      <c r="AC28" s="366">
        <v>0.15267175572519084</v>
      </c>
      <c r="AD28" s="350"/>
      <c r="AE28" s="31"/>
    </row>
    <row r="29" spans="1:31" ht="24.95" customHeight="1">
      <c r="A29" s="75"/>
      <c r="B29" s="75"/>
      <c r="C29" s="411" t="str">
        <f>W27</f>
        <v>Vyrai, 15-29 metų (61 atv.)</v>
      </c>
      <c r="D29" s="411"/>
      <c r="E29" s="411"/>
      <c r="F29" s="411"/>
      <c r="G29" s="411"/>
      <c r="H29" s="411"/>
      <c r="I29" s="411"/>
      <c r="J29" s="76"/>
      <c r="K29" s="75"/>
      <c r="L29" s="75"/>
      <c r="M29" s="411" t="str">
        <f>AA27</f>
        <v>Moterys, 15-29 metų (131 atv.)</v>
      </c>
      <c r="N29" s="411"/>
      <c r="O29" s="411"/>
      <c r="P29" s="411"/>
      <c r="Q29" s="411"/>
      <c r="R29" s="411"/>
      <c r="S29" s="411"/>
      <c r="T29" s="75"/>
      <c r="U29" s="75"/>
      <c r="V29" s="31"/>
      <c r="W29" s="350" t="s">
        <v>211</v>
      </c>
      <c r="X29" s="350">
        <v>2</v>
      </c>
      <c r="Y29" s="366">
        <v>3.2786885245901641E-2</v>
      </c>
      <c r="Z29" s="350"/>
      <c r="AA29" s="350" t="s">
        <v>228</v>
      </c>
      <c r="AB29" s="350">
        <v>7</v>
      </c>
      <c r="AC29" s="366">
        <v>5.3435114503816793E-2</v>
      </c>
      <c r="AD29" s="350"/>
      <c r="AE29" s="31"/>
    </row>
    <row r="30" spans="1:31" ht="20.100000000000001" customHeight="1">
      <c r="A30" s="75"/>
      <c r="B30" s="75"/>
      <c r="C30" s="75"/>
      <c r="D30" s="75"/>
      <c r="E30" s="75"/>
      <c r="F30" s="75"/>
      <c r="G30" s="75"/>
      <c r="H30" s="75"/>
      <c r="I30" s="77" t="str">
        <f>W38</f>
        <v>Sėklidžių</v>
      </c>
      <c r="J30" s="75"/>
      <c r="K30" s="75"/>
      <c r="L30" s="75"/>
      <c r="M30" s="75"/>
      <c r="N30" s="75"/>
      <c r="O30" s="75"/>
      <c r="P30" s="75"/>
      <c r="Q30" s="75"/>
      <c r="R30" s="75"/>
      <c r="S30" s="77" t="str">
        <f>AA38</f>
        <v>Skydliaukės</v>
      </c>
      <c r="T30" s="75"/>
      <c r="U30" s="75"/>
      <c r="V30" s="31"/>
      <c r="W30" s="350" t="s">
        <v>229</v>
      </c>
      <c r="X30" s="350">
        <v>2</v>
      </c>
      <c r="Y30" s="366">
        <v>3.2786885245901641E-2</v>
      </c>
      <c r="Z30" s="350"/>
      <c r="AA30" s="350" t="s">
        <v>229</v>
      </c>
      <c r="AB30" s="350">
        <v>7</v>
      </c>
      <c r="AC30" s="366">
        <v>5.3435114503816793E-2</v>
      </c>
      <c r="AD30" s="350"/>
      <c r="AE30" s="31"/>
    </row>
    <row r="31" spans="1:31" ht="20.100000000000001" customHeight="1">
      <c r="A31" s="75"/>
      <c r="B31" s="75"/>
      <c r="C31" s="75"/>
      <c r="D31" s="75"/>
      <c r="E31" s="75"/>
      <c r="F31" s="75"/>
      <c r="G31" s="75"/>
      <c r="H31" s="75"/>
      <c r="I31" s="77" t="str">
        <f>W37</f>
        <v>Hodžkino limfomos</v>
      </c>
      <c r="J31" s="75"/>
      <c r="K31" s="75"/>
      <c r="L31" s="75"/>
      <c r="M31" s="75"/>
      <c r="N31" s="75"/>
      <c r="O31" s="75"/>
      <c r="P31" s="75"/>
      <c r="Q31" s="75"/>
      <c r="R31" s="75"/>
      <c r="S31" s="77" t="str">
        <f>AA37</f>
        <v>Gimdos kaklelio</v>
      </c>
      <c r="T31" s="75"/>
      <c r="U31" s="75"/>
      <c r="V31" s="31"/>
      <c r="W31" s="350" t="s">
        <v>228</v>
      </c>
      <c r="X31" s="350">
        <v>4</v>
      </c>
      <c r="Y31" s="366">
        <v>6.5573770491803282E-2</v>
      </c>
      <c r="Z31" s="350"/>
      <c r="AA31" s="350" t="s">
        <v>216</v>
      </c>
      <c r="AB31" s="350">
        <v>7</v>
      </c>
      <c r="AC31" s="366">
        <v>5.3435114503816793E-2</v>
      </c>
      <c r="AD31" s="350"/>
      <c r="AE31" s="31"/>
    </row>
    <row r="32" spans="1:31" ht="20.100000000000001" customHeight="1">
      <c r="A32" s="75"/>
      <c r="B32" s="75"/>
      <c r="C32" s="75"/>
      <c r="D32" s="75"/>
      <c r="E32" s="75"/>
      <c r="F32" s="75"/>
      <c r="G32" s="75"/>
      <c r="H32" s="75"/>
      <c r="I32" s="77" t="str">
        <f>W36</f>
        <v>Kiti odos piktybiniai navikai</v>
      </c>
      <c r="J32" s="75"/>
      <c r="K32" s="75"/>
      <c r="L32" s="75"/>
      <c r="M32" s="75"/>
      <c r="N32" s="75"/>
      <c r="O32" s="75"/>
      <c r="P32" s="75"/>
      <c r="Q32" s="75"/>
      <c r="R32" s="75"/>
      <c r="S32" s="77" t="str">
        <f>AA36</f>
        <v>Hodžkino limfomos</v>
      </c>
      <c r="T32" s="75"/>
      <c r="U32" s="75"/>
      <c r="V32" s="31"/>
      <c r="W32" s="350" t="s">
        <v>225</v>
      </c>
      <c r="X32" s="350">
        <v>4</v>
      </c>
      <c r="Y32" s="366">
        <v>6.5573770491803282E-2</v>
      </c>
      <c r="Z32" s="350"/>
      <c r="AA32" s="350" t="s">
        <v>234</v>
      </c>
      <c r="AB32" s="350">
        <v>7</v>
      </c>
      <c r="AC32" s="366">
        <v>5.3435114503816793E-2</v>
      </c>
      <c r="AD32" s="350"/>
      <c r="AE32" s="31"/>
    </row>
    <row r="33" spans="1:31" ht="20.100000000000001" customHeight="1">
      <c r="A33" s="75"/>
      <c r="B33" s="75"/>
      <c r="C33" s="75"/>
      <c r="D33" s="75"/>
      <c r="E33" s="75"/>
      <c r="F33" s="75"/>
      <c r="G33" s="75"/>
      <c r="H33" s="75"/>
      <c r="I33" s="77" t="str">
        <f>W35</f>
        <v>Leukemijos</v>
      </c>
      <c r="J33" s="75"/>
      <c r="K33" s="75"/>
      <c r="L33" s="75"/>
      <c r="M33" s="75"/>
      <c r="N33" s="75"/>
      <c r="O33" s="75"/>
      <c r="P33" s="75"/>
      <c r="Q33" s="75"/>
      <c r="R33" s="75"/>
      <c r="S33" s="77" t="str">
        <f>AA35</f>
        <v>Kiaušidžių</v>
      </c>
      <c r="T33" s="75"/>
      <c r="U33" s="75"/>
      <c r="V33" s="31"/>
      <c r="W33" s="350" t="s">
        <v>222</v>
      </c>
      <c r="X33" s="350">
        <v>4</v>
      </c>
      <c r="Y33" s="366">
        <v>6.5573770491803282E-2</v>
      </c>
      <c r="Z33" s="350"/>
      <c r="AA33" s="350" t="s">
        <v>227</v>
      </c>
      <c r="AB33" s="350">
        <v>8</v>
      </c>
      <c r="AC33" s="366">
        <v>6.1068702290076333E-2</v>
      </c>
      <c r="AD33" s="350"/>
      <c r="AE33" s="31"/>
    </row>
    <row r="34" spans="1:31" ht="20.100000000000001" customHeight="1">
      <c r="A34" s="75"/>
      <c r="B34" s="75"/>
      <c r="C34" s="75"/>
      <c r="D34" s="75"/>
      <c r="E34" s="75"/>
      <c r="F34" s="75"/>
      <c r="G34" s="75"/>
      <c r="H34" s="75"/>
      <c r="I34" s="77" t="str">
        <f>W34</f>
        <v>Ne Hodžkino limfomos</v>
      </c>
      <c r="J34" s="75"/>
      <c r="K34" s="75"/>
      <c r="L34" s="75"/>
      <c r="M34" s="75"/>
      <c r="N34" s="75"/>
      <c r="O34" s="75"/>
      <c r="P34" s="75"/>
      <c r="Q34" s="75"/>
      <c r="R34" s="75"/>
      <c r="S34" s="77" t="str">
        <f>AA34</f>
        <v>Smegenų</v>
      </c>
      <c r="T34" s="75"/>
      <c r="U34" s="75"/>
      <c r="V34" s="31"/>
      <c r="W34" s="350" t="s">
        <v>226</v>
      </c>
      <c r="X34" s="350">
        <v>4</v>
      </c>
      <c r="Y34" s="366">
        <v>6.5573770491803282E-2</v>
      </c>
      <c r="Z34" s="350"/>
      <c r="AA34" s="350" t="s">
        <v>225</v>
      </c>
      <c r="AB34" s="350">
        <v>9</v>
      </c>
      <c r="AC34" s="366">
        <v>6.8702290076335881E-2</v>
      </c>
      <c r="AD34" s="350"/>
      <c r="AE34" s="31"/>
    </row>
    <row r="35" spans="1:31" ht="20.100000000000001" customHeight="1">
      <c r="A35" s="75"/>
      <c r="B35" s="75"/>
      <c r="C35" s="75"/>
      <c r="D35" s="75"/>
      <c r="E35" s="75"/>
      <c r="F35" s="75"/>
      <c r="G35" s="75"/>
      <c r="H35" s="75"/>
      <c r="I35" s="77" t="str">
        <f>W33</f>
        <v>Skydliaukės</v>
      </c>
      <c r="J35" s="75"/>
      <c r="K35" s="75"/>
      <c r="L35" s="75"/>
      <c r="M35" s="75"/>
      <c r="N35" s="75"/>
      <c r="O35" s="75"/>
      <c r="P35" s="75"/>
      <c r="Q35" s="75"/>
      <c r="R35" s="75"/>
      <c r="S35" s="77" t="str">
        <f>AA33</f>
        <v>Leukemijos</v>
      </c>
      <c r="T35" s="75"/>
      <c r="U35" s="75"/>
      <c r="V35" s="31"/>
      <c r="W35" s="350" t="s">
        <v>227</v>
      </c>
      <c r="X35" s="350">
        <v>5</v>
      </c>
      <c r="Y35" s="366">
        <v>8.1967213114754092E-2</v>
      </c>
      <c r="Z35" s="350"/>
      <c r="AA35" s="350" t="s">
        <v>231</v>
      </c>
      <c r="AB35" s="350">
        <v>11</v>
      </c>
      <c r="AC35" s="366">
        <v>8.3969465648854963E-2</v>
      </c>
      <c r="AD35" s="350"/>
      <c r="AE35" s="31"/>
    </row>
    <row r="36" spans="1:31" ht="20.100000000000001" customHeight="1">
      <c r="A36" s="75"/>
      <c r="B36" s="75"/>
      <c r="C36" s="75"/>
      <c r="D36" s="75"/>
      <c r="E36" s="75"/>
      <c r="F36" s="75"/>
      <c r="G36" s="75"/>
      <c r="H36" s="75"/>
      <c r="I36" s="77" t="str">
        <f>W32</f>
        <v>Smegenų</v>
      </c>
      <c r="J36" s="75"/>
      <c r="K36" s="75"/>
      <c r="L36" s="75"/>
      <c r="M36" s="75"/>
      <c r="N36" s="75"/>
      <c r="O36" s="75"/>
      <c r="P36" s="75"/>
      <c r="Q36" s="75"/>
      <c r="R36" s="75"/>
      <c r="S36" s="77" t="str">
        <f>AA32</f>
        <v>Krūties</v>
      </c>
      <c r="T36" s="75"/>
      <c r="U36" s="75"/>
      <c r="V36" s="31"/>
      <c r="W36" s="350" t="s">
        <v>216</v>
      </c>
      <c r="X36" s="350">
        <v>7</v>
      </c>
      <c r="Y36" s="366">
        <v>0.11475409836065574</v>
      </c>
      <c r="Z36" s="350"/>
      <c r="AA36" s="350" t="s">
        <v>223</v>
      </c>
      <c r="AB36" s="350">
        <v>15</v>
      </c>
      <c r="AC36" s="366">
        <v>0.11450381679389313</v>
      </c>
      <c r="AD36" s="350"/>
      <c r="AE36" s="31"/>
    </row>
    <row r="37" spans="1:31" ht="20.100000000000001" customHeight="1">
      <c r="A37" s="75"/>
      <c r="B37" s="75"/>
      <c r="C37" s="75"/>
      <c r="D37" s="75"/>
      <c r="E37" s="75"/>
      <c r="F37" s="75"/>
      <c r="G37" s="75"/>
      <c r="H37" s="75"/>
      <c r="I37" s="77" t="str">
        <f>W31</f>
        <v>Kaulų ir jungiamojo audinio</v>
      </c>
      <c r="J37" s="75"/>
      <c r="K37" s="75"/>
      <c r="L37" s="75"/>
      <c r="M37" s="75"/>
      <c r="N37" s="75"/>
      <c r="O37" s="75"/>
      <c r="P37" s="75"/>
      <c r="Q37" s="75"/>
      <c r="R37" s="75"/>
      <c r="S37" s="77" t="str">
        <f>AA31</f>
        <v>Kiti odos piktybiniai navikai</v>
      </c>
      <c r="T37" s="75"/>
      <c r="U37" s="75"/>
      <c r="V37" s="31"/>
      <c r="W37" s="350" t="s">
        <v>223</v>
      </c>
      <c r="X37" s="350">
        <v>8</v>
      </c>
      <c r="Y37" s="366">
        <v>0.13114754098360656</v>
      </c>
      <c r="Z37" s="350"/>
      <c r="AA37" s="350" t="s">
        <v>232</v>
      </c>
      <c r="AB37" s="350">
        <v>17</v>
      </c>
      <c r="AC37" s="366">
        <v>0.12977099236641221</v>
      </c>
      <c r="AD37" s="350"/>
      <c r="AE37" s="31"/>
    </row>
    <row r="38" spans="1:31" ht="20.100000000000001" customHeight="1">
      <c r="A38" s="75"/>
      <c r="B38" s="75"/>
      <c r="C38" s="75"/>
      <c r="D38" s="75"/>
      <c r="E38" s="75"/>
      <c r="F38" s="75"/>
      <c r="G38" s="75"/>
      <c r="H38" s="75"/>
      <c r="I38" s="77" t="str">
        <f>W30</f>
        <v>Odos melanoma</v>
      </c>
      <c r="J38" s="75"/>
      <c r="K38" s="75"/>
      <c r="L38" s="75"/>
      <c r="M38" s="75"/>
      <c r="N38" s="75"/>
      <c r="O38" s="75"/>
      <c r="P38" s="75"/>
      <c r="Q38" s="75"/>
      <c r="R38" s="75"/>
      <c r="S38" s="77" t="str">
        <f>AA30</f>
        <v>Odos melanoma</v>
      </c>
      <c r="T38" s="75"/>
      <c r="U38" s="75"/>
      <c r="V38" s="31"/>
      <c r="W38" s="350" t="s">
        <v>221</v>
      </c>
      <c r="X38" s="350">
        <v>14</v>
      </c>
      <c r="Y38" s="366">
        <v>0.22950819672131148</v>
      </c>
      <c r="Z38" s="350"/>
      <c r="AA38" s="350" t="s">
        <v>222</v>
      </c>
      <c r="AB38" s="350">
        <v>23</v>
      </c>
      <c r="AC38" s="366">
        <v>0.17557251908396945</v>
      </c>
      <c r="AD38" s="350"/>
      <c r="AE38" s="31"/>
    </row>
    <row r="39" spans="1:31" ht="20.100000000000001" customHeight="1">
      <c r="A39" s="75"/>
      <c r="B39" s="75"/>
      <c r="C39" s="75"/>
      <c r="D39" s="75"/>
      <c r="E39" s="75"/>
      <c r="F39" s="75"/>
      <c r="G39" s="75"/>
      <c r="H39" s="75"/>
      <c r="I39" s="77" t="str">
        <f>W29</f>
        <v>Burnos ertmės ir ryklės</v>
      </c>
      <c r="J39" s="75"/>
      <c r="K39" s="75"/>
      <c r="L39" s="75"/>
      <c r="M39" s="75"/>
      <c r="N39" s="75"/>
      <c r="O39" s="75"/>
      <c r="P39" s="75"/>
      <c r="Q39" s="75"/>
      <c r="R39" s="75"/>
      <c r="S39" s="77" t="str">
        <f>AA29</f>
        <v>Kaulų ir jungiamojo audinio</v>
      </c>
      <c r="T39" s="75"/>
      <c r="U39" s="75"/>
      <c r="V39" s="31"/>
      <c r="W39" s="365" t="s">
        <v>210</v>
      </c>
      <c r="X39" s="350">
        <v>61</v>
      </c>
      <c r="Y39" s="366">
        <v>1</v>
      </c>
      <c r="Z39" s="350"/>
      <c r="AA39" s="365" t="s">
        <v>210</v>
      </c>
      <c r="AB39" s="350">
        <v>131</v>
      </c>
      <c r="AC39" s="366">
        <v>0.99999999999999989</v>
      </c>
      <c r="AD39" s="350"/>
      <c r="AE39" s="31"/>
    </row>
    <row r="40" spans="1:31" ht="20.100000000000001" customHeight="1">
      <c r="A40" s="75"/>
      <c r="B40" s="75"/>
      <c r="C40" s="75"/>
      <c r="D40" s="75"/>
      <c r="E40" s="75"/>
      <c r="F40" s="75"/>
      <c r="G40" s="75"/>
      <c r="H40" s="75"/>
      <c r="I40" s="77" t="str">
        <f>W28</f>
        <v>Kiti</v>
      </c>
      <c r="J40" s="75"/>
      <c r="K40" s="75"/>
      <c r="L40" s="75"/>
      <c r="M40" s="75"/>
      <c r="N40" s="75"/>
      <c r="O40" s="75"/>
      <c r="P40" s="75"/>
      <c r="Q40" s="75"/>
      <c r="R40" s="75"/>
      <c r="S40" s="77" t="str">
        <f>AA28</f>
        <v>Kiti</v>
      </c>
      <c r="T40" s="75"/>
      <c r="U40" s="75"/>
      <c r="V40" s="31"/>
      <c r="W40" s="350" t="s">
        <v>456</v>
      </c>
      <c r="X40" s="350"/>
      <c r="Y40" s="350"/>
      <c r="Z40" s="350"/>
      <c r="AA40" s="350" t="s">
        <v>463</v>
      </c>
      <c r="AB40" s="350"/>
      <c r="AC40" s="350"/>
      <c r="AD40" s="350"/>
      <c r="AE40" s="31"/>
    </row>
    <row r="41" spans="1:31" ht="24.95" customHeight="1">
      <c r="A41" s="75"/>
      <c r="B41" s="75"/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31"/>
      <c r="W41" s="412" t="s">
        <v>26</v>
      </c>
      <c r="X41" s="412">
        <v>351</v>
      </c>
      <c r="Y41" s="413">
        <v>0.27551020408163263</v>
      </c>
      <c r="Z41" s="350"/>
      <c r="AA41" s="412" t="s">
        <v>26</v>
      </c>
      <c r="AB41" s="412">
        <v>277</v>
      </c>
      <c r="AC41" s="413">
        <v>0.16313309776207302</v>
      </c>
      <c r="AD41" s="350"/>
      <c r="AE41" s="31"/>
    </row>
    <row r="42" spans="1:31" ht="24.95" customHeight="1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1"/>
      <c r="V42" s="31"/>
      <c r="W42" s="350" t="s">
        <v>230</v>
      </c>
      <c r="X42" s="350">
        <v>37</v>
      </c>
      <c r="Y42" s="366">
        <v>2.9042386185243328E-2</v>
      </c>
      <c r="Z42" s="350"/>
      <c r="AA42" s="350" t="s">
        <v>214</v>
      </c>
      <c r="AB42" s="350">
        <v>40</v>
      </c>
      <c r="AC42" s="366">
        <v>2.3557126030624265E-2</v>
      </c>
      <c r="AD42" s="350"/>
      <c r="AE42" s="31"/>
    </row>
    <row r="43" spans="1:31" ht="24.95" customHeight="1">
      <c r="A43" s="75"/>
      <c r="B43" s="75"/>
      <c r="C43" s="411" t="str">
        <f>W40</f>
        <v>Vyrai, 30-54 metų (1274 atv.)</v>
      </c>
      <c r="D43" s="411"/>
      <c r="E43" s="411"/>
      <c r="F43" s="411"/>
      <c r="G43" s="411"/>
      <c r="H43" s="411"/>
      <c r="I43" s="411"/>
      <c r="J43" s="78"/>
      <c r="K43" s="75"/>
      <c r="L43" s="75"/>
      <c r="M43" s="411" t="str">
        <f>AA40</f>
        <v>Moterys, 30-54 metų (1698 atv.)</v>
      </c>
      <c r="N43" s="411"/>
      <c r="O43" s="411"/>
      <c r="P43" s="411"/>
      <c r="Q43" s="411"/>
      <c r="R43" s="411"/>
      <c r="S43" s="411"/>
      <c r="T43" s="75"/>
      <c r="U43" s="75"/>
      <c r="V43" s="31"/>
      <c r="W43" s="350" t="s">
        <v>423</v>
      </c>
      <c r="X43" s="350">
        <v>38</v>
      </c>
      <c r="Y43" s="366">
        <v>2.9827315541601257E-2</v>
      </c>
      <c r="Z43" s="350"/>
      <c r="AA43" s="350" t="s">
        <v>229</v>
      </c>
      <c r="AB43" s="350">
        <v>47</v>
      </c>
      <c r="AC43" s="366">
        <v>2.7679623085983509E-2</v>
      </c>
      <c r="AD43" s="350"/>
      <c r="AE43" s="31"/>
    </row>
    <row r="44" spans="1:31" ht="20.100000000000001" customHeight="1">
      <c r="A44" s="75"/>
      <c r="B44" s="75"/>
      <c r="C44" s="75"/>
      <c r="D44" s="75"/>
      <c r="E44" s="75"/>
      <c r="F44" s="75"/>
      <c r="G44" s="75"/>
      <c r="H44" s="75"/>
      <c r="I44" s="77" t="str">
        <f>W51</f>
        <v>Priešinės liaukos</v>
      </c>
      <c r="J44" s="75"/>
      <c r="K44" s="75"/>
      <c r="L44" s="75"/>
      <c r="M44" s="75"/>
      <c r="N44" s="75"/>
      <c r="O44" s="75"/>
      <c r="P44" s="75"/>
      <c r="Q44" s="75"/>
      <c r="R44" s="75"/>
      <c r="S44" s="77" t="str">
        <f>AA51</f>
        <v>Krūties</v>
      </c>
      <c r="T44" s="75"/>
      <c r="U44" s="75"/>
      <c r="V44" s="31"/>
      <c r="W44" s="350" t="s">
        <v>219</v>
      </c>
      <c r="X44" s="350">
        <v>42</v>
      </c>
      <c r="Y44" s="366">
        <v>3.2967032967032968E-2</v>
      </c>
      <c r="Z44" s="350"/>
      <c r="AA44" s="350" t="s">
        <v>215</v>
      </c>
      <c r="AB44" s="350">
        <v>55</v>
      </c>
      <c r="AC44" s="366">
        <v>3.2391048292108364E-2</v>
      </c>
      <c r="AD44" s="350"/>
      <c r="AE44" s="31"/>
    </row>
    <row r="45" spans="1:31" ht="20.100000000000001" customHeight="1">
      <c r="A45" s="75"/>
      <c r="B45" s="75"/>
      <c r="C45" s="75"/>
      <c r="D45" s="75"/>
      <c r="E45" s="75"/>
      <c r="F45" s="75"/>
      <c r="G45" s="75"/>
      <c r="H45" s="75"/>
      <c r="I45" s="77" t="str">
        <f>W50</f>
        <v>Plaučių, trachėjos, bronchų</v>
      </c>
      <c r="J45" s="75"/>
      <c r="K45" s="75"/>
      <c r="L45" s="75"/>
      <c r="M45" s="75"/>
      <c r="N45" s="75"/>
      <c r="O45" s="75"/>
      <c r="P45" s="75"/>
      <c r="Q45" s="75"/>
      <c r="R45" s="75"/>
      <c r="S45" s="77" t="str">
        <f>AA50</f>
        <v>Kiti odos piktybiniai navikai</v>
      </c>
      <c r="T45" s="75"/>
      <c r="U45" s="75"/>
      <c r="V45" s="31"/>
      <c r="W45" s="350" t="s">
        <v>225</v>
      </c>
      <c r="X45" s="350">
        <v>44</v>
      </c>
      <c r="Y45" s="366">
        <v>3.453689167974882E-2</v>
      </c>
      <c r="Z45" s="350"/>
      <c r="AA45" s="350" t="s">
        <v>212</v>
      </c>
      <c r="AB45" s="350">
        <v>58</v>
      </c>
      <c r="AC45" s="366">
        <v>3.4157832744405182E-2</v>
      </c>
      <c r="AD45" s="350"/>
      <c r="AE45" s="31"/>
    </row>
    <row r="46" spans="1:31" ht="20.100000000000001" customHeight="1">
      <c r="A46" s="75"/>
      <c r="B46" s="75"/>
      <c r="C46" s="75"/>
      <c r="D46" s="75"/>
      <c r="E46" s="75"/>
      <c r="F46" s="75"/>
      <c r="G46" s="75"/>
      <c r="H46" s="75"/>
      <c r="I46" s="77" t="str">
        <f>W49</f>
        <v>Kiti odos piktybiniai navikai</v>
      </c>
      <c r="J46" s="75"/>
      <c r="K46" s="75"/>
      <c r="L46" s="75"/>
      <c r="M46" s="75"/>
      <c r="N46" s="75"/>
      <c r="O46" s="75"/>
      <c r="P46" s="75"/>
      <c r="Q46" s="75"/>
      <c r="R46" s="75"/>
      <c r="S46" s="77" t="str">
        <f>AA49</f>
        <v>Gimdos kaklelio</v>
      </c>
      <c r="T46" s="75"/>
      <c r="U46" s="75"/>
      <c r="V46" s="31"/>
      <c r="W46" s="350" t="s">
        <v>215</v>
      </c>
      <c r="X46" s="350">
        <v>72</v>
      </c>
      <c r="Y46" s="366">
        <v>5.6514913657770803E-2</v>
      </c>
      <c r="Z46" s="350"/>
      <c r="AA46" s="350" t="s">
        <v>231</v>
      </c>
      <c r="AB46" s="350">
        <v>119</v>
      </c>
      <c r="AC46" s="366">
        <v>7.0082449941107183E-2</v>
      </c>
      <c r="AD46" s="350"/>
      <c r="AE46" s="31"/>
    </row>
    <row r="47" spans="1:31" ht="20.100000000000001" customHeight="1">
      <c r="A47" s="75"/>
      <c r="B47" s="75"/>
      <c r="C47" s="75"/>
      <c r="D47" s="75"/>
      <c r="E47" s="75"/>
      <c r="F47" s="75"/>
      <c r="G47" s="75"/>
      <c r="H47" s="75"/>
      <c r="I47" s="77" t="str">
        <f>W48</f>
        <v>Inkstų</v>
      </c>
      <c r="J47" s="75"/>
      <c r="K47" s="75"/>
      <c r="L47" s="75"/>
      <c r="M47" s="75"/>
      <c r="N47" s="75"/>
      <c r="O47" s="75"/>
      <c r="P47" s="75"/>
      <c r="Q47" s="75"/>
      <c r="R47" s="75"/>
      <c r="S47" s="77" t="str">
        <f>AA48</f>
        <v>Gimdos kūno</v>
      </c>
      <c r="T47" s="75"/>
      <c r="U47" s="75"/>
      <c r="V47" s="31"/>
      <c r="W47" s="350" t="s">
        <v>211</v>
      </c>
      <c r="X47" s="350">
        <v>74</v>
      </c>
      <c r="Y47" s="366">
        <v>5.8084772370486655E-2</v>
      </c>
      <c r="Z47" s="350"/>
      <c r="AA47" s="350" t="s">
        <v>222</v>
      </c>
      <c r="AB47" s="350">
        <v>119</v>
      </c>
      <c r="AC47" s="366">
        <v>7.0082449941107183E-2</v>
      </c>
      <c r="AD47" s="350"/>
      <c r="AE47" s="31"/>
    </row>
    <row r="48" spans="1:31" ht="20.100000000000001" customHeight="1">
      <c r="A48" s="75"/>
      <c r="B48" s="75"/>
      <c r="C48" s="75"/>
      <c r="D48" s="75"/>
      <c r="E48" s="75"/>
      <c r="F48" s="75"/>
      <c r="G48" s="75"/>
      <c r="H48" s="75"/>
      <c r="I48" s="77" t="str">
        <f>W47</f>
        <v>Burnos ertmės ir ryklės</v>
      </c>
      <c r="J48" s="75"/>
      <c r="K48" s="75"/>
      <c r="L48" s="75"/>
      <c r="M48" s="75"/>
      <c r="N48" s="75"/>
      <c r="O48" s="75"/>
      <c r="P48" s="75"/>
      <c r="Q48" s="75"/>
      <c r="R48" s="75"/>
      <c r="S48" s="77" t="str">
        <f>AA47</f>
        <v>Skydliaukės</v>
      </c>
      <c r="T48" s="75"/>
      <c r="U48" s="75"/>
      <c r="V48" s="31"/>
      <c r="W48" s="350" t="s">
        <v>213</v>
      </c>
      <c r="X48" s="350">
        <v>74</v>
      </c>
      <c r="Y48" s="366">
        <v>5.8084772370486655E-2</v>
      </c>
      <c r="Z48" s="350"/>
      <c r="AA48" s="350" t="s">
        <v>233</v>
      </c>
      <c r="AB48" s="350">
        <v>135</v>
      </c>
      <c r="AC48" s="366">
        <v>7.9505300353356886E-2</v>
      </c>
      <c r="AD48" s="350"/>
      <c r="AE48" s="31"/>
    </row>
    <row r="49" spans="1:31" ht="20.100000000000001" customHeight="1">
      <c r="A49" s="75"/>
      <c r="B49" s="75"/>
      <c r="C49" s="75"/>
      <c r="D49" s="75"/>
      <c r="E49" s="75"/>
      <c r="F49" s="75"/>
      <c r="G49" s="75"/>
      <c r="H49" s="75"/>
      <c r="I49" s="77" t="str">
        <f>W46</f>
        <v>Skrandžio</v>
      </c>
      <c r="J49" s="75"/>
      <c r="K49" s="75"/>
      <c r="L49" s="75"/>
      <c r="M49" s="75"/>
      <c r="N49" s="75"/>
      <c r="O49" s="75"/>
      <c r="P49" s="75"/>
      <c r="Q49" s="75"/>
      <c r="R49" s="75"/>
      <c r="S49" s="77" t="str">
        <f>AA46</f>
        <v>Kiaušidžių</v>
      </c>
      <c r="T49" s="75"/>
      <c r="U49" s="75"/>
      <c r="V49" s="31"/>
      <c r="W49" s="350" t="s">
        <v>216</v>
      </c>
      <c r="X49" s="350">
        <v>97</v>
      </c>
      <c r="Y49" s="366">
        <v>7.6138147566718994E-2</v>
      </c>
      <c r="Z49" s="350"/>
      <c r="AA49" s="350" t="s">
        <v>232</v>
      </c>
      <c r="AB49" s="350">
        <v>170</v>
      </c>
      <c r="AC49" s="366">
        <v>0.10011778563015312</v>
      </c>
      <c r="AD49" s="350"/>
      <c r="AE49" s="31"/>
    </row>
    <row r="50" spans="1:31" ht="20.100000000000001" customHeight="1">
      <c r="A50" s="75"/>
      <c r="B50" s="75"/>
      <c r="C50" s="75"/>
      <c r="D50" s="75"/>
      <c r="E50" s="75"/>
      <c r="F50" s="75"/>
      <c r="G50" s="75"/>
      <c r="H50" s="75"/>
      <c r="I50" s="77" t="str">
        <f>W45</f>
        <v>Smegenų</v>
      </c>
      <c r="J50" s="75"/>
      <c r="K50" s="75"/>
      <c r="L50" s="75"/>
      <c r="M50" s="75"/>
      <c r="N50" s="75"/>
      <c r="O50" s="75"/>
      <c r="P50" s="75"/>
      <c r="Q50" s="75"/>
      <c r="R50" s="75"/>
      <c r="S50" s="77" t="str">
        <f>AA45</f>
        <v>Tiesiosios žarnos, išangės</v>
      </c>
      <c r="T50" s="75"/>
      <c r="U50" s="75"/>
      <c r="V50" s="31"/>
      <c r="W50" s="350" t="s">
        <v>217</v>
      </c>
      <c r="X50" s="350">
        <v>119</v>
      </c>
      <c r="Y50" s="366">
        <v>9.3406593406593408E-2</v>
      </c>
      <c r="Z50" s="350"/>
      <c r="AA50" s="350" t="s">
        <v>216</v>
      </c>
      <c r="AB50" s="350">
        <v>178</v>
      </c>
      <c r="AC50" s="366">
        <v>0.10482921083627797</v>
      </c>
      <c r="AD50" s="350"/>
      <c r="AE50" s="31"/>
    </row>
    <row r="51" spans="1:31" ht="20.100000000000001" customHeight="1">
      <c r="A51" s="75"/>
      <c r="B51" s="75"/>
      <c r="C51" s="75"/>
      <c r="D51" s="75"/>
      <c r="E51" s="75"/>
      <c r="F51" s="75"/>
      <c r="G51" s="75"/>
      <c r="H51" s="75"/>
      <c r="I51" s="77" t="str">
        <f>W44</f>
        <v>Kasos</v>
      </c>
      <c r="J51" s="75"/>
      <c r="K51" s="75"/>
      <c r="L51" s="75"/>
      <c r="M51" s="75"/>
      <c r="N51" s="75"/>
      <c r="O51" s="75"/>
      <c r="P51" s="75"/>
      <c r="Q51" s="75"/>
      <c r="R51" s="75"/>
      <c r="S51" s="77" t="str">
        <f>AA44</f>
        <v>Skrandžio</v>
      </c>
      <c r="T51" s="75"/>
      <c r="U51" s="75"/>
      <c r="V51" s="31"/>
      <c r="W51" s="350" t="s">
        <v>218</v>
      </c>
      <c r="X51" s="350">
        <v>326</v>
      </c>
      <c r="Y51" s="366">
        <v>0.25588697017268447</v>
      </c>
      <c r="Z51" s="350"/>
      <c r="AA51" s="350" t="s">
        <v>234</v>
      </c>
      <c r="AB51" s="350">
        <v>500</v>
      </c>
      <c r="AC51" s="366">
        <v>0.29446407538280328</v>
      </c>
      <c r="AD51" s="350"/>
      <c r="AE51" s="31"/>
    </row>
    <row r="52" spans="1:31" ht="20.100000000000001" customHeight="1">
      <c r="A52" s="75"/>
      <c r="B52" s="75"/>
      <c r="C52" s="75"/>
      <c r="D52" s="75"/>
      <c r="E52" s="75"/>
      <c r="F52" s="75"/>
      <c r="G52" s="75"/>
      <c r="H52" s="75"/>
      <c r="I52" s="77" t="str">
        <f>W43</f>
        <v>Stemplės</v>
      </c>
      <c r="J52" s="75"/>
      <c r="K52" s="75"/>
      <c r="L52" s="75"/>
      <c r="M52" s="75"/>
      <c r="N52" s="75"/>
      <c r="O52" s="75"/>
      <c r="P52" s="75"/>
      <c r="Q52" s="75"/>
      <c r="R52" s="75"/>
      <c r="S52" s="77" t="str">
        <f>AA43</f>
        <v>Odos melanoma</v>
      </c>
      <c r="T52" s="75"/>
      <c r="U52" s="75"/>
      <c r="V52" s="31"/>
      <c r="W52" s="350" t="s">
        <v>210</v>
      </c>
      <c r="X52" s="350">
        <v>1274</v>
      </c>
      <c r="Y52" s="366">
        <v>1</v>
      </c>
      <c r="Z52" s="350"/>
      <c r="AA52" s="350" t="s">
        <v>210</v>
      </c>
      <c r="AB52" s="350">
        <v>1698</v>
      </c>
      <c r="AC52" s="366">
        <v>1</v>
      </c>
      <c r="AD52" s="350"/>
      <c r="AE52" s="31"/>
    </row>
    <row r="53" spans="1:31" ht="20.100000000000001" customHeight="1">
      <c r="A53" s="75"/>
      <c r="B53" s="75"/>
      <c r="C53" s="75"/>
      <c r="D53" s="75"/>
      <c r="E53" s="75"/>
      <c r="F53" s="75"/>
      <c r="G53" s="75"/>
      <c r="H53" s="75"/>
      <c r="I53" s="77" t="str">
        <f>W42</f>
        <v>Gerklų</v>
      </c>
      <c r="J53" s="75"/>
      <c r="K53" s="75"/>
      <c r="L53" s="75"/>
      <c r="M53" s="75"/>
      <c r="N53" s="75"/>
      <c r="O53" s="75"/>
      <c r="P53" s="75"/>
      <c r="Q53" s="75"/>
      <c r="R53" s="75"/>
      <c r="S53" s="77" t="str">
        <f>AA42</f>
        <v>Gaubtinės žarnos</v>
      </c>
      <c r="T53" s="75"/>
      <c r="U53" s="75"/>
      <c r="V53" s="31"/>
      <c r="W53" s="365" t="s">
        <v>457</v>
      </c>
      <c r="X53" s="350"/>
      <c r="Y53" s="367"/>
      <c r="Z53" s="350"/>
      <c r="AA53" s="365" t="s">
        <v>464</v>
      </c>
      <c r="AB53" s="350"/>
      <c r="AC53" s="367"/>
      <c r="AD53" s="350"/>
      <c r="AE53" s="31"/>
    </row>
    <row r="54" spans="1:31" ht="20.100000000000001" customHeight="1">
      <c r="A54" s="75"/>
      <c r="B54" s="75"/>
      <c r="C54" s="75"/>
      <c r="D54" s="75"/>
      <c r="E54" s="75"/>
      <c r="F54" s="75"/>
      <c r="G54" s="75"/>
      <c r="H54" s="75"/>
      <c r="I54" s="77" t="str">
        <f>W41</f>
        <v>Kiti</v>
      </c>
      <c r="J54" s="75"/>
      <c r="K54" s="75"/>
      <c r="L54" s="75"/>
      <c r="M54" s="75"/>
      <c r="N54" s="75"/>
      <c r="O54" s="75"/>
      <c r="P54" s="75"/>
      <c r="Q54" s="75"/>
      <c r="R54" s="75"/>
      <c r="S54" s="77" t="str">
        <f>AA41</f>
        <v>Kiti</v>
      </c>
      <c r="T54" s="75"/>
      <c r="U54" s="75"/>
      <c r="V54" s="31"/>
      <c r="W54" s="412" t="s">
        <v>26</v>
      </c>
      <c r="X54" s="412">
        <v>870</v>
      </c>
      <c r="Y54" s="413">
        <v>0.15228426395939088</v>
      </c>
      <c r="Z54" s="350"/>
      <c r="AA54" s="412" t="s">
        <v>26</v>
      </c>
      <c r="AB54" s="412">
        <v>905</v>
      </c>
      <c r="AC54" s="413">
        <v>0.24572359489546566</v>
      </c>
      <c r="AD54" s="350"/>
      <c r="AE54" s="31"/>
    </row>
    <row r="55" spans="1:31" ht="24.95" customHeight="1">
      <c r="A55" s="75"/>
      <c r="B55" s="75"/>
      <c r="C55" s="75"/>
      <c r="D55" s="75"/>
      <c r="E55" s="75"/>
      <c r="F55" s="75"/>
      <c r="G55" s="75"/>
      <c r="H55" s="75"/>
      <c r="I55" s="75"/>
      <c r="J55" s="75"/>
      <c r="K55" s="75"/>
      <c r="L55" s="75"/>
      <c r="M55" s="75"/>
      <c r="N55" s="75"/>
      <c r="O55" s="75"/>
      <c r="P55" s="75"/>
      <c r="Q55" s="75"/>
      <c r="R55" s="75"/>
      <c r="S55" s="75"/>
      <c r="T55" s="75"/>
      <c r="U55" s="75"/>
      <c r="V55" s="31"/>
      <c r="W55" s="350" t="s">
        <v>220</v>
      </c>
      <c r="X55" s="350">
        <v>137</v>
      </c>
      <c r="Y55" s="366">
        <v>2.3980395589007528E-2</v>
      </c>
      <c r="Z55" s="350"/>
      <c r="AA55" s="350" t="s">
        <v>222</v>
      </c>
      <c r="AB55" s="350">
        <v>119</v>
      </c>
      <c r="AC55" s="366">
        <v>3.2310616345370621E-2</v>
      </c>
      <c r="AD55" s="350"/>
      <c r="AE55" s="31"/>
    </row>
    <row r="56" spans="1:31" ht="24.95" customHeight="1">
      <c r="A56" s="75"/>
      <c r="B56" s="75"/>
      <c r="C56" s="411" t="str">
        <f>W53</f>
        <v>Vyrai, 55-74 metų (5713 atv.)</v>
      </c>
      <c r="D56" s="411"/>
      <c r="E56" s="411"/>
      <c r="F56" s="411"/>
      <c r="G56" s="411"/>
      <c r="H56" s="411"/>
      <c r="I56" s="411"/>
      <c r="J56" s="75"/>
      <c r="K56" s="75"/>
      <c r="L56" s="75"/>
      <c r="M56" s="411" t="str">
        <f>AA53</f>
        <v>Moterys, 55-74 metų (3683 atv.)</v>
      </c>
      <c r="N56" s="411"/>
      <c r="O56" s="411"/>
      <c r="P56" s="411"/>
      <c r="Q56" s="411"/>
      <c r="R56" s="411"/>
      <c r="S56" s="411"/>
      <c r="T56" s="75"/>
      <c r="U56" s="75"/>
      <c r="V56" s="31"/>
      <c r="W56" s="350" t="s">
        <v>219</v>
      </c>
      <c r="X56" s="350">
        <v>160</v>
      </c>
      <c r="Y56" s="366">
        <v>2.8006301417819009E-2</v>
      </c>
      <c r="Z56" s="350"/>
      <c r="AA56" s="350" t="s">
        <v>212</v>
      </c>
      <c r="AB56" s="350">
        <v>131</v>
      </c>
      <c r="AC56" s="366">
        <v>3.5568829758349171E-2</v>
      </c>
      <c r="AD56" s="350"/>
      <c r="AE56" s="31"/>
    </row>
    <row r="57" spans="1:31" ht="20.100000000000001" customHeight="1">
      <c r="A57" s="75"/>
      <c r="B57" s="75"/>
      <c r="C57" s="75"/>
      <c r="D57" s="75"/>
      <c r="E57" s="75"/>
      <c r="F57" s="75"/>
      <c r="G57" s="75"/>
      <c r="H57" s="75"/>
      <c r="I57" s="77" t="str">
        <f>W64</f>
        <v>Priešinės liaukos</v>
      </c>
      <c r="J57" s="75"/>
      <c r="K57" s="75"/>
      <c r="L57" s="75"/>
      <c r="M57" s="75"/>
      <c r="N57" s="75"/>
      <c r="O57" s="75"/>
      <c r="P57" s="75"/>
      <c r="Q57" s="75"/>
      <c r="R57" s="75"/>
      <c r="S57" s="77" t="str">
        <f>AA64</f>
        <v>Krūties</v>
      </c>
      <c r="T57" s="75"/>
      <c r="U57" s="75"/>
      <c r="V57" s="31"/>
      <c r="W57" s="350" t="s">
        <v>211</v>
      </c>
      <c r="X57" s="350">
        <v>163</v>
      </c>
      <c r="Y57" s="366">
        <v>2.8531419569403117E-2</v>
      </c>
      <c r="Z57" s="350"/>
      <c r="AA57" s="350" t="s">
        <v>215</v>
      </c>
      <c r="AB57" s="350">
        <v>134</v>
      </c>
      <c r="AC57" s="366">
        <v>3.6383383111593809E-2</v>
      </c>
      <c r="AD57" s="350"/>
      <c r="AE57" s="31"/>
    </row>
    <row r="58" spans="1:31" ht="20.100000000000001" customHeight="1">
      <c r="A58" s="75"/>
      <c r="B58" s="75"/>
      <c r="C58" s="75"/>
      <c r="D58" s="75"/>
      <c r="E58" s="75"/>
      <c r="F58" s="75"/>
      <c r="G58" s="75"/>
      <c r="H58" s="75"/>
      <c r="I58" s="77" t="str">
        <f>W63</f>
        <v>Plaučių, trachėjos, bronchų</v>
      </c>
      <c r="J58" s="75"/>
      <c r="K58" s="75"/>
      <c r="L58" s="75"/>
      <c r="M58" s="75"/>
      <c r="N58" s="75"/>
      <c r="O58" s="75"/>
      <c r="P58" s="75"/>
      <c r="Q58" s="75"/>
      <c r="R58" s="75"/>
      <c r="S58" s="77" t="str">
        <f>AA63</f>
        <v>Kiti odos piktybiniai navikai</v>
      </c>
      <c r="T58" s="75"/>
      <c r="U58" s="75"/>
      <c r="V58" s="31"/>
      <c r="W58" s="350" t="s">
        <v>212</v>
      </c>
      <c r="X58" s="350">
        <v>182</v>
      </c>
      <c r="Y58" s="366">
        <v>3.1857167862769126E-2</v>
      </c>
      <c r="Z58" s="350"/>
      <c r="AA58" s="350" t="s">
        <v>217</v>
      </c>
      <c r="AB58" s="350">
        <v>136</v>
      </c>
      <c r="AC58" s="366">
        <v>3.6926418680423567E-2</v>
      </c>
      <c r="AD58" s="350"/>
      <c r="AE58" s="31"/>
    </row>
    <row r="59" spans="1:31" ht="20.100000000000001" customHeight="1">
      <c r="A59" s="75"/>
      <c r="B59" s="75"/>
      <c r="C59" s="75"/>
      <c r="D59" s="75"/>
      <c r="E59" s="75"/>
      <c r="F59" s="75"/>
      <c r="G59" s="75"/>
      <c r="H59" s="75"/>
      <c r="I59" s="77" t="str">
        <f>W62</f>
        <v>Kiti odos piktybiniai navikai</v>
      </c>
      <c r="J59" s="75"/>
      <c r="K59" s="75"/>
      <c r="L59" s="75"/>
      <c r="M59" s="75"/>
      <c r="N59" s="75"/>
      <c r="O59" s="75"/>
      <c r="P59" s="75"/>
      <c r="Q59" s="75"/>
      <c r="R59" s="75"/>
      <c r="S59" s="77" t="str">
        <f>AA62</f>
        <v>Gimdos kūno</v>
      </c>
      <c r="T59" s="75"/>
      <c r="U59" s="75"/>
      <c r="V59" s="31"/>
      <c r="W59" s="350" t="s">
        <v>214</v>
      </c>
      <c r="X59" s="350">
        <v>220</v>
      </c>
      <c r="Y59" s="366">
        <v>3.8508664449501136E-2</v>
      </c>
      <c r="Z59" s="350"/>
      <c r="AA59" s="350" t="s">
        <v>213</v>
      </c>
      <c r="AB59" s="350">
        <v>136</v>
      </c>
      <c r="AC59" s="366">
        <v>3.6926418680423567E-2</v>
      </c>
      <c r="AD59" s="350"/>
      <c r="AE59" s="31"/>
    </row>
    <row r="60" spans="1:31" ht="20.100000000000001" customHeight="1">
      <c r="A60" s="75"/>
      <c r="B60" s="75"/>
      <c r="C60" s="75"/>
      <c r="D60" s="75"/>
      <c r="E60" s="75"/>
      <c r="F60" s="75"/>
      <c r="G60" s="75"/>
      <c r="H60" s="75"/>
      <c r="I60" s="77" t="str">
        <f>W61</f>
        <v>Inkstų</v>
      </c>
      <c r="J60" s="75"/>
      <c r="K60" s="75"/>
      <c r="L60" s="75"/>
      <c r="M60" s="75"/>
      <c r="N60" s="75"/>
      <c r="O60" s="75"/>
      <c r="P60" s="75"/>
      <c r="Q60" s="75"/>
      <c r="R60" s="75"/>
      <c r="S60" s="77" t="str">
        <f>AA61</f>
        <v>Gaubtinės žarnos</v>
      </c>
      <c r="T60" s="75"/>
      <c r="U60" s="75"/>
      <c r="V60" s="31"/>
      <c r="W60" s="350" t="s">
        <v>215</v>
      </c>
      <c r="X60" s="350">
        <v>242</v>
      </c>
      <c r="Y60" s="366">
        <v>4.2359530894451249E-2</v>
      </c>
      <c r="Z60" s="350"/>
      <c r="AA60" s="350" t="s">
        <v>231</v>
      </c>
      <c r="AB60" s="350">
        <v>175</v>
      </c>
      <c r="AC60" s="366">
        <v>4.7515612272603855E-2</v>
      </c>
      <c r="AD60" s="350"/>
      <c r="AE60" s="31"/>
    </row>
    <row r="61" spans="1:31" ht="20.100000000000001" customHeight="1">
      <c r="A61" s="75"/>
      <c r="B61" s="75"/>
      <c r="C61" s="75"/>
      <c r="D61" s="75"/>
      <c r="E61" s="75"/>
      <c r="F61" s="75"/>
      <c r="G61" s="75"/>
      <c r="H61" s="75"/>
      <c r="I61" s="77" t="str">
        <f>W60</f>
        <v>Skrandžio</v>
      </c>
      <c r="J61" s="75"/>
      <c r="K61" s="75"/>
      <c r="L61" s="75"/>
      <c r="M61" s="75"/>
      <c r="N61" s="75"/>
      <c r="O61" s="75"/>
      <c r="P61" s="75"/>
      <c r="Q61" s="75"/>
      <c r="R61" s="75"/>
      <c r="S61" s="77" t="str">
        <f>AA60</f>
        <v>Kiaušidžių</v>
      </c>
      <c r="T61" s="75"/>
      <c r="U61" s="75"/>
      <c r="V61" s="31"/>
      <c r="W61" s="350" t="s">
        <v>213</v>
      </c>
      <c r="X61" s="350">
        <v>260</v>
      </c>
      <c r="Y61" s="366">
        <v>4.5510239803955889E-2</v>
      </c>
      <c r="Z61" s="350"/>
      <c r="AA61" s="350" t="s">
        <v>214</v>
      </c>
      <c r="AB61" s="350">
        <v>222</v>
      </c>
      <c r="AC61" s="366">
        <v>6.0276948140103176E-2</v>
      </c>
      <c r="AD61" s="350"/>
      <c r="AE61" s="31"/>
    </row>
    <row r="62" spans="1:31" ht="20.100000000000001" customHeight="1">
      <c r="A62" s="75"/>
      <c r="B62" s="75"/>
      <c r="C62" s="75"/>
      <c r="D62" s="75"/>
      <c r="E62" s="75"/>
      <c r="F62" s="75"/>
      <c r="G62" s="75"/>
      <c r="H62" s="75"/>
      <c r="I62" s="77" t="str">
        <f>W59</f>
        <v>Gaubtinės žarnos</v>
      </c>
      <c r="J62" s="75"/>
      <c r="K62" s="75"/>
      <c r="L62" s="75"/>
      <c r="M62" s="75"/>
      <c r="N62" s="75"/>
      <c r="O62" s="75"/>
      <c r="P62" s="75"/>
      <c r="Q62" s="75"/>
      <c r="R62" s="75"/>
      <c r="S62" s="77" t="str">
        <f>AA59</f>
        <v>Inkstų</v>
      </c>
      <c r="T62" s="75"/>
      <c r="U62" s="75"/>
      <c r="V62" s="31"/>
      <c r="W62" s="350" t="s">
        <v>216</v>
      </c>
      <c r="X62" s="350">
        <v>423</v>
      </c>
      <c r="Y62" s="366">
        <v>7.4041659373359006E-2</v>
      </c>
      <c r="Z62" s="350"/>
      <c r="AA62" s="350" t="s">
        <v>233</v>
      </c>
      <c r="AB62" s="350">
        <v>342</v>
      </c>
      <c r="AC62" s="366">
        <v>9.2859082269888676E-2</v>
      </c>
      <c r="AD62" s="350"/>
      <c r="AE62" s="31"/>
    </row>
    <row r="63" spans="1:31" ht="20.100000000000001" customHeight="1">
      <c r="A63" s="75"/>
      <c r="B63" s="75"/>
      <c r="C63" s="75"/>
      <c r="D63" s="75"/>
      <c r="E63" s="75"/>
      <c r="F63" s="75"/>
      <c r="G63" s="75"/>
      <c r="H63" s="75"/>
      <c r="I63" s="77" t="str">
        <f>W58</f>
        <v>Tiesiosios žarnos, išangės</v>
      </c>
      <c r="J63" s="75"/>
      <c r="K63" s="75"/>
      <c r="L63" s="75"/>
      <c r="M63" s="75"/>
      <c r="N63" s="75"/>
      <c r="O63" s="75"/>
      <c r="P63" s="75"/>
      <c r="Q63" s="75"/>
      <c r="R63" s="75"/>
      <c r="S63" s="77" t="str">
        <f>AA58</f>
        <v>Plaučių, trachėjos, bronchų</v>
      </c>
      <c r="T63" s="75"/>
      <c r="U63" s="75"/>
      <c r="V63" s="31"/>
      <c r="W63" s="350" t="s">
        <v>217</v>
      </c>
      <c r="X63" s="350">
        <v>752</v>
      </c>
      <c r="Y63" s="366">
        <v>0.13162961666374934</v>
      </c>
      <c r="Z63" s="350"/>
      <c r="AA63" s="350" t="s">
        <v>216</v>
      </c>
      <c r="AB63" s="350">
        <v>589</v>
      </c>
      <c r="AC63" s="366">
        <v>0.15992397502036385</v>
      </c>
      <c r="AD63" s="350"/>
      <c r="AE63" s="31"/>
    </row>
    <row r="64" spans="1:31" ht="20.100000000000001" customHeight="1">
      <c r="A64" s="75"/>
      <c r="B64" s="75"/>
      <c r="C64" s="75"/>
      <c r="D64" s="75"/>
      <c r="E64" s="75"/>
      <c r="F64" s="75"/>
      <c r="G64" s="75"/>
      <c r="H64" s="75"/>
      <c r="I64" s="77" t="str">
        <f>W57</f>
        <v>Burnos ertmės ir ryklės</v>
      </c>
      <c r="J64" s="75"/>
      <c r="K64" s="75"/>
      <c r="L64" s="75"/>
      <c r="M64" s="75"/>
      <c r="N64" s="75"/>
      <c r="O64" s="75"/>
      <c r="P64" s="75"/>
      <c r="Q64" s="75"/>
      <c r="R64" s="75"/>
      <c r="S64" s="77" t="str">
        <f>AA57</f>
        <v>Skrandžio</v>
      </c>
      <c r="T64" s="75"/>
      <c r="U64" s="75"/>
      <c r="V64" s="31"/>
      <c r="W64" s="350" t="s">
        <v>218</v>
      </c>
      <c r="X64" s="350">
        <v>2304</v>
      </c>
      <c r="Y64" s="366">
        <v>0.40329074041659374</v>
      </c>
      <c r="Z64" s="350"/>
      <c r="AA64" s="350" t="s">
        <v>234</v>
      </c>
      <c r="AB64" s="350">
        <v>794</v>
      </c>
      <c r="AC64" s="366">
        <v>0.21558512082541406</v>
      </c>
      <c r="AD64" s="350"/>
      <c r="AE64" s="31"/>
    </row>
    <row r="65" spans="1:31" ht="20.100000000000001" customHeight="1">
      <c r="A65" s="75"/>
      <c r="B65" s="75"/>
      <c r="C65" s="75"/>
      <c r="D65" s="75"/>
      <c r="E65" s="75"/>
      <c r="F65" s="75"/>
      <c r="G65" s="75"/>
      <c r="H65" s="75"/>
      <c r="I65" s="77" t="str">
        <f>W56</f>
        <v>Kasos</v>
      </c>
      <c r="J65" s="75"/>
      <c r="K65" s="75"/>
      <c r="L65" s="75"/>
      <c r="M65" s="75"/>
      <c r="N65" s="75"/>
      <c r="O65" s="75"/>
      <c r="P65" s="75"/>
      <c r="Q65" s="75"/>
      <c r="R65" s="75"/>
      <c r="S65" s="77" t="str">
        <f>AA56</f>
        <v>Tiesiosios žarnos, išangės</v>
      </c>
      <c r="T65" s="75"/>
      <c r="U65" s="75"/>
      <c r="V65" s="31"/>
      <c r="W65" s="350" t="s">
        <v>210</v>
      </c>
      <c r="X65" s="350">
        <v>5713</v>
      </c>
      <c r="Y65" s="366">
        <v>1</v>
      </c>
      <c r="Z65" s="350"/>
      <c r="AA65" s="350" t="s">
        <v>210</v>
      </c>
      <c r="AB65" s="350">
        <v>3683</v>
      </c>
      <c r="AC65" s="366">
        <v>1</v>
      </c>
      <c r="AD65" s="350"/>
      <c r="AE65" s="31"/>
    </row>
    <row r="66" spans="1:31" ht="20.100000000000001" customHeight="1">
      <c r="A66" s="75"/>
      <c r="B66" s="75"/>
      <c r="C66" s="75"/>
      <c r="D66" s="75"/>
      <c r="E66" s="75"/>
      <c r="F66" s="75"/>
      <c r="G66" s="75"/>
      <c r="H66" s="75"/>
      <c r="I66" s="77" t="str">
        <f>W55</f>
        <v>Šlapimo pūslės</v>
      </c>
      <c r="J66" s="75"/>
      <c r="K66" s="75"/>
      <c r="L66" s="75"/>
      <c r="M66" s="75"/>
      <c r="N66" s="75"/>
      <c r="O66" s="75"/>
      <c r="P66" s="75"/>
      <c r="Q66" s="75"/>
      <c r="R66" s="75"/>
      <c r="S66" s="77" t="str">
        <f>AA55</f>
        <v>Skydliaukės</v>
      </c>
      <c r="T66" s="75"/>
      <c r="U66" s="75"/>
      <c r="V66" s="31"/>
      <c r="W66" s="365" t="s">
        <v>458</v>
      </c>
      <c r="X66" s="350"/>
      <c r="Y66" s="367"/>
      <c r="Z66" s="350"/>
      <c r="AA66" s="365" t="s">
        <v>465</v>
      </c>
      <c r="AB66" s="350"/>
      <c r="AC66" s="367"/>
      <c r="AD66" s="350"/>
      <c r="AE66" s="31"/>
    </row>
    <row r="67" spans="1:31" ht="20.100000000000001" customHeight="1">
      <c r="A67" s="75"/>
      <c r="B67" s="75"/>
      <c r="C67" s="75"/>
      <c r="D67" s="75"/>
      <c r="E67" s="75"/>
      <c r="F67" s="75"/>
      <c r="G67" s="75"/>
      <c r="H67" s="75"/>
      <c r="I67" s="77" t="str">
        <f>W54</f>
        <v>Kiti</v>
      </c>
      <c r="J67" s="75"/>
      <c r="K67" s="75"/>
      <c r="L67" s="75"/>
      <c r="M67" s="75"/>
      <c r="N67" s="75"/>
      <c r="O67" s="75"/>
      <c r="P67" s="75"/>
      <c r="Q67" s="75"/>
      <c r="R67" s="75"/>
      <c r="S67" s="77" t="str">
        <f>AA54</f>
        <v>Kiti</v>
      </c>
      <c r="T67" s="75"/>
      <c r="U67" s="75"/>
      <c r="V67" s="31"/>
      <c r="W67" s="412" t="s">
        <v>26</v>
      </c>
      <c r="X67" s="412">
        <v>422</v>
      </c>
      <c r="Y67" s="413">
        <v>0.17029862792574657</v>
      </c>
      <c r="Z67" s="350"/>
      <c r="AA67" s="412" t="s">
        <v>26</v>
      </c>
      <c r="AB67" s="412">
        <v>710</v>
      </c>
      <c r="AC67" s="413">
        <v>0.25893508388037928</v>
      </c>
      <c r="AD67" s="350"/>
      <c r="AE67" s="31"/>
    </row>
    <row r="68" spans="1:31" ht="24.95" customHeight="1">
      <c r="A68" s="75"/>
      <c r="B68" s="75"/>
      <c r="C68" s="75"/>
      <c r="D68" s="75"/>
      <c r="E68" s="75"/>
      <c r="F68" s="75"/>
      <c r="G68" s="75"/>
      <c r="H68" s="75"/>
      <c r="I68" s="75"/>
      <c r="J68" s="75"/>
      <c r="K68" s="75"/>
      <c r="L68" s="75"/>
      <c r="M68" s="75"/>
      <c r="N68" s="75"/>
      <c r="O68" s="75"/>
      <c r="P68" s="75"/>
      <c r="Q68" s="75"/>
      <c r="R68" s="75"/>
      <c r="S68" s="75"/>
      <c r="T68" s="75"/>
      <c r="U68" s="75"/>
      <c r="V68" s="31"/>
      <c r="W68" s="350" t="s">
        <v>213</v>
      </c>
      <c r="X68" s="350">
        <v>85</v>
      </c>
      <c r="Y68" s="366">
        <v>3.4301856335754638E-2</v>
      </c>
      <c r="Z68" s="350"/>
      <c r="AA68" s="350" t="s">
        <v>231</v>
      </c>
      <c r="AB68" s="350">
        <v>99</v>
      </c>
      <c r="AC68" s="366">
        <v>3.6105032822757115E-2</v>
      </c>
      <c r="AD68" s="350"/>
      <c r="AE68" s="31"/>
    </row>
    <row r="69" spans="1:31" ht="24.95" customHeight="1">
      <c r="A69" s="75"/>
      <c r="B69" s="75"/>
      <c r="C69" s="411" t="str">
        <f>W66</f>
        <v>Vyrai, 75 ir daugiau metų (2478 atv.)</v>
      </c>
      <c r="D69" s="411"/>
      <c r="E69" s="411"/>
      <c r="F69" s="411"/>
      <c r="G69" s="411"/>
      <c r="H69" s="411"/>
      <c r="I69" s="411"/>
      <c r="J69" s="75"/>
      <c r="K69" s="75"/>
      <c r="L69" s="75"/>
      <c r="M69" s="411" t="str">
        <f>AA66</f>
        <v>Moterys, 75 ir daugiau metų (2742 atv.)</v>
      </c>
      <c r="N69" s="411"/>
      <c r="O69" s="411"/>
      <c r="P69" s="411"/>
      <c r="Q69" s="411"/>
      <c r="R69" s="411"/>
      <c r="S69" s="411"/>
      <c r="T69" s="75"/>
      <c r="U69" s="75"/>
      <c r="V69" s="31"/>
      <c r="W69" s="350" t="s">
        <v>227</v>
      </c>
      <c r="X69" s="350">
        <v>85</v>
      </c>
      <c r="Y69" s="366">
        <v>3.4301856335754638E-2</v>
      </c>
      <c r="Z69" s="350"/>
      <c r="AA69" s="350" t="s">
        <v>237</v>
      </c>
      <c r="AB69" s="350">
        <v>106</v>
      </c>
      <c r="AC69" s="366">
        <v>3.8657913931436909E-2</v>
      </c>
      <c r="AD69" s="350"/>
      <c r="AE69" s="31"/>
    </row>
    <row r="70" spans="1:31" ht="20.100000000000001" customHeight="1">
      <c r="A70" s="75"/>
      <c r="B70" s="75"/>
      <c r="C70" s="75"/>
      <c r="D70" s="75"/>
      <c r="E70" s="75"/>
      <c r="F70" s="75"/>
      <c r="G70" s="75"/>
      <c r="H70" s="75"/>
      <c r="I70" s="77" t="str">
        <f>W77</f>
        <v>Priešinės liaukos</v>
      </c>
      <c r="J70" s="75"/>
      <c r="K70" s="75"/>
      <c r="L70" s="75"/>
      <c r="M70" s="75"/>
      <c r="N70" s="75"/>
      <c r="O70" s="75"/>
      <c r="P70" s="75"/>
      <c r="Q70" s="75"/>
      <c r="R70" s="75"/>
      <c r="S70" s="77" t="str">
        <f>AA77</f>
        <v>Kiti odos piktybiniai navikai</v>
      </c>
      <c r="T70" s="75"/>
      <c r="U70" s="75"/>
      <c r="V70" s="31"/>
      <c r="W70" s="350" t="s">
        <v>237</v>
      </c>
      <c r="X70" s="350">
        <v>92</v>
      </c>
      <c r="Y70" s="366">
        <v>3.7126715092816787E-2</v>
      </c>
      <c r="Z70" s="350"/>
      <c r="AA70" s="350" t="s">
        <v>227</v>
      </c>
      <c r="AB70" s="350">
        <v>106</v>
      </c>
      <c r="AC70" s="366">
        <v>3.8657913931436909E-2</v>
      </c>
      <c r="AD70" s="350"/>
      <c r="AE70" s="31"/>
    </row>
    <row r="71" spans="1:31" ht="20.100000000000001" customHeight="1">
      <c r="A71" s="75"/>
      <c r="B71" s="75"/>
      <c r="C71" s="75"/>
      <c r="D71" s="75"/>
      <c r="E71" s="75"/>
      <c r="F71" s="75"/>
      <c r="G71" s="75"/>
      <c r="H71" s="75"/>
      <c r="I71" s="77" t="str">
        <f>W76</f>
        <v>Kiti odos piktybiniai navikai</v>
      </c>
      <c r="J71" s="75"/>
      <c r="K71" s="75"/>
      <c r="L71" s="75"/>
      <c r="M71" s="75"/>
      <c r="N71" s="75"/>
      <c r="O71" s="75"/>
      <c r="P71" s="75"/>
      <c r="Q71" s="75"/>
      <c r="R71" s="75"/>
      <c r="S71" s="77" t="str">
        <f>AA76</f>
        <v>Krūties</v>
      </c>
      <c r="T71" s="75"/>
      <c r="U71" s="75"/>
      <c r="V71" s="31"/>
      <c r="W71" s="350" t="s">
        <v>220</v>
      </c>
      <c r="X71" s="350">
        <v>110</v>
      </c>
      <c r="Y71" s="366">
        <v>4.4390637610976592E-2</v>
      </c>
      <c r="Z71" s="350"/>
      <c r="AA71" s="350" t="s">
        <v>219</v>
      </c>
      <c r="AB71" s="350">
        <v>126</v>
      </c>
      <c r="AC71" s="366">
        <v>4.5951859956236324E-2</v>
      </c>
      <c r="AD71" s="350"/>
      <c r="AE71" s="31"/>
    </row>
    <row r="72" spans="1:31" ht="20.100000000000001" customHeight="1">
      <c r="A72" s="75"/>
      <c r="B72" s="75"/>
      <c r="C72" s="75"/>
      <c r="D72" s="75"/>
      <c r="E72" s="75"/>
      <c r="F72" s="75"/>
      <c r="G72" s="75"/>
      <c r="H72" s="75"/>
      <c r="I72" s="77" t="str">
        <f>W75</f>
        <v>Plaučių, trachėjos, bronchų</v>
      </c>
      <c r="J72" s="75"/>
      <c r="K72" s="75"/>
      <c r="L72" s="75"/>
      <c r="M72" s="75"/>
      <c r="N72" s="75"/>
      <c r="O72" s="75"/>
      <c r="P72" s="75"/>
      <c r="Q72" s="75"/>
      <c r="R72" s="75"/>
      <c r="S72" s="77" t="str">
        <f>AA75</f>
        <v>Gaubtinės žarnos</v>
      </c>
      <c r="T72" s="75"/>
      <c r="U72" s="75"/>
      <c r="V72" s="31"/>
      <c r="W72" s="350" t="s">
        <v>212</v>
      </c>
      <c r="X72" s="350">
        <v>133</v>
      </c>
      <c r="Y72" s="366">
        <v>5.3672316384180789E-2</v>
      </c>
      <c r="Z72" s="350"/>
      <c r="AA72" s="350" t="s">
        <v>212</v>
      </c>
      <c r="AB72" s="350">
        <v>138</v>
      </c>
      <c r="AC72" s="366">
        <v>5.0328227571115977E-2</v>
      </c>
      <c r="AD72" s="350"/>
      <c r="AE72" s="31"/>
    </row>
    <row r="73" spans="1:31" ht="20.100000000000001" customHeight="1">
      <c r="A73" s="75"/>
      <c r="B73" s="75"/>
      <c r="C73" s="75"/>
      <c r="D73" s="75"/>
      <c r="E73" s="75"/>
      <c r="F73" s="75"/>
      <c r="G73" s="75"/>
      <c r="H73" s="75"/>
      <c r="I73" s="77" t="str">
        <f>W74</f>
        <v>Gaubtinės žarnos</v>
      </c>
      <c r="J73" s="75"/>
      <c r="K73" s="75"/>
      <c r="L73" s="75"/>
      <c r="M73" s="75"/>
      <c r="N73" s="75"/>
      <c r="O73" s="75"/>
      <c r="P73" s="75"/>
      <c r="Q73" s="75"/>
      <c r="R73" s="75"/>
      <c r="S73" s="77" t="str">
        <f>AA74</f>
        <v>Skrandžio</v>
      </c>
      <c r="T73" s="75"/>
      <c r="U73" s="75"/>
      <c r="V73" s="31"/>
      <c r="W73" s="350" t="s">
        <v>215</v>
      </c>
      <c r="X73" s="350">
        <v>152</v>
      </c>
      <c r="Y73" s="366">
        <v>6.1339790153349477E-2</v>
      </c>
      <c r="Z73" s="350"/>
      <c r="AA73" s="350" t="s">
        <v>233</v>
      </c>
      <c r="AB73" s="350">
        <v>139</v>
      </c>
      <c r="AC73" s="366">
        <v>5.0692924872355945E-2</v>
      </c>
      <c r="AD73" s="350"/>
      <c r="AE73" s="31"/>
    </row>
    <row r="74" spans="1:31" ht="20.100000000000001" customHeight="1">
      <c r="A74" s="75"/>
      <c r="B74" s="75"/>
      <c r="C74" s="75"/>
      <c r="D74" s="75"/>
      <c r="E74" s="75"/>
      <c r="F74" s="75"/>
      <c r="G74" s="75"/>
      <c r="H74" s="75"/>
      <c r="I74" s="77" t="str">
        <f>W73</f>
        <v>Skrandžio</v>
      </c>
      <c r="J74" s="75"/>
      <c r="K74" s="75"/>
      <c r="L74" s="75"/>
      <c r="M74" s="75"/>
      <c r="N74" s="75"/>
      <c r="O74" s="75"/>
      <c r="P74" s="75"/>
      <c r="Q74" s="75"/>
      <c r="R74" s="75"/>
      <c r="S74" s="77" t="str">
        <f>AA73</f>
        <v>Gimdos kūno</v>
      </c>
      <c r="T74" s="75"/>
      <c r="U74" s="75"/>
      <c r="V74" s="31"/>
      <c r="W74" s="350" t="s">
        <v>214</v>
      </c>
      <c r="X74" s="350">
        <v>155</v>
      </c>
      <c r="Y74" s="366">
        <v>6.255044390637611E-2</v>
      </c>
      <c r="Z74" s="350"/>
      <c r="AA74" s="350" t="s">
        <v>215</v>
      </c>
      <c r="AB74" s="350">
        <v>159</v>
      </c>
      <c r="AC74" s="366">
        <v>5.798687089715536E-2</v>
      </c>
      <c r="AD74" s="350"/>
      <c r="AE74" s="31"/>
    </row>
    <row r="75" spans="1:31" ht="20.100000000000001" customHeight="1">
      <c r="A75" s="75"/>
      <c r="B75" s="75"/>
      <c r="C75" s="75"/>
      <c r="D75" s="75"/>
      <c r="E75" s="75"/>
      <c r="F75" s="75"/>
      <c r="G75" s="75"/>
      <c r="H75" s="75"/>
      <c r="I75" s="77" t="str">
        <f>W72</f>
        <v>Tiesiosios žarnos, išangės</v>
      </c>
      <c r="J75" s="75"/>
      <c r="K75" s="75"/>
      <c r="L75" s="75"/>
      <c r="M75" s="75"/>
      <c r="N75" s="75"/>
      <c r="O75" s="75"/>
      <c r="P75" s="75"/>
      <c r="Q75" s="75"/>
      <c r="R75" s="75"/>
      <c r="S75" s="77" t="str">
        <f>AA72</f>
        <v>Tiesiosios žarnos, išangės</v>
      </c>
      <c r="T75" s="75"/>
      <c r="U75" s="75"/>
      <c r="V75" s="31"/>
      <c r="W75" s="350" t="s">
        <v>217</v>
      </c>
      <c r="X75" s="350">
        <v>304</v>
      </c>
      <c r="Y75" s="366">
        <v>0.12267958030669895</v>
      </c>
      <c r="Z75" s="350"/>
      <c r="AA75" s="350" t="s">
        <v>214</v>
      </c>
      <c r="AB75" s="350">
        <v>204</v>
      </c>
      <c r="AC75" s="366">
        <v>7.4398249452954049E-2</v>
      </c>
      <c r="AD75" s="350"/>
      <c r="AE75" s="31"/>
    </row>
    <row r="76" spans="1:31" ht="20.100000000000001" customHeight="1">
      <c r="A76" s="75"/>
      <c r="B76" s="75"/>
      <c r="C76" s="75"/>
      <c r="D76" s="75"/>
      <c r="E76" s="75"/>
      <c r="F76" s="75"/>
      <c r="G76" s="75"/>
      <c r="H76" s="75"/>
      <c r="I76" s="77" t="str">
        <f>W71</f>
        <v>Šlapimo pūslės</v>
      </c>
      <c r="J76" s="75"/>
      <c r="K76" s="75"/>
      <c r="L76" s="75"/>
      <c r="M76" s="75"/>
      <c r="N76" s="75"/>
      <c r="O76" s="75"/>
      <c r="P76" s="75"/>
      <c r="Q76" s="75"/>
      <c r="R76" s="75"/>
      <c r="S76" s="77" t="str">
        <f>AA71</f>
        <v>Kasos</v>
      </c>
      <c r="T76" s="75"/>
      <c r="U76" s="75"/>
      <c r="V76" s="31"/>
      <c r="W76" s="350" t="s">
        <v>216</v>
      </c>
      <c r="X76" s="350">
        <v>340</v>
      </c>
      <c r="Y76" s="366">
        <v>0.13720742534301855</v>
      </c>
      <c r="Z76" s="350"/>
      <c r="AA76" s="350" t="s">
        <v>234</v>
      </c>
      <c r="AB76" s="350">
        <v>354</v>
      </c>
      <c r="AC76" s="366">
        <v>0.12910284463894967</v>
      </c>
      <c r="AD76" s="350"/>
      <c r="AE76" s="31"/>
    </row>
    <row r="77" spans="1:31" ht="20.100000000000001" customHeight="1">
      <c r="A77" s="75"/>
      <c r="B77" s="75"/>
      <c r="C77" s="75"/>
      <c r="D77" s="75"/>
      <c r="E77" s="75"/>
      <c r="F77" s="75"/>
      <c r="G77" s="75"/>
      <c r="H77" s="75"/>
      <c r="I77" s="77" t="str">
        <f>W70</f>
        <v>Nepatikslintos lokalizacijos</v>
      </c>
      <c r="J77" s="75"/>
      <c r="K77" s="75"/>
      <c r="L77" s="75"/>
      <c r="M77" s="75"/>
      <c r="N77" s="75"/>
      <c r="O77" s="75"/>
      <c r="P77" s="75"/>
      <c r="Q77" s="75"/>
      <c r="R77" s="75"/>
      <c r="S77" s="77" t="str">
        <f>AA70</f>
        <v>Leukemijos</v>
      </c>
      <c r="T77" s="75"/>
      <c r="U77" s="75"/>
      <c r="V77" s="31"/>
      <c r="W77" s="350" t="s">
        <v>218</v>
      </c>
      <c r="X77" s="350">
        <v>600</v>
      </c>
      <c r="Y77" s="366">
        <v>0.24213075060532688</v>
      </c>
      <c r="Z77" s="350"/>
      <c r="AA77" s="350" t="s">
        <v>216</v>
      </c>
      <c r="AB77" s="350">
        <v>601</v>
      </c>
      <c r="AC77" s="366">
        <v>0.21918307804522247</v>
      </c>
      <c r="AD77" s="350"/>
      <c r="AE77" s="31"/>
    </row>
    <row r="78" spans="1:31" ht="20.100000000000001" customHeight="1">
      <c r="A78" s="75"/>
      <c r="B78" s="75"/>
      <c r="C78" s="75"/>
      <c r="D78" s="75"/>
      <c r="E78" s="75"/>
      <c r="F78" s="75"/>
      <c r="G78" s="75"/>
      <c r="H78" s="75"/>
      <c r="I78" s="77" t="str">
        <f>W69</f>
        <v>Leukemijos</v>
      </c>
      <c r="J78" s="75"/>
      <c r="K78" s="75"/>
      <c r="L78" s="75"/>
      <c r="M78" s="75"/>
      <c r="N78" s="75"/>
      <c r="O78" s="75"/>
      <c r="P78" s="75"/>
      <c r="Q78" s="75"/>
      <c r="R78" s="75"/>
      <c r="S78" s="77" t="str">
        <f>AA69</f>
        <v>Nepatikslintos lokalizacijos</v>
      </c>
      <c r="T78" s="75"/>
      <c r="U78" s="75"/>
      <c r="V78" s="31"/>
      <c r="W78" s="350" t="s">
        <v>210</v>
      </c>
      <c r="X78" s="350">
        <v>2478</v>
      </c>
      <c r="Y78" s="366">
        <v>1</v>
      </c>
      <c r="Z78" s="350"/>
      <c r="AA78" s="350" t="s">
        <v>210</v>
      </c>
      <c r="AB78" s="350">
        <v>2742</v>
      </c>
      <c r="AC78" s="366">
        <v>1</v>
      </c>
      <c r="AD78" s="350"/>
      <c r="AE78" s="31"/>
    </row>
    <row r="79" spans="1:31" ht="20.100000000000001" customHeight="1">
      <c r="A79" s="75"/>
      <c r="B79" s="75"/>
      <c r="C79" s="75"/>
      <c r="D79" s="75"/>
      <c r="E79" s="75"/>
      <c r="F79" s="75"/>
      <c r="G79" s="75"/>
      <c r="H79" s="75"/>
      <c r="I79" s="77" t="str">
        <f>W68</f>
        <v>Inkstų</v>
      </c>
      <c r="J79" s="75"/>
      <c r="K79" s="75"/>
      <c r="L79" s="75"/>
      <c r="M79" s="75"/>
      <c r="N79" s="75"/>
      <c r="O79" s="75"/>
      <c r="P79" s="75"/>
      <c r="Q79" s="75"/>
      <c r="R79" s="75"/>
      <c r="S79" s="77" t="str">
        <f>AA68</f>
        <v>Kiaušidžių</v>
      </c>
      <c r="T79" s="75"/>
      <c r="U79" s="75"/>
      <c r="V79" s="31"/>
      <c r="W79" s="365" t="s">
        <v>210</v>
      </c>
      <c r="X79" s="350">
        <v>2347</v>
      </c>
      <c r="Y79" s="366">
        <v>1</v>
      </c>
      <c r="Z79" s="350"/>
      <c r="AA79" s="365" t="s">
        <v>210</v>
      </c>
      <c r="AB79" s="350">
        <v>2504</v>
      </c>
      <c r="AC79" s="366">
        <v>1</v>
      </c>
      <c r="AD79" s="350"/>
      <c r="AE79" s="31"/>
    </row>
    <row r="80" spans="1:31" ht="20.100000000000001" customHeight="1">
      <c r="A80" s="75"/>
      <c r="B80" s="75"/>
      <c r="C80" s="75"/>
      <c r="D80" s="75"/>
      <c r="E80" s="75"/>
      <c r="F80" s="75"/>
      <c r="G80" s="75"/>
      <c r="H80" s="75"/>
      <c r="I80" s="77" t="str">
        <f>W67</f>
        <v>Kiti</v>
      </c>
      <c r="J80" s="75"/>
      <c r="K80" s="75"/>
      <c r="L80" s="75"/>
      <c r="M80" s="75"/>
      <c r="N80" s="75"/>
      <c r="O80" s="75"/>
      <c r="P80" s="75"/>
      <c r="Q80" s="75"/>
      <c r="R80" s="75"/>
      <c r="S80" s="77" t="str">
        <f>AA67</f>
        <v>Kiti</v>
      </c>
      <c r="T80" s="75"/>
      <c r="U80" s="75"/>
      <c r="V80" s="31"/>
      <c r="W80" s="350"/>
      <c r="X80" s="350"/>
      <c r="Y80" s="350"/>
      <c r="Z80" s="350"/>
      <c r="AA80" s="350"/>
      <c r="AB80" s="350"/>
      <c r="AC80" s="350"/>
      <c r="AD80" s="350"/>
      <c r="AE80" s="31"/>
    </row>
    <row r="81" spans="1:31" ht="20.100000000000001" customHeight="1">
      <c r="A81" s="75"/>
      <c r="B81" s="75"/>
      <c r="C81" s="75"/>
      <c r="D81" s="75"/>
      <c r="E81" s="75"/>
      <c r="F81" s="75"/>
      <c r="G81" s="75"/>
      <c r="H81" s="75"/>
      <c r="I81" s="75"/>
      <c r="J81" s="75"/>
      <c r="K81" s="75"/>
      <c r="L81" s="75"/>
      <c r="M81" s="75"/>
      <c r="N81" s="75"/>
      <c r="O81" s="75"/>
      <c r="P81" s="75"/>
      <c r="Q81" s="75"/>
      <c r="R81" s="75"/>
      <c r="S81" s="75"/>
      <c r="T81" s="75"/>
      <c r="U81" s="75"/>
      <c r="V81" s="31"/>
      <c r="W81" s="350"/>
      <c r="X81" s="350"/>
      <c r="Y81" s="350"/>
      <c r="Z81" s="350"/>
      <c r="AA81" s="350"/>
      <c r="AB81" s="350"/>
      <c r="AC81" s="350"/>
      <c r="AD81" s="350"/>
      <c r="AE81" s="31"/>
    </row>
    <row r="82" spans="1:31">
      <c r="A82" s="31"/>
      <c r="B82" s="31"/>
      <c r="C82" s="31"/>
      <c r="D82" s="31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50"/>
      <c r="X82" s="350"/>
      <c r="Y82" s="350"/>
      <c r="Z82" s="350"/>
      <c r="AA82" s="350"/>
      <c r="AB82" s="350"/>
      <c r="AC82" s="350"/>
      <c r="AD82" s="350"/>
      <c r="AE82" s="31"/>
    </row>
    <row r="83" spans="1:31">
      <c r="A83" s="31"/>
      <c r="B83" s="31"/>
      <c r="C83" s="31"/>
      <c r="D83" s="31"/>
      <c r="E83" s="31"/>
      <c r="F83" s="31"/>
      <c r="G83" s="31"/>
      <c r="H83" s="31"/>
      <c r="I83" s="31"/>
      <c r="J83" s="31"/>
      <c r="K83" s="31"/>
      <c r="L83" s="31"/>
      <c r="M83" s="31"/>
      <c r="N83" s="31"/>
      <c r="O83" s="31"/>
      <c r="P83" s="31"/>
      <c r="Q83" s="31"/>
      <c r="R83" s="31"/>
      <c r="S83" s="31"/>
      <c r="T83" s="31"/>
      <c r="U83" s="31"/>
      <c r="V83" s="31"/>
      <c r="W83" s="31"/>
      <c r="X83" s="31"/>
      <c r="Y83" s="31"/>
      <c r="Z83" s="31"/>
      <c r="AA83" s="31"/>
      <c r="AB83" s="31"/>
      <c r="AC83" s="31"/>
      <c r="AD83" s="31"/>
      <c r="AE83" s="31"/>
    </row>
    <row r="84" spans="1:31">
      <c r="A84" s="31"/>
      <c r="B84" s="31"/>
      <c r="C84" s="31"/>
      <c r="D84" s="31"/>
      <c r="E84" s="31"/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  <c r="S84" s="31"/>
      <c r="T84" s="31"/>
      <c r="U84" s="31"/>
      <c r="V84" s="31"/>
      <c r="W84" s="31"/>
      <c r="X84" s="31"/>
      <c r="Y84" s="31"/>
      <c r="Z84" s="31"/>
      <c r="AA84" s="31"/>
      <c r="AB84" s="31"/>
      <c r="AC84" s="31"/>
      <c r="AD84" s="31"/>
      <c r="AE84" s="31"/>
    </row>
  </sheetData>
  <mergeCells count="24">
    <mergeCell ref="C43:I43"/>
    <mergeCell ref="M43:S43"/>
    <mergeCell ref="C56:I56"/>
    <mergeCell ref="M56:S56"/>
    <mergeCell ref="C69:I69"/>
    <mergeCell ref="M69:S69"/>
    <mergeCell ref="C3:I3"/>
    <mergeCell ref="M3:S3"/>
    <mergeCell ref="C16:I16"/>
    <mergeCell ref="M16:S16"/>
    <mergeCell ref="C29:I29"/>
    <mergeCell ref="M29:S29"/>
    <mergeCell ref="W1:Y1"/>
    <mergeCell ref="AA1:AC1"/>
    <mergeCell ref="W14:Y14"/>
    <mergeCell ref="AA14:AC14"/>
    <mergeCell ref="W27:Y27"/>
    <mergeCell ref="AA27:AC27"/>
    <mergeCell ref="W41:Y41"/>
    <mergeCell ref="AA41:AC41"/>
    <mergeCell ref="W54:Y54"/>
    <mergeCell ref="AA54:AC54"/>
    <mergeCell ref="W67:Y67"/>
    <mergeCell ref="AA67:AC67"/>
  </mergeCells>
  <pageMargins left="0.75" right="0.75" top="1" bottom="1" header="0.5" footer="0.5"/>
  <pageSetup paperSize="9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tabColor theme="6" tint="0.59999389629810485"/>
  </sheetPr>
  <dimension ref="A1:CY86"/>
  <sheetViews>
    <sheetView tabSelected="1" zoomScaleNormal="100" workbookViewId="0">
      <selection activeCell="B3" sqref="B3"/>
    </sheetView>
  </sheetViews>
  <sheetFormatPr defaultRowHeight="12.75"/>
  <cols>
    <col min="1" max="1" width="1.2851562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customWidth="1"/>
    <col min="9" max="11" width="0.85546875" customWidth="1"/>
    <col min="12" max="14" width="1.7109375" customWidth="1"/>
    <col min="15" max="15" width="1.7109375" style="56" customWidth="1"/>
    <col min="16" max="16" width="5.5703125" style="56" customWidth="1"/>
    <col min="17" max="17" width="32.42578125" bestFit="1" customWidth="1"/>
    <col min="18" max="18" width="7.85546875" bestFit="1" customWidth="1"/>
    <col min="19" max="22" width="6.140625" bestFit="1" customWidth="1"/>
    <col min="23" max="23" width="6.85546875" bestFit="1" customWidth="1"/>
    <col min="24" max="24" width="6.42578125" bestFit="1" customWidth="1"/>
    <col min="25" max="26" width="6.140625" bestFit="1" customWidth="1"/>
    <col min="27" max="36" width="7" bestFit="1" customWidth="1"/>
    <col min="37" max="37" width="32.42578125" bestFit="1" customWidth="1"/>
    <col min="38" max="38" width="7.85546875" bestFit="1" customWidth="1"/>
    <col min="39" max="42" width="6.140625" bestFit="1" customWidth="1"/>
    <col min="43" max="43" width="6.85546875" bestFit="1" customWidth="1"/>
    <col min="44" max="44" width="6.42578125" bestFit="1" customWidth="1"/>
    <col min="45" max="46" width="6.140625" bestFit="1" customWidth="1"/>
    <col min="47" max="56" width="7" bestFit="1" customWidth="1"/>
  </cols>
  <sheetData>
    <row r="1" spans="1:103" s="350" customFormat="1" ht="17.25" customHeight="1">
      <c r="A1" s="268" t="s">
        <v>613</v>
      </c>
      <c r="B1" s="479" t="s">
        <v>402</v>
      </c>
      <c r="C1" s="479"/>
      <c r="D1" s="479"/>
      <c r="E1" s="480"/>
      <c r="F1" s="481"/>
      <c r="G1" s="481"/>
      <c r="H1" s="481"/>
      <c r="I1" s="481"/>
      <c r="J1" s="481"/>
      <c r="K1" s="481"/>
      <c r="L1" s="481"/>
      <c r="M1" s="481"/>
      <c r="N1" s="481"/>
      <c r="O1" s="270"/>
      <c r="P1" s="56"/>
      <c r="Q1" s="461" t="s">
        <v>414</v>
      </c>
      <c r="R1" s="460"/>
      <c r="S1" s="460"/>
      <c r="T1" s="460"/>
      <c r="U1" s="460"/>
      <c r="V1" s="460"/>
      <c r="W1" s="460"/>
      <c r="X1" s="460"/>
      <c r="Y1" s="460"/>
      <c r="Z1" s="460"/>
      <c r="AA1" s="460"/>
      <c r="AB1" s="460"/>
      <c r="AC1" s="460"/>
      <c r="AD1" s="460"/>
      <c r="AE1" s="460"/>
      <c r="AF1" s="460"/>
      <c r="AG1" s="460"/>
      <c r="AH1" s="460"/>
      <c r="AI1" s="460"/>
      <c r="AJ1" s="460"/>
      <c r="AK1" s="461" t="s">
        <v>415</v>
      </c>
      <c r="AL1" s="460"/>
      <c r="AM1" s="460"/>
      <c r="AN1" s="460"/>
      <c r="AO1" s="460"/>
      <c r="AP1" s="460"/>
      <c r="AQ1" s="460"/>
      <c r="AR1" s="460"/>
      <c r="AS1" s="460"/>
      <c r="AT1" s="460"/>
      <c r="AU1" s="460"/>
      <c r="AV1" s="460"/>
      <c r="AW1" s="460"/>
      <c r="AX1" s="460"/>
      <c r="AY1" s="460"/>
      <c r="AZ1" s="460"/>
      <c r="BA1" s="460"/>
      <c r="BB1" s="460"/>
      <c r="BC1" s="460"/>
      <c r="BD1" s="460"/>
      <c r="BE1" s="460"/>
      <c r="BF1" s="460"/>
      <c r="BG1" s="460"/>
      <c r="BH1" s="460"/>
      <c r="BI1" s="460"/>
      <c r="BJ1" s="460"/>
      <c r="BK1" s="460"/>
      <c r="BL1" s="460"/>
      <c r="BM1" s="460"/>
      <c r="BN1" s="460"/>
      <c r="BO1" s="460"/>
      <c r="BP1" s="460"/>
      <c r="BQ1" s="460"/>
      <c r="BR1" s="460"/>
      <c r="BS1" s="460"/>
      <c r="BT1" s="460"/>
      <c r="BU1" s="460"/>
      <c r="BV1" s="460"/>
      <c r="BW1" s="460"/>
      <c r="BX1" s="460"/>
      <c r="BY1" s="460"/>
      <c r="BZ1" s="460"/>
      <c r="CA1" s="460"/>
      <c r="CB1" s="460"/>
      <c r="CC1" s="460"/>
      <c r="CD1" s="460"/>
      <c r="CE1" s="460"/>
      <c r="CF1" s="460"/>
      <c r="CG1" s="460"/>
      <c r="CH1" s="460"/>
      <c r="CI1" s="460"/>
      <c r="CJ1" s="460"/>
      <c r="CK1" s="460"/>
      <c r="CL1" s="460"/>
      <c r="CM1" s="460"/>
      <c r="CN1" s="460"/>
      <c r="CO1" s="460"/>
      <c r="CP1" s="460"/>
      <c r="CQ1" s="460"/>
      <c r="CR1" s="460"/>
      <c r="CS1" s="460"/>
      <c r="CT1" s="460"/>
      <c r="CU1" s="460"/>
      <c r="CV1" s="460"/>
      <c r="CW1" s="460"/>
      <c r="CX1" s="460"/>
      <c r="CY1" s="460"/>
    </row>
    <row r="2" spans="1:103" s="350" customFormat="1" ht="12.75" customHeight="1">
      <c r="A2" s="269"/>
      <c r="B2" s="482" t="str">
        <f>"Diagnozuotų onkologinių susirgimų skaičius ir sergamumo rodikliai Lietuvoje pagal lokalizaciją  " &amp; GrafikaiSerg!A1 &amp; " metais. Vyrai"</f>
        <v>Diagnozuotų onkologinių susirgimų skaičius ir sergamumo rodikliai Lietuvoje pagal lokalizaciją  2014 metais. Vyrai</v>
      </c>
      <c r="C2" s="481"/>
      <c r="D2" s="481"/>
      <c r="E2" s="483"/>
      <c r="F2" s="481"/>
      <c r="G2" s="481"/>
      <c r="H2" s="481"/>
      <c r="I2" s="481"/>
      <c r="J2" s="481"/>
      <c r="K2" s="481"/>
      <c r="L2" s="481"/>
      <c r="M2" s="481"/>
      <c r="N2" s="481"/>
      <c r="O2" s="270"/>
      <c r="P2" s="359"/>
      <c r="Q2" s="461"/>
      <c r="R2" s="462" t="s">
        <v>354</v>
      </c>
      <c r="S2" s="463" t="s">
        <v>358</v>
      </c>
      <c r="T2" s="463"/>
      <c r="U2" s="463"/>
      <c r="V2" s="464">
        <f>GrafikaiSerg!A1</f>
        <v>2014</v>
      </c>
      <c r="W2" s="460" t="s">
        <v>357</v>
      </c>
      <c r="X2" s="465" t="str">
        <f>CONCATENATE("pop",RIGHT(V2,2),"m")</f>
        <v>pop14m</v>
      </c>
      <c r="Y2" s="460"/>
      <c r="Z2" s="460"/>
      <c r="AA2" s="460"/>
      <c r="AB2" s="460"/>
      <c r="AC2" s="460"/>
      <c r="AD2" s="460"/>
      <c r="AE2" s="460"/>
      <c r="AF2" s="460"/>
      <c r="AG2" s="460"/>
      <c r="AH2" s="460"/>
      <c r="AI2" s="460"/>
      <c r="AJ2" s="460"/>
      <c r="AK2" s="461"/>
      <c r="AL2" s="462" t="s">
        <v>354</v>
      </c>
      <c r="AM2" s="463" t="s">
        <v>358</v>
      </c>
      <c r="AN2" s="463"/>
      <c r="AO2" s="463"/>
      <c r="AP2" s="464">
        <f>V2</f>
        <v>2014</v>
      </c>
      <c r="AQ2" s="460" t="s">
        <v>357</v>
      </c>
      <c r="AR2" s="465" t="str">
        <f>X2</f>
        <v>pop14m</v>
      </c>
      <c r="AS2" s="460"/>
      <c r="AT2" s="460"/>
      <c r="AU2" s="460"/>
      <c r="AV2" s="460"/>
      <c r="AW2" s="460"/>
      <c r="AX2" s="460"/>
      <c r="AY2" s="460"/>
      <c r="AZ2" s="460"/>
      <c r="BA2" s="460"/>
      <c r="BB2" s="460"/>
      <c r="BC2" s="460"/>
      <c r="BD2" s="460"/>
      <c r="BE2" s="460"/>
      <c r="BF2" s="460"/>
      <c r="BG2" s="460"/>
      <c r="BH2" s="460"/>
      <c r="BI2" s="460"/>
      <c r="BJ2" s="460"/>
      <c r="BK2" s="460"/>
      <c r="BL2" s="460"/>
      <c r="BM2" s="460"/>
      <c r="BN2" s="460"/>
      <c r="BO2" s="460"/>
      <c r="BP2" s="460"/>
      <c r="BQ2" s="460"/>
      <c r="BR2" s="460"/>
      <c r="BS2" s="460"/>
      <c r="BT2" s="460"/>
      <c r="BU2" s="460"/>
      <c r="BV2" s="460"/>
      <c r="BW2" s="460"/>
      <c r="BX2" s="460"/>
      <c r="BY2" s="460"/>
      <c r="BZ2" s="460"/>
      <c r="CA2" s="460"/>
      <c r="CB2" s="460"/>
      <c r="CC2" s="460"/>
      <c r="CD2" s="460"/>
      <c r="CE2" s="460"/>
      <c r="CF2" s="460"/>
      <c r="CG2" s="460"/>
      <c r="CH2" s="460"/>
      <c r="CI2" s="460"/>
      <c r="CJ2" s="460"/>
      <c r="CK2" s="460"/>
      <c r="CL2" s="460"/>
      <c r="CM2" s="460"/>
      <c r="CN2" s="460"/>
      <c r="CO2" s="460"/>
      <c r="CP2" s="460"/>
      <c r="CQ2" s="460"/>
      <c r="CR2" s="460"/>
      <c r="CS2" s="460"/>
      <c r="CT2" s="460"/>
      <c r="CU2" s="460"/>
      <c r="CV2" s="460"/>
      <c r="CW2" s="460"/>
      <c r="CX2" s="460"/>
      <c r="CY2" s="460"/>
    </row>
    <row r="3" spans="1:103" s="350" customFormat="1" ht="12.75" customHeight="1">
      <c r="A3" s="269"/>
      <c r="B3" s="269"/>
      <c r="C3" s="269"/>
      <c r="D3" s="269"/>
      <c r="E3" s="269"/>
      <c r="F3" s="269"/>
      <c r="G3" s="269"/>
      <c r="H3" s="269"/>
      <c r="I3" s="269"/>
      <c r="J3" s="269"/>
      <c r="K3" s="269"/>
      <c r="L3" s="269"/>
      <c r="M3" s="269"/>
      <c r="N3" s="269"/>
      <c r="O3" s="270"/>
      <c r="P3" s="360"/>
      <c r="Q3" s="467" t="s">
        <v>408</v>
      </c>
      <c r="R3" s="468">
        <f>SUM(S3:AJ3)</f>
        <v>100000</v>
      </c>
      <c r="S3" s="466">
        <v>8000</v>
      </c>
      <c r="T3" s="466">
        <v>7000</v>
      </c>
      <c r="U3" s="466">
        <v>7000</v>
      </c>
      <c r="V3" s="466">
        <v>7000</v>
      </c>
      <c r="W3" s="466">
        <v>7000</v>
      </c>
      <c r="X3" s="466">
        <v>7000</v>
      </c>
      <c r="Y3" s="466">
        <v>7000</v>
      </c>
      <c r="Z3" s="466">
        <v>7000</v>
      </c>
      <c r="AA3" s="466">
        <v>7000</v>
      </c>
      <c r="AB3" s="466">
        <v>7000</v>
      </c>
      <c r="AC3" s="466">
        <v>7000</v>
      </c>
      <c r="AD3" s="466">
        <v>6000</v>
      </c>
      <c r="AE3" s="466">
        <v>5000</v>
      </c>
      <c r="AF3" s="466">
        <v>4000</v>
      </c>
      <c r="AG3" s="466">
        <v>3000</v>
      </c>
      <c r="AH3" s="466">
        <v>2000</v>
      </c>
      <c r="AI3" s="466">
        <v>1000</v>
      </c>
      <c r="AJ3" s="466">
        <v>1000</v>
      </c>
      <c r="AK3" s="467" t="s">
        <v>409</v>
      </c>
      <c r="AL3" s="468">
        <f>SUM(AM3:BD3)</f>
        <v>100000</v>
      </c>
      <c r="AM3" s="465">
        <v>12000</v>
      </c>
      <c r="AN3" s="465">
        <v>10000</v>
      </c>
      <c r="AO3" s="465">
        <v>9000</v>
      </c>
      <c r="AP3" s="465">
        <v>9000</v>
      </c>
      <c r="AQ3" s="465">
        <v>8000</v>
      </c>
      <c r="AR3" s="465">
        <v>8000</v>
      </c>
      <c r="AS3" s="465">
        <v>6000</v>
      </c>
      <c r="AT3" s="465">
        <v>6000</v>
      </c>
      <c r="AU3" s="465">
        <v>6000</v>
      </c>
      <c r="AV3" s="465">
        <v>6000</v>
      </c>
      <c r="AW3" s="465">
        <v>5000</v>
      </c>
      <c r="AX3" s="465">
        <v>4000</v>
      </c>
      <c r="AY3" s="465">
        <v>4000</v>
      </c>
      <c r="AZ3" s="465">
        <v>3000</v>
      </c>
      <c r="BA3" s="465">
        <v>2000</v>
      </c>
      <c r="BB3" s="465">
        <v>1000</v>
      </c>
      <c r="BC3" s="465">
        <v>500</v>
      </c>
      <c r="BD3" s="465">
        <v>500</v>
      </c>
      <c r="BE3" s="460"/>
      <c r="BF3" s="460"/>
      <c r="BG3" s="460"/>
      <c r="BH3" s="460"/>
      <c r="BI3" s="460"/>
      <c r="BJ3" s="460"/>
      <c r="BK3" s="460"/>
      <c r="BL3" s="460"/>
      <c r="BM3" s="460"/>
      <c r="BN3" s="460"/>
      <c r="BO3" s="460"/>
      <c r="BP3" s="460"/>
      <c r="BQ3" s="460"/>
      <c r="BR3" s="460"/>
      <c r="BS3" s="460"/>
      <c r="BT3" s="460"/>
      <c r="BU3" s="460"/>
      <c r="BV3" s="460"/>
      <c r="BW3" s="460"/>
      <c r="BX3" s="460"/>
      <c r="BY3" s="460"/>
      <c r="BZ3" s="460"/>
      <c r="CA3" s="460"/>
      <c r="CB3" s="460"/>
      <c r="CC3" s="460"/>
      <c r="CD3" s="460"/>
      <c r="CE3" s="460"/>
      <c r="CF3" s="460"/>
      <c r="CG3" s="460"/>
      <c r="CH3" s="460"/>
      <c r="CI3" s="460"/>
      <c r="CJ3" s="460"/>
      <c r="CK3" s="460"/>
      <c r="CL3" s="460"/>
      <c r="CM3" s="460"/>
      <c r="CN3" s="460"/>
      <c r="CO3" s="460"/>
      <c r="CP3" s="460"/>
      <c r="CQ3" s="460"/>
      <c r="CR3" s="460"/>
      <c r="CS3" s="460"/>
      <c r="CT3" s="460"/>
      <c r="CU3" s="460"/>
      <c r="CV3" s="460"/>
      <c r="CW3" s="460"/>
      <c r="CX3" s="460"/>
      <c r="CY3" s="460"/>
    </row>
    <row r="4" spans="1:103" s="350" customFormat="1" ht="12.75" customHeight="1">
      <c r="A4" s="269"/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269"/>
      <c r="M4" s="269"/>
      <c r="N4" s="269"/>
      <c r="O4" s="270"/>
      <c r="P4" s="360"/>
      <c r="Q4" s="465" t="s">
        <v>416</v>
      </c>
      <c r="R4" s="468">
        <f>SUM(S4:AJ4)</f>
        <v>1351126</v>
      </c>
      <c r="S4" s="469">
        <f>HLOOKUP($X$2,Populiacija!$B$1:$BB$20,2,FALSE)</f>
        <v>77249</v>
      </c>
      <c r="T4" s="469">
        <f>HLOOKUP($X$2,Populiacija!$B$1:$BB$20,3,FALSE)</f>
        <v>69932</v>
      </c>
      <c r="U4" s="469">
        <f>HLOOKUP($X$2,Populiacija!$B$1:$BB$20,4,FALSE)</f>
        <v>72002</v>
      </c>
      <c r="V4" s="469">
        <f>HLOOKUP($X$2,Populiacija!$B$1:$BB$20,5,FALSE)</f>
        <v>89285</v>
      </c>
      <c r="W4" s="469">
        <f>HLOOKUP($X$2,Populiacija!$B$1:$BB$20,6,FALSE)</f>
        <v>108219</v>
      </c>
      <c r="X4" s="469">
        <f>HLOOKUP($X$2,Populiacija!$B$1:$BB$20,7,FALSE)</f>
        <v>99919</v>
      </c>
      <c r="Y4" s="469">
        <f>HLOOKUP($X$2,Populiacija!$B$1:$BB$20,8,FALSE)</f>
        <v>89381</v>
      </c>
      <c r="Z4" s="469">
        <f>HLOOKUP($X$2,Populiacija!$B$1:$BB$20,9,FALSE)</f>
        <v>89203</v>
      </c>
      <c r="AA4" s="469">
        <f>HLOOKUP($X$2,Populiacija!$B$1:$BB$20,10,FALSE)</f>
        <v>98505</v>
      </c>
      <c r="AB4" s="469">
        <f>HLOOKUP($X$2,Populiacija!$B$1:$BB$20,11,FALSE)</f>
        <v>100503</v>
      </c>
      <c r="AC4" s="469">
        <f>HLOOKUP($X$2,Populiacija!$B$1:$BB$20,12,FALSE)</f>
        <v>108547</v>
      </c>
      <c r="AD4" s="469">
        <f>HLOOKUP($X$2,Populiacija!$B$1:$BB$20,13,FALSE)</f>
        <v>92698</v>
      </c>
      <c r="AE4" s="469">
        <f>HLOOKUP($X$2,Populiacija!$B$1:$BB$20,14,FALSE)</f>
        <v>72507</v>
      </c>
      <c r="AF4" s="469">
        <f>HLOOKUP($X$2,Populiacija!$B$1:$BB$20,15,FALSE)</f>
        <v>55181</v>
      </c>
      <c r="AG4" s="469">
        <f>HLOOKUP($X$2,Populiacija!$B$1:$BB$20,16,FALSE)</f>
        <v>49232</v>
      </c>
      <c r="AH4" s="469">
        <f>HLOOKUP($X$2,Populiacija!$B$1:$BB$20,17,FALSE)</f>
        <v>39442</v>
      </c>
      <c r="AI4" s="469">
        <f>HLOOKUP($X$2,Populiacija!$B$1:$BB$20,18,FALSE)</f>
        <v>24969</v>
      </c>
      <c r="AJ4" s="469">
        <f>HLOOKUP($X$2,Populiacija!$B$1:$BB$20,19,FALSE)</f>
        <v>14352</v>
      </c>
      <c r="AK4" s="465" t="s">
        <v>416</v>
      </c>
      <c r="AL4" s="468">
        <f>SUM(AM4:BD4)</f>
        <v>1351126</v>
      </c>
      <c r="AM4" s="469">
        <f>HLOOKUP($X$2,Populiacija!$B$1:$BB$20,2,FALSE)</f>
        <v>77249</v>
      </c>
      <c r="AN4" s="469">
        <f>HLOOKUP($X$2,Populiacija!$B$1:$BB$20,3,FALSE)</f>
        <v>69932</v>
      </c>
      <c r="AO4" s="469">
        <f>HLOOKUP($X$2,Populiacija!$B$1:$BB$20,4,FALSE)</f>
        <v>72002</v>
      </c>
      <c r="AP4" s="469">
        <f>HLOOKUP($X$2,Populiacija!$B$1:$BB$20,5,FALSE)</f>
        <v>89285</v>
      </c>
      <c r="AQ4" s="469">
        <f>HLOOKUP($X$2,Populiacija!$B$1:$BB$20,6,FALSE)</f>
        <v>108219</v>
      </c>
      <c r="AR4" s="469">
        <f>HLOOKUP($X$2,Populiacija!$B$1:$BB$20,7,FALSE)</f>
        <v>99919</v>
      </c>
      <c r="AS4" s="469">
        <f>HLOOKUP($X$2,Populiacija!$B$1:$BB$20,8,FALSE)</f>
        <v>89381</v>
      </c>
      <c r="AT4" s="469">
        <f>HLOOKUP($X$2,Populiacija!$B$1:$BB$20,9,FALSE)</f>
        <v>89203</v>
      </c>
      <c r="AU4" s="469">
        <f>HLOOKUP($X$2,Populiacija!$B$1:$BB$20,10,FALSE)</f>
        <v>98505</v>
      </c>
      <c r="AV4" s="469">
        <f>HLOOKUP($X$2,Populiacija!$B$1:$BB$20,11,FALSE)</f>
        <v>100503</v>
      </c>
      <c r="AW4" s="469">
        <f>HLOOKUP($X$2,Populiacija!$B$1:$BB$20,12,FALSE)</f>
        <v>108547</v>
      </c>
      <c r="AX4" s="469">
        <f>HLOOKUP($X$2,Populiacija!$B$1:$BB$20,13,FALSE)</f>
        <v>92698</v>
      </c>
      <c r="AY4" s="469">
        <f>HLOOKUP($X$2,Populiacija!$B$1:$BB$20,14,FALSE)</f>
        <v>72507</v>
      </c>
      <c r="AZ4" s="469">
        <f>HLOOKUP($X$2,Populiacija!$B$1:$BB$20,15,FALSE)</f>
        <v>55181</v>
      </c>
      <c r="BA4" s="469">
        <f>HLOOKUP($X$2,Populiacija!$B$1:$BB$20,16,FALSE)</f>
        <v>49232</v>
      </c>
      <c r="BB4" s="469">
        <f>HLOOKUP($X$2,Populiacija!$B$1:$BB$20,17,FALSE)</f>
        <v>39442</v>
      </c>
      <c r="BC4" s="469">
        <f>HLOOKUP($X$2,Populiacija!$B$1:$BB$20,18,FALSE)</f>
        <v>24969</v>
      </c>
      <c r="BD4" s="469">
        <f>HLOOKUP($X$2,Populiacija!$B$1:$BB$20,19,FALSE)</f>
        <v>14352</v>
      </c>
      <c r="BE4" s="460"/>
      <c r="BF4" s="460"/>
      <c r="BG4" s="460"/>
      <c r="BH4" s="460"/>
      <c r="BI4" s="460"/>
      <c r="BJ4" s="460"/>
      <c r="BK4" s="460"/>
      <c r="BL4" s="460"/>
      <c r="BM4" s="460"/>
      <c r="BN4" s="460"/>
      <c r="BO4" s="460"/>
      <c r="BP4" s="460"/>
      <c r="BQ4" s="460"/>
      <c r="BR4" s="460"/>
      <c r="BS4" s="460"/>
      <c r="BT4" s="460"/>
      <c r="BU4" s="460"/>
      <c r="BV4" s="460"/>
      <c r="BW4" s="460"/>
      <c r="BX4" s="460"/>
      <c r="BY4" s="460"/>
      <c r="BZ4" s="460"/>
      <c r="CA4" s="460"/>
      <c r="CB4" s="460"/>
      <c r="CC4" s="460"/>
      <c r="CD4" s="460"/>
      <c r="CE4" s="460"/>
      <c r="CF4" s="460"/>
      <c r="CG4" s="460"/>
      <c r="CH4" s="460"/>
      <c r="CI4" s="460"/>
      <c r="CJ4" s="460"/>
      <c r="CK4" s="460"/>
      <c r="CL4" s="460"/>
      <c r="CM4" s="460"/>
      <c r="CN4" s="460"/>
      <c r="CO4" s="460"/>
      <c r="CP4" s="460"/>
      <c r="CQ4" s="460"/>
      <c r="CR4" s="460"/>
      <c r="CS4" s="460"/>
      <c r="CT4" s="460"/>
      <c r="CU4" s="460"/>
      <c r="CV4" s="460"/>
      <c r="CW4" s="460"/>
      <c r="CX4" s="460"/>
      <c r="CY4" s="460"/>
    </row>
    <row r="5" spans="1:103" s="350" customFormat="1" ht="12.75" customHeight="1">
      <c r="A5" s="269"/>
      <c r="B5" s="271" t="s">
        <v>616</v>
      </c>
      <c r="C5" s="269"/>
      <c r="D5" s="269"/>
      <c r="E5" s="269"/>
      <c r="F5" s="269"/>
      <c r="G5" s="269"/>
      <c r="H5" s="269"/>
      <c r="I5" s="269"/>
      <c r="J5" s="269"/>
      <c r="K5" s="269"/>
      <c r="L5" s="269"/>
      <c r="M5" s="269"/>
      <c r="N5" s="269"/>
      <c r="O5" s="270"/>
      <c r="P5" s="360"/>
      <c r="Q5" s="465" t="s">
        <v>450</v>
      </c>
      <c r="R5" s="468">
        <f>SUM(S5:AJ5)</f>
        <v>1581241</v>
      </c>
      <c r="S5" s="469">
        <f>HLOOKUP($X$2,Populiacija!$B$1:$BB$40,23,FALSE)</f>
        <v>73541</v>
      </c>
      <c r="T5" s="469">
        <f>HLOOKUP($X$2,Populiacija!$B$1:$BB$40,24,FALSE)</f>
        <v>66902</v>
      </c>
      <c r="U5" s="469">
        <f>HLOOKUP($X$2,Populiacija!$B$1:$BB$40,25,FALSE)</f>
        <v>68149</v>
      </c>
      <c r="V5" s="469">
        <f>HLOOKUP($X$2,Populiacija!$B$1:$BB$40,26,FALSE)</f>
        <v>84512</v>
      </c>
      <c r="W5" s="469">
        <f>HLOOKUP($X$2,Populiacija!$B$1:$BB$40,27,FALSE)</f>
        <v>101894</v>
      </c>
      <c r="X5" s="469">
        <f>HLOOKUP($X$2,Populiacija!$B$1:$BB$40,28,FALSE)</f>
        <v>94972</v>
      </c>
      <c r="Y5" s="469">
        <f>HLOOKUP($X$2,Populiacija!$B$1:$BB$40,29,FALSE)</f>
        <v>87211</v>
      </c>
      <c r="Z5" s="469">
        <f>HLOOKUP($X$2,Populiacija!$B$1:$BB$40,30,FALSE)</f>
        <v>92351</v>
      </c>
      <c r="AA5" s="469">
        <f>HLOOKUP($X$2,Populiacija!$B$1:$BB$40,31,FALSE)</f>
        <v>105582</v>
      </c>
      <c r="AB5" s="469">
        <f>HLOOKUP($X$2,Populiacija!$B$1:$BB$40,32,FALSE)</f>
        <v>110249</v>
      </c>
      <c r="AC5" s="469">
        <f>HLOOKUP($X$2,Populiacija!$B$1:$BB$40,33,FALSE)</f>
        <v>123313</v>
      </c>
      <c r="AD5" s="469">
        <f>HLOOKUP($X$2,Populiacija!$B$1:$BB$40,34,FALSE)</f>
        <v>112753</v>
      </c>
      <c r="AE5" s="469">
        <f>HLOOKUP($X$2,Populiacija!$B$1:$BB$40,35,FALSE)</f>
        <v>98061</v>
      </c>
      <c r="AF5" s="469">
        <f>HLOOKUP($X$2,Populiacija!$B$1:$BB$40,36,FALSE)</f>
        <v>85261</v>
      </c>
      <c r="AG5" s="469">
        <f>HLOOKUP($X$2,Populiacija!$B$1:$BB$40,37,FALSE)</f>
        <v>87053</v>
      </c>
      <c r="AH5" s="469">
        <f>HLOOKUP($X$2,Populiacija!$B$1:$BB$40,38,FALSE)</f>
        <v>81043</v>
      </c>
      <c r="AI5" s="469">
        <f>HLOOKUP($X$2,Populiacija!$B$1:$BB$40,39,FALSE)</f>
        <v>60746</v>
      </c>
      <c r="AJ5" s="469">
        <f>HLOOKUP($X$2,Populiacija!$B$1:$BB$40,40,FALSE)</f>
        <v>47648</v>
      </c>
      <c r="AK5" s="465" t="s">
        <v>450</v>
      </c>
      <c r="AL5" s="468">
        <f>SUM(AM5:BD5)</f>
        <v>1581241</v>
      </c>
      <c r="AM5" s="469">
        <f>HLOOKUP($X$2,Populiacija!$B$1:$BB$40,23,FALSE)</f>
        <v>73541</v>
      </c>
      <c r="AN5" s="469">
        <f>HLOOKUP($X$2,Populiacija!$B$1:$BB$40,24,FALSE)</f>
        <v>66902</v>
      </c>
      <c r="AO5" s="469">
        <f>HLOOKUP($X$2,Populiacija!$B$1:$BB$40,25,FALSE)</f>
        <v>68149</v>
      </c>
      <c r="AP5" s="469">
        <f>HLOOKUP($X$2,Populiacija!$B$1:$BB$40,26,FALSE)</f>
        <v>84512</v>
      </c>
      <c r="AQ5" s="469">
        <f>HLOOKUP($X$2,Populiacija!$B$1:$BB$40,27,FALSE)</f>
        <v>101894</v>
      </c>
      <c r="AR5" s="469">
        <f>HLOOKUP($X$2,Populiacija!$B$1:$BB$40,28,FALSE)</f>
        <v>94972</v>
      </c>
      <c r="AS5" s="469">
        <f>HLOOKUP($X$2,Populiacija!$B$1:$BB$40,29,FALSE)</f>
        <v>87211</v>
      </c>
      <c r="AT5" s="469">
        <f>HLOOKUP($X$2,Populiacija!$B$1:$BB$40,30,FALSE)</f>
        <v>92351</v>
      </c>
      <c r="AU5" s="469">
        <f>HLOOKUP($X$2,Populiacija!$B$1:$BB$40,31,FALSE)</f>
        <v>105582</v>
      </c>
      <c r="AV5" s="469">
        <f>HLOOKUP($X$2,Populiacija!$B$1:$BB$40,32,FALSE)</f>
        <v>110249</v>
      </c>
      <c r="AW5" s="469">
        <f>HLOOKUP($X$2,Populiacija!$B$1:$BB$40,33,FALSE)</f>
        <v>123313</v>
      </c>
      <c r="AX5" s="469">
        <f>HLOOKUP($X$2,Populiacija!$B$1:$BB$40,34,FALSE)</f>
        <v>112753</v>
      </c>
      <c r="AY5" s="469">
        <f>HLOOKUP($X$2,Populiacija!$B$1:$BB$40,35,FALSE)</f>
        <v>98061</v>
      </c>
      <c r="AZ5" s="469">
        <f>HLOOKUP($X$2,Populiacija!$B$1:$BB$40,36,FALSE)</f>
        <v>85261</v>
      </c>
      <c r="BA5" s="469">
        <f>HLOOKUP($X$2,Populiacija!$B$1:$BB$40,37,FALSE)</f>
        <v>87053</v>
      </c>
      <c r="BB5" s="469">
        <f>HLOOKUP($X$2,Populiacija!$B$1:$BB$40,38,FALSE)</f>
        <v>81043</v>
      </c>
      <c r="BC5" s="469">
        <f>HLOOKUP($X$2,Populiacija!$B$1:$BB$40,39,FALSE)</f>
        <v>60746</v>
      </c>
      <c r="BD5" s="469">
        <f>HLOOKUP($X$2,Populiacija!$B$1:$BB$40,40,FALSE)</f>
        <v>47648</v>
      </c>
      <c r="BE5" s="460"/>
      <c r="BF5" s="460"/>
      <c r="BG5" s="460"/>
      <c r="BH5" s="460"/>
      <c r="BI5" s="460"/>
      <c r="BJ5" s="460"/>
      <c r="BK5" s="460"/>
      <c r="BL5" s="460"/>
      <c r="BM5" s="460"/>
      <c r="BN5" s="460"/>
      <c r="BO5" s="460"/>
      <c r="BP5" s="460"/>
      <c r="BQ5" s="460"/>
      <c r="BR5" s="460"/>
      <c r="BS5" s="460"/>
      <c r="BT5" s="460"/>
      <c r="BU5" s="460"/>
      <c r="BV5" s="460"/>
      <c r="BW5" s="460"/>
      <c r="BX5" s="460"/>
      <c r="BY5" s="460"/>
      <c r="BZ5" s="460"/>
      <c r="CA5" s="460"/>
      <c r="CB5" s="460"/>
      <c r="CC5" s="460"/>
      <c r="CD5" s="460"/>
      <c r="CE5" s="460"/>
      <c r="CF5" s="460"/>
      <c r="CG5" s="460"/>
      <c r="CH5" s="460"/>
      <c r="CI5" s="460"/>
      <c r="CJ5" s="460"/>
      <c r="CK5" s="460"/>
      <c r="CL5" s="460"/>
      <c r="CM5" s="460"/>
      <c r="CN5" s="460"/>
      <c r="CO5" s="460"/>
      <c r="CP5" s="460"/>
      <c r="CQ5" s="460"/>
      <c r="CR5" s="460"/>
      <c r="CS5" s="460"/>
      <c r="CT5" s="460"/>
      <c r="CU5" s="460"/>
      <c r="CV5" s="460"/>
      <c r="CW5" s="460"/>
      <c r="CX5" s="460"/>
      <c r="CY5" s="460"/>
    </row>
    <row r="6" spans="1:103" s="350" customFormat="1" ht="12.95" customHeight="1">
      <c r="A6" s="269"/>
      <c r="B6" s="415" t="s">
        <v>351</v>
      </c>
      <c r="C6" s="415" t="s">
        <v>244</v>
      </c>
      <c r="D6" s="418" t="s">
        <v>268</v>
      </c>
      <c r="E6" s="420" t="s">
        <v>355</v>
      </c>
      <c r="F6" s="417" t="s">
        <v>359</v>
      </c>
      <c r="G6" s="417"/>
      <c r="H6" s="272"/>
      <c r="I6" s="272"/>
      <c r="J6" s="272"/>
      <c r="K6" s="272"/>
      <c r="L6" s="272"/>
      <c r="M6" s="272"/>
      <c r="N6" s="272"/>
      <c r="O6" s="270"/>
      <c r="P6" s="361"/>
      <c r="Q6" s="465" t="s">
        <v>451</v>
      </c>
      <c r="R6" s="468">
        <f>SUM(R4:R5)</f>
        <v>2932367</v>
      </c>
      <c r="S6" s="468">
        <f t="shared" ref="S6:BD6" si="0">SUM(S4:S5)</f>
        <v>150790</v>
      </c>
      <c r="T6" s="468">
        <f t="shared" si="0"/>
        <v>136834</v>
      </c>
      <c r="U6" s="468">
        <f t="shared" si="0"/>
        <v>140151</v>
      </c>
      <c r="V6" s="468">
        <f t="shared" si="0"/>
        <v>173797</v>
      </c>
      <c r="W6" s="468">
        <f t="shared" si="0"/>
        <v>210113</v>
      </c>
      <c r="X6" s="468">
        <f t="shared" si="0"/>
        <v>194891</v>
      </c>
      <c r="Y6" s="468">
        <f t="shared" si="0"/>
        <v>176592</v>
      </c>
      <c r="Z6" s="468">
        <f t="shared" si="0"/>
        <v>181554</v>
      </c>
      <c r="AA6" s="468">
        <f t="shared" si="0"/>
        <v>204087</v>
      </c>
      <c r="AB6" s="468">
        <f t="shared" si="0"/>
        <v>210752</v>
      </c>
      <c r="AC6" s="468">
        <f t="shared" si="0"/>
        <v>231860</v>
      </c>
      <c r="AD6" s="468">
        <f t="shared" si="0"/>
        <v>205451</v>
      </c>
      <c r="AE6" s="468">
        <f t="shared" si="0"/>
        <v>170568</v>
      </c>
      <c r="AF6" s="468">
        <f t="shared" si="0"/>
        <v>140442</v>
      </c>
      <c r="AG6" s="468">
        <f t="shared" si="0"/>
        <v>136285</v>
      </c>
      <c r="AH6" s="468">
        <f t="shared" si="0"/>
        <v>120485</v>
      </c>
      <c r="AI6" s="468">
        <f t="shared" si="0"/>
        <v>85715</v>
      </c>
      <c r="AJ6" s="468">
        <f t="shared" si="0"/>
        <v>62000</v>
      </c>
      <c r="AK6" s="465" t="s">
        <v>451</v>
      </c>
      <c r="AL6" s="468">
        <f t="shared" si="0"/>
        <v>2932367</v>
      </c>
      <c r="AM6" s="468">
        <f t="shared" si="0"/>
        <v>150790</v>
      </c>
      <c r="AN6" s="468">
        <f t="shared" si="0"/>
        <v>136834</v>
      </c>
      <c r="AO6" s="468">
        <f t="shared" si="0"/>
        <v>140151</v>
      </c>
      <c r="AP6" s="468">
        <f t="shared" si="0"/>
        <v>173797</v>
      </c>
      <c r="AQ6" s="468">
        <f t="shared" si="0"/>
        <v>210113</v>
      </c>
      <c r="AR6" s="468">
        <f t="shared" si="0"/>
        <v>194891</v>
      </c>
      <c r="AS6" s="468">
        <f t="shared" si="0"/>
        <v>176592</v>
      </c>
      <c r="AT6" s="468">
        <f t="shared" si="0"/>
        <v>181554</v>
      </c>
      <c r="AU6" s="468">
        <f t="shared" si="0"/>
        <v>204087</v>
      </c>
      <c r="AV6" s="468">
        <f t="shared" si="0"/>
        <v>210752</v>
      </c>
      <c r="AW6" s="468">
        <f t="shared" si="0"/>
        <v>231860</v>
      </c>
      <c r="AX6" s="468">
        <f t="shared" si="0"/>
        <v>205451</v>
      </c>
      <c r="AY6" s="468">
        <f t="shared" si="0"/>
        <v>170568</v>
      </c>
      <c r="AZ6" s="468">
        <f t="shared" si="0"/>
        <v>140442</v>
      </c>
      <c r="BA6" s="468">
        <f t="shared" si="0"/>
        <v>136285</v>
      </c>
      <c r="BB6" s="468">
        <f t="shared" si="0"/>
        <v>120485</v>
      </c>
      <c r="BC6" s="468">
        <f t="shared" si="0"/>
        <v>85715</v>
      </c>
      <c r="BD6" s="468">
        <f t="shared" si="0"/>
        <v>62000</v>
      </c>
      <c r="BE6" s="460"/>
      <c r="BF6" s="460"/>
      <c r="BG6" s="460"/>
      <c r="BH6" s="460"/>
      <c r="BI6" s="460"/>
      <c r="BJ6" s="460"/>
      <c r="BK6" s="460"/>
      <c r="BL6" s="460"/>
      <c r="BM6" s="460"/>
      <c r="BN6" s="460"/>
      <c r="BO6" s="460"/>
      <c r="BP6" s="460"/>
      <c r="BQ6" s="460"/>
      <c r="BR6" s="460"/>
      <c r="BS6" s="460"/>
      <c r="BT6" s="460"/>
      <c r="BU6" s="460"/>
      <c r="BV6" s="460"/>
      <c r="BW6" s="460"/>
      <c r="BX6" s="460"/>
      <c r="BY6" s="460"/>
      <c r="BZ6" s="460"/>
      <c r="CA6" s="460"/>
      <c r="CB6" s="460"/>
      <c r="CC6" s="460"/>
      <c r="CD6" s="460"/>
      <c r="CE6" s="460"/>
      <c r="CF6" s="460"/>
      <c r="CG6" s="460"/>
      <c r="CH6" s="460"/>
      <c r="CI6" s="460"/>
      <c r="CJ6" s="460"/>
      <c r="CK6" s="460"/>
      <c r="CL6" s="460"/>
      <c r="CM6" s="460"/>
      <c r="CN6" s="460"/>
      <c r="CO6" s="460"/>
      <c r="CP6" s="460"/>
      <c r="CQ6" s="460"/>
      <c r="CR6" s="460"/>
      <c r="CS6" s="460"/>
      <c r="CT6" s="460"/>
      <c r="CU6" s="460"/>
      <c r="CV6" s="460"/>
      <c r="CW6" s="460"/>
      <c r="CX6" s="460"/>
      <c r="CY6" s="460"/>
    </row>
    <row r="7" spans="1:103" s="350" customFormat="1" ht="12.95" customHeight="1" thickBot="1">
      <c r="A7" s="269"/>
      <c r="B7" s="416"/>
      <c r="C7" s="416"/>
      <c r="D7" s="419"/>
      <c r="E7" s="421"/>
      <c r="F7" s="275" t="s">
        <v>427</v>
      </c>
      <c r="G7" s="275" t="s">
        <v>428</v>
      </c>
      <c r="H7" s="272"/>
      <c r="I7" s="272"/>
      <c r="J7" s="272"/>
      <c r="K7" s="272"/>
      <c r="L7" s="272"/>
      <c r="M7" s="272"/>
      <c r="N7" s="272"/>
      <c r="O7" s="273"/>
      <c r="P7" s="362"/>
      <c r="Q7" s="465" t="s">
        <v>352</v>
      </c>
      <c r="R7" s="471"/>
      <c r="S7" s="470" t="s">
        <v>13</v>
      </c>
      <c r="T7" s="478" t="s">
        <v>11</v>
      </c>
      <c r="U7" s="478" t="s">
        <v>12</v>
      </c>
      <c r="V7" s="470" t="s">
        <v>14</v>
      </c>
      <c r="W7" s="470" t="s">
        <v>15</v>
      </c>
      <c r="X7" s="470" t="s">
        <v>16</v>
      </c>
      <c r="Y7" s="470" t="s">
        <v>158</v>
      </c>
      <c r="Z7" s="470" t="s">
        <v>17</v>
      </c>
      <c r="AA7" s="470" t="s">
        <v>18</v>
      </c>
      <c r="AB7" s="470" t="s">
        <v>19</v>
      </c>
      <c r="AC7" s="470" t="s">
        <v>20</v>
      </c>
      <c r="AD7" s="470" t="s">
        <v>21</v>
      </c>
      <c r="AE7" s="470" t="s">
        <v>159</v>
      </c>
      <c r="AF7" s="470" t="s">
        <v>160</v>
      </c>
      <c r="AG7" s="470" t="s">
        <v>161</v>
      </c>
      <c r="AH7" s="470" t="s">
        <v>162</v>
      </c>
      <c r="AI7" s="470" t="s">
        <v>22</v>
      </c>
      <c r="AJ7" s="470" t="s">
        <v>23</v>
      </c>
      <c r="AK7" s="465" t="s">
        <v>352</v>
      </c>
      <c r="AL7" s="471"/>
      <c r="AM7" s="472" t="s">
        <v>13</v>
      </c>
      <c r="AN7" s="473" t="s">
        <v>11</v>
      </c>
      <c r="AO7" s="473" t="s">
        <v>12</v>
      </c>
      <c r="AP7" s="472" t="s">
        <v>14</v>
      </c>
      <c r="AQ7" s="470" t="s">
        <v>15</v>
      </c>
      <c r="AR7" s="470" t="s">
        <v>16</v>
      </c>
      <c r="AS7" s="470" t="s">
        <v>158</v>
      </c>
      <c r="AT7" s="470" t="s">
        <v>17</v>
      </c>
      <c r="AU7" s="470" t="s">
        <v>18</v>
      </c>
      <c r="AV7" s="470" t="s">
        <v>19</v>
      </c>
      <c r="AW7" s="470" t="s">
        <v>20</v>
      </c>
      <c r="AX7" s="470" t="s">
        <v>21</v>
      </c>
      <c r="AY7" s="470" t="s">
        <v>159</v>
      </c>
      <c r="AZ7" s="470" t="s">
        <v>160</v>
      </c>
      <c r="BA7" s="470" t="s">
        <v>161</v>
      </c>
      <c r="BB7" s="470" t="s">
        <v>162</v>
      </c>
      <c r="BC7" s="470" t="s">
        <v>22</v>
      </c>
      <c r="BD7" s="470" t="s">
        <v>23</v>
      </c>
      <c r="BE7" s="460"/>
      <c r="BF7" s="460"/>
      <c r="BG7" s="460"/>
      <c r="BH7" s="460"/>
      <c r="BI7" s="460"/>
      <c r="BJ7" s="460"/>
      <c r="BK7" s="460"/>
      <c r="BL7" s="460"/>
      <c r="BM7" s="460"/>
      <c r="BN7" s="460"/>
      <c r="BO7" s="460"/>
      <c r="BP7" s="460"/>
      <c r="BQ7" s="460"/>
      <c r="BR7" s="460"/>
      <c r="BS7" s="460"/>
      <c r="BT7" s="460"/>
      <c r="BU7" s="460"/>
      <c r="BV7" s="460"/>
      <c r="BW7" s="460"/>
      <c r="BX7" s="460"/>
      <c r="BY7" s="460"/>
      <c r="BZ7" s="460"/>
      <c r="CA7" s="460"/>
      <c r="CB7" s="460"/>
      <c r="CC7" s="460"/>
      <c r="CD7" s="460"/>
      <c r="CE7" s="460"/>
      <c r="CF7" s="460"/>
      <c r="CG7" s="460"/>
      <c r="CH7" s="460"/>
      <c r="CI7" s="460"/>
      <c r="CJ7" s="460"/>
      <c r="CK7" s="460"/>
      <c r="CL7" s="460"/>
      <c r="CM7" s="460"/>
      <c r="CN7" s="460"/>
      <c r="CO7" s="460"/>
      <c r="CP7" s="460"/>
      <c r="CQ7" s="460"/>
      <c r="CR7" s="460"/>
      <c r="CS7" s="460"/>
      <c r="CT7" s="460"/>
      <c r="CU7" s="460"/>
      <c r="CV7" s="460"/>
      <c r="CW7" s="460"/>
      <c r="CX7" s="460"/>
      <c r="CY7" s="460"/>
    </row>
    <row r="8" spans="1:103" s="350" customFormat="1" ht="12" customHeight="1" thickTop="1">
      <c r="A8" s="269"/>
      <c r="B8" s="125" t="str">
        <f>UPPER(LEFT(TRIM(Data!B5),1)) &amp; MID(TRIM(Data!B5),2,50)</f>
        <v>Piktybiniai navikai</v>
      </c>
      <c r="C8" s="125" t="str">
        <f>Data!C5</f>
        <v>C00-C96</v>
      </c>
      <c r="D8" s="126">
        <f>Data!D5+Data!BQ5</f>
        <v>17846</v>
      </c>
      <c r="E8" s="127">
        <f t="shared" ref="E8:E9" si="1">D8/$R$6*100000</f>
        <v>608.58685150937799</v>
      </c>
      <c r="F8" s="128">
        <f>R8/$R$3</f>
        <v>438.55911990145364</v>
      </c>
      <c r="G8" s="129">
        <f t="shared" ref="G8:G9" si="2">AL8/$AL$3</f>
        <v>312.60738438023702</v>
      </c>
      <c r="H8" s="274"/>
      <c r="I8" s="274"/>
      <c r="J8" s="274"/>
      <c r="K8" s="274"/>
      <c r="L8" s="274"/>
      <c r="M8" s="274"/>
      <c r="N8" s="274"/>
      <c r="O8" s="273"/>
      <c r="P8" s="363"/>
      <c r="Q8" s="474" t="s">
        <v>353</v>
      </c>
      <c r="R8" s="468">
        <f t="shared" ref="R8:R46" si="3">SUM(S8:AJ8)</f>
        <v>43855911.990145363</v>
      </c>
      <c r="S8" s="468">
        <f>(Data!Q5+Data!CD5)/S$6*100000*S$3</f>
        <v>190994.09775184028</v>
      </c>
      <c r="T8" s="468">
        <f>(Data!R5+Data!CE5)/T$6*100000*T$3</f>
        <v>66503.939079468561</v>
      </c>
      <c r="U8" s="468">
        <f>(Data!S5+Data!CF5)/U$6*100000*U$3</f>
        <v>84908.420203922913</v>
      </c>
      <c r="V8" s="468">
        <f>(Data!T5+Data!CG5)/V$6*100000*V$3</f>
        <v>165135.18645316089</v>
      </c>
      <c r="W8" s="468">
        <f>(Data!U5+Data!CH5)/W$6*100000*W$3</f>
        <v>189897.81688900734</v>
      </c>
      <c r="X8" s="468">
        <f>(Data!V5+Data!CI5)/X$6*100000*X$3</f>
        <v>337624.62094196246</v>
      </c>
      <c r="Y8" s="468">
        <f>(Data!W5+Data!CJ5)/Y$6*100000*Y$3</f>
        <v>562879.40563558938</v>
      </c>
      <c r="Z8" s="468">
        <f>(Data!X5+Data!CK5)/Z$6*100000*Z$3</f>
        <v>801965.25551626505</v>
      </c>
      <c r="AA8" s="468">
        <f>(Data!Y5+Data!CL5)/AA$6*100000*AA$3</f>
        <v>1416552.7446628155</v>
      </c>
      <c r="AB8" s="468">
        <f>(Data!Z5+Data!CM5)/AB$6*100000*AB$3</f>
        <v>2507686.7597935013</v>
      </c>
      <c r="AC8" s="468">
        <f>(Data!AA5+Data!CN5)/AC$6*100000*AC$3</f>
        <v>4389717.9332355736</v>
      </c>
      <c r="AD8" s="468">
        <f>(Data!AB5+Data!CO5)/AD$6*100000*AD$3</f>
        <v>5726912.9865515381</v>
      </c>
      <c r="AE8" s="468">
        <f>(Data!AC5+Data!CP5)/AE$6*100000*AE$3</f>
        <v>6824257.7740256079</v>
      </c>
      <c r="AF8" s="468">
        <f>(Data!AD5+Data!CQ5)/AF$6*100000*AF$3</f>
        <v>6926702.8381823096</v>
      </c>
      <c r="AG8" s="468">
        <f>(Data!AE5+Data!CR5)/AG$6*100000*AG$3</f>
        <v>5888395.6414865907</v>
      </c>
      <c r="AH8" s="468">
        <f>(Data!AF5+Data!CS5)/AH$6*100000*AH$3</f>
        <v>3900900.5270365607</v>
      </c>
      <c r="AI8" s="468">
        <f>(Data!AG5+Data!CT5)/AI$6*100000*AI$3</f>
        <v>1971650.2362480315</v>
      </c>
      <c r="AJ8" s="468">
        <f>(Data!AH5+Data!CU5)/AJ$6*100000*AJ$3</f>
        <v>1903225.8064516129</v>
      </c>
      <c r="AK8" s="474" t="s">
        <v>353</v>
      </c>
      <c r="AL8" s="468">
        <f t="shared" ref="AL8:AL55" si="4">SUM(AM8:BD8)</f>
        <v>31260738.438023705</v>
      </c>
      <c r="AM8" s="468">
        <f>(Data!Q5+Data!CD5)/AM$6*100000*AM$3</f>
        <v>286491.14662776043</v>
      </c>
      <c r="AN8" s="468">
        <f>(Data!R5+Data!CE5)/AN$6*100000*AN$3</f>
        <v>95005.627256383654</v>
      </c>
      <c r="AO8" s="468">
        <f>(Data!S5+Data!CF5)/AO$6*100000*AO$3</f>
        <v>109167.96883361517</v>
      </c>
      <c r="AP8" s="468">
        <f>(Data!T5+Data!CG5)/AP$6*100000*AP$3</f>
        <v>212316.66829692113</v>
      </c>
      <c r="AQ8" s="468">
        <f>(Data!U5+Data!CH5)/AQ$6*100000*AQ$3</f>
        <v>217026.07644457981</v>
      </c>
      <c r="AR8" s="468">
        <f>(Data!V5+Data!CI5)/AR$6*100000*AR$3</f>
        <v>385856.70964795706</v>
      </c>
      <c r="AS8" s="468">
        <f>(Data!W5+Data!CJ5)/AS$6*100000*AS$3</f>
        <v>482468.06197336235</v>
      </c>
      <c r="AT8" s="468">
        <f>(Data!X5+Data!CK5)/AT$6*100000*AT$3</f>
        <v>687398.79044251295</v>
      </c>
      <c r="AU8" s="468">
        <f>(Data!Y5+Data!CL5)/AU$6*100000*AU$3</f>
        <v>1214188.0668538418</v>
      </c>
      <c r="AV8" s="468">
        <f>(Data!Z5+Data!CM5)/AV$6*100000*AV$3</f>
        <v>2149445.7941087154</v>
      </c>
      <c r="AW8" s="468">
        <f>(Data!AA5+Data!CN5)/AW$6*100000*AW$3</f>
        <v>3135512.809453981</v>
      </c>
      <c r="AX8" s="468">
        <f>(Data!AB5+Data!CO5)/AX$6*100000*AX$3</f>
        <v>3817941.9910343587</v>
      </c>
      <c r="AY8" s="468">
        <f>(Data!AC5+Data!CP5)/AY$6*100000*AY$3</f>
        <v>5459406.2192204865</v>
      </c>
      <c r="AZ8" s="468">
        <f>(Data!AD5+Data!CQ5)/AZ$6*100000*AZ$3</f>
        <v>5195027.1286367318</v>
      </c>
      <c r="BA8" s="468">
        <f>(Data!AE5+Data!CR5)/BA$6*100000*BA$3</f>
        <v>3925597.0943243937</v>
      </c>
      <c r="BB8" s="468">
        <f>(Data!AF5+Data!CS5)/BB$6*100000*BB$3</f>
        <v>1950450.2635182803</v>
      </c>
      <c r="BC8" s="468">
        <f>(Data!AG5+Data!CT5)/BC$6*100000*BC$3</f>
        <v>985825.11812401575</v>
      </c>
      <c r="BD8" s="468">
        <f>(Data!AH5+Data!CU5)/BD$6*100000*BD$3</f>
        <v>951612.90322580643</v>
      </c>
      <c r="BE8" s="460"/>
      <c r="BF8" s="460"/>
      <c r="BG8" s="460"/>
      <c r="BH8" s="460"/>
      <c r="BI8" s="460"/>
      <c r="BJ8" s="460"/>
      <c r="BK8" s="460"/>
      <c r="BL8" s="460"/>
      <c r="BM8" s="460"/>
      <c r="BN8" s="460"/>
      <c r="BO8" s="460"/>
      <c r="BP8" s="460"/>
      <c r="BQ8" s="460"/>
      <c r="BR8" s="460"/>
      <c r="BS8" s="460"/>
      <c r="BT8" s="460"/>
      <c r="BU8" s="460"/>
      <c r="BV8" s="460"/>
      <c r="BW8" s="460"/>
      <c r="BX8" s="460"/>
      <c r="BY8" s="460"/>
      <c r="BZ8" s="460"/>
      <c r="CA8" s="460"/>
      <c r="CB8" s="460"/>
      <c r="CC8" s="460"/>
      <c r="CD8" s="460"/>
      <c r="CE8" s="460"/>
      <c r="CF8" s="460"/>
      <c r="CG8" s="460"/>
      <c r="CH8" s="460"/>
      <c r="CI8" s="460"/>
      <c r="CJ8" s="460"/>
      <c r="CK8" s="460"/>
      <c r="CL8" s="460"/>
      <c r="CM8" s="460"/>
      <c r="CN8" s="460"/>
      <c r="CO8" s="460"/>
      <c r="CP8" s="460"/>
      <c r="CQ8" s="460"/>
      <c r="CR8" s="460"/>
      <c r="CS8" s="460"/>
      <c r="CT8" s="460"/>
      <c r="CU8" s="460"/>
      <c r="CV8" s="460"/>
      <c r="CW8" s="460"/>
      <c r="CX8" s="460"/>
      <c r="CY8" s="460"/>
    </row>
    <row r="9" spans="1:103" s="350" customFormat="1" ht="12" customHeight="1">
      <c r="A9" s="269"/>
      <c r="B9" s="276" t="str">
        <f>UPPER(LEFT(TRIM(Data!B6),1)) &amp; MID(TRIM(Data!B6),2,50)</f>
        <v>Lūpos</v>
      </c>
      <c r="C9" s="276" t="str">
        <f>Data!C6</f>
        <v>C00</v>
      </c>
      <c r="D9" s="277">
        <f>Data!D6+Data!BQ6</f>
        <v>25</v>
      </c>
      <c r="E9" s="278">
        <f t="shared" si="1"/>
        <v>0.85255358555051253</v>
      </c>
      <c r="F9" s="279">
        <f>R9/$R$3</f>
        <v>0.53846397383445377</v>
      </c>
      <c r="G9" s="279">
        <f t="shared" si="2"/>
        <v>0.35360086396338358</v>
      </c>
      <c r="H9" s="274"/>
      <c r="I9" s="274"/>
      <c r="J9" s="274"/>
      <c r="K9" s="274"/>
      <c r="L9" s="274"/>
      <c r="M9" s="274"/>
      <c r="N9" s="274"/>
      <c r="O9" s="273"/>
      <c r="P9" s="364"/>
      <c r="Q9" s="474" t="s">
        <v>353</v>
      </c>
      <c r="R9" s="468">
        <f t="shared" si="3"/>
        <v>53846.397383445372</v>
      </c>
      <c r="S9" s="468">
        <f>(Data!Q6+Data!CD6)/S$6*100000*S$3</f>
        <v>0</v>
      </c>
      <c r="T9" s="468">
        <f>(Data!R6+Data!CE6)/T$6*100000*T$3</f>
        <v>0</v>
      </c>
      <c r="U9" s="468">
        <f>(Data!S6+Data!CF6)/U$6*100000*U$3</f>
        <v>0</v>
      </c>
      <c r="V9" s="468">
        <f>(Data!T6+Data!CG6)/V$6*100000*V$3</f>
        <v>0</v>
      </c>
      <c r="W9" s="468">
        <f>(Data!U6+Data!CH6)/W$6*100000*W$3</f>
        <v>0</v>
      </c>
      <c r="X9" s="468">
        <f>(Data!V6+Data!CI6)/X$6*100000*X$3</f>
        <v>0</v>
      </c>
      <c r="Y9" s="468">
        <f>(Data!W6+Data!CJ6)/Y$6*100000*Y$3</f>
        <v>0</v>
      </c>
      <c r="Z9" s="468">
        <f>(Data!X6+Data!CK6)/Z$6*100000*Z$3</f>
        <v>0</v>
      </c>
      <c r="AA9" s="468">
        <f>(Data!Y6+Data!CL6)/AA$6*100000*AA$3</f>
        <v>0</v>
      </c>
      <c r="AB9" s="468">
        <f>(Data!Z6+Data!CM6)/AB$6*100000*AB$3</f>
        <v>0</v>
      </c>
      <c r="AC9" s="468">
        <f>(Data!AA6+Data!CN6)/AC$6*100000*AC$3</f>
        <v>6038.1264556197702</v>
      </c>
      <c r="AD9" s="468">
        <f>(Data!AB6+Data!CO6)/AD$6*100000*AD$3</f>
        <v>0</v>
      </c>
      <c r="AE9" s="468">
        <f>(Data!AC6+Data!CP6)/AE$6*100000*AE$3</f>
        <v>11725.528821349842</v>
      </c>
      <c r="AF9" s="468">
        <f>(Data!AD6+Data!CQ6)/AF$6*100000*AF$3</f>
        <v>5696.301676136768</v>
      </c>
      <c r="AG9" s="468">
        <f>(Data!AE6+Data!CR6)/AG$6*100000*AG$3</f>
        <v>13207.616392119455</v>
      </c>
      <c r="AH9" s="468">
        <f>(Data!AF6+Data!CS6)/AH$6*100000*AH$3</f>
        <v>11619.703697555713</v>
      </c>
      <c r="AI9" s="468">
        <f>(Data!AG6+Data!CT6)/AI$6*100000*AI$3</f>
        <v>2333.3138890509249</v>
      </c>
      <c r="AJ9" s="468">
        <f>(Data!AH6+Data!CU6)/AJ$6*100000*AJ$3</f>
        <v>3225.8064516129034</v>
      </c>
      <c r="AK9" s="474" t="s">
        <v>353</v>
      </c>
      <c r="AL9" s="468">
        <f t="shared" si="4"/>
        <v>35360.08639633836</v>
      </c>
      <c r="AM9" s="468">
        <f>(Data!Q6+Data!CD6)/AM$6*100000*AM$3</f>
        <v>0</v>
      </c>
      <c r="AN9" s="468">
        <f>(Data!R6+Data!CE6)/AN$6*100000*AN$3</f>
        <v>0</v>
      </c>
      <c r="AO9" s="468">
        <f>(Data!S6+Data!CF6)/AO$6*100000*AO$3</f>
        <v>0</v>
      </c>
      <c r="AP9" s="468">
        <f>(Data!T6+Data!CG6)/AP$6*100000*AP$3</f>
        <v>0</v>
      </c>
      <c r="AQ9" s="468">
        <f>(Data!U6+Data!CH6)/AQ$6*100000*AQ$3</f>
        <v>0</v>
      </c>
      <c r="AR9" s="468">
        <f>(Data!V6+Data!CI6)/AR$6*100000*AR$3</f>
        <v>0</v>
      </c>
      <c r="AS9" s="468">
        <f>(Data!W6+Data!CJ6)/AS$6*100000*AS$3</f>
        <v>0</v>
      </c>
      <c r="AT9" s="468">
        <f>(Data!X6+Data!CK6)/AT$6*100000*AT$3</f>
        <v>0</v>
      </c>
      <c r="AU9" s="468">
        <f>(Data!Y6+Data!CL6)/AU$6*100000*AU$3</f>
        <v>0</v>
      </c>
      <c r="AV9" s="468">
        <f>(Data!Z6+Data!CM6)/AV$6*100000*AV$3</f>
        <v>0</v>
      </c>
      <c r="AW9" s="468">
        <f>(Data!AA6+Data!CN6)/AW$6*100000*AW$3</f>
        <v>4312.9474682998361</v>
      </c>
      <c r="AX9" s="468">
        <f>(Data!AB6+Data!CO6)/AX$6*100000*AX$3</f>
        <v>0</v>
      </c>
      <c r="AY9" s="468">
        <f>(Data!AC6+Data!CP6)/AY$6*100000*AY$3</f>
        <v>9380.4230570798736</v>
      </c>
      <c r="AZ9" s="468">
        <f>(Data!AD6+Data!CQ6)/AZ$6*100000*AZ$3</f>
        <v>4272.2262571025758</v>
      </c>
      <c r="BA9" s="468">
        <f>(Data!AE6+Data!CR6)/BA$6*100000*BA$3</f>
        <v>8805.0775947463026</v>
      </c>
      <c r="BB9" s="468">
        <f>(Data!AF6+Data!CS6)/BB$6*100000*BB$3</f>
        <v>5809.8518487778565</v>
      </c>
      <c r="BC9" s="468">
        <f>(Data!AG6+Data!CT6)/BC$6*100000*BC$3</f>
        <v>1166.6569445254624</v>
      </c>
      <c r="BD9" s="468">
        <f>(Data!AH6+Data!CU6)/BD$6*100000*BD$3</f>
        <v>1612.9032258064517</v>
      </c>
      <c r="BE9" s="460"/>
      <c r="BF9" s="460"/>
      <c r="BG9" s="460"/>
      <c r="BH9" s="460"/>
      <c r="BI9" s="460"/>
      <c r="BJ9" s="460"/>
      <c r="BK9" s="460"/>
      <c r="BL9" s="460"/>
      <c r="BM9" s="460"/>
      <c r="BN9" s="460"/>
      <c r="BO9" s="460"/>
      <c r="BP9" s="460"/>
      <c r="BQ9" s="460"/>
      <c r="BR9" s="460"/>
      <c r="BS9" s="460"/>
      <c r="BT9" s="460"/>
      <c r="BU9" s="460"/>
      <c r="BV9" s="460"/>
      <c r="BW9" s="460"/>
      <c r="BX9" s="460"/>
      <c r="BY9" s="460"/>
      <c r="BZ9" s="460"/>
      <c r="CA9" s="460"/>
      <c r="CB9" s="460"/>
      <c r="CC9" s="460"/>
      <c r="CD9" s="460"/>
      <c r="CE9" s="460"/>
      <c r="CF9" s="460"/>
      <c r="CG9" s="460"/>
      <c r="CH9" s="460"/>
      <c r="CI9" s="460"/>
      <c r="CJ9" s="460"/>
      <c r="CK9" s="460"/>
      <c r="CL9" s="460"/>
      <c r="CM9" s="460"/>
      <c r="CN9" s="460"/>
      <c r="CO9" s="460"/>
      <c r="CP9" s="460"/>
      <c r="CQ9" s="460"/>
      <c r="CR9" s="460"/>
      <c r="CS9" s="460"/>
      <c r="CT9" s="460"/>
      <c r="CU9" s="460"/>
      <c r="CV9" s="460"/>
      <c r="CW9" s="460"/>
      <c r="CX9" s="460"/>
      <c r="CY9" s="460"/>
    </row>
    <row r="10" spans="1:103" s="350" customFormat="1" ht="12" customHeight="1">
      <c r="A10" s="269"/>
      <c r="B10" s="125" t="str">
        <f>UPPER(LEFT(TRIM(Data!B7),1)) &amp; MID(TRIM(Data!B7),2,50)</f>
        <v>Burnos ertmės ir ryklės</v>
      </c>
      <c r="C10" s="125" t="str">
        <f>Data!C7</f>
        <v>C01-C14</v>
      </c>
      <c r="D10" s="126">
        <f>Data!D7+Data!BQ7</f>
        <v>344</v>
      </c>
      <c r="E10" s="127">
        <f t="shared" ref="E10:E55" si="5">D10/$R$6*100000</f>
        <v>11.731137337175054</v>
      </c>
      <c r="F10" s="128">
        <f t="shared" ref="F10:F55" si="6">R10/$R$3</f>
        <v>9.5307083657615532</v>
      </c>
      <c r="G10" s="129">
        <f t="shared" ref="G10:G55" si="7">AL10/$AL$3</f>
        <v>7.0587453559420039</v>
      </c>
      <c r="H10" s="274"/>
      <c r="I10" s="274"/>
      <c r="J10" s="274"/>
      <c r="K10" s="274"/>
      <c r="L10" s="274"/>
      <c r="M10" s="274"/>
      <c r="N10" s="274"/>
      <c r="O10" s="273"/>
      <c r="P10" s="359"/>
      <c r="Q10" s="474" t="s">
        <v>353</v>
      </c>
      <c r="R10" s="468">
        <f t="shared" si="3"/>
        <v>953070.83657615539</v>
      </c>
      <c r="S10" s="468">
        <f>(Data!Q7+Data!CD7)/S$6*100000*S$3</f>
        <v>0</v>
      </c>
      <c r="T10" s="468">
        <f>(Data!R7+Data!CE7)/T$6*100000*T$3</f>
        <v>0</v>
      </c>
      <c r="U10" s="468">
        <f>(Data!S7+Data!CF7)/U$6*100000*U$3</f>
        <v>0</v>
      </c>
      <c r="V10" s="468">
        <f>(Data!T7+Data!CG7)/V$6*100000*V$3</f>
        <v>8055.3749489346765</v>
      </c>
      <c r="W10" s="468">
        <f>(Data!U7+Data!CH7)/W$6*100000*W$3</f>
        <v>0</v>
      </c>
      <c r="X10" s="468">
        <f>(Data!V7+Data!CI7)/X$6*100000*X$3</f>
        <v>0</v>
      </c>
      <c r="Y10" s="468">
        <f>(Data!W7+Data!CJ7)/Y$6*100000*Y$3</f>
        <v>11891.818428920902</v>
      </c>
      <c r="Z10" s="468">
        <f>(Data!X7+Data!CK7)/Z$6*100000*Z$3</f>
        <v>19278.010949910218</v>
      </c>
      <c r="AA10" s="468">
        <f>(Data!Y7+Data!CL7)/AA$6*100000*AA$3</f>
        <v>37729.007727096774</v>
      </c>
      <c r="AB10" s="468">
        <f>(Data!Z7+Data!CM7)/AB$6*100000*AB$3</f>
        <v>112928.94017613119</v>
      </c>
      <c r="AC10" s="468">
        <f>(Data!AA7+Data!CN7)/AC$6*100000*AC$3</f>
        <v>117743.46588458553</v>
      </c>
      <c r="AD10" s="468">
        <f>(Data!AB7+Data!CO7)/AD$6*100000*AD$3</f>
        <v>189826.28461287607</v>
      </c>
      <c r="AE10" s="468">
        <f>(Data!AC7+Data!CP7)/AE$6*100000*AE$3</f>
        <v>202265.37216828478</v>
      </c>
      <c r="AF10" s="468">
        <f>(Data!AD7+Data!CQ7)/AF$6*100000*AF$3</f>
        <v>122470.48603694051</v>
      </c>
      <c r="AG10" s="468">
        <f>(Data!AE7+Data!CR7)/AG$6*100000*AG$3</f>
        <v>59434.273764537546</v>
      </c>
      <c r="AH10" s="468">
        <f>(Data!AF7+Data!CS7)/AH$6*100000*AH$3</f>
        <v>44818.85711914346</v>
      </c>
      <c r="AI10" s="468">
        <f>(Data!AG7+Data!CT7)/AI$6*100000*AI$3</f>
        <v>10499.91250072916</v>
      </c>
      <c r="AJ10" s="468">
        <f>(Data!AH7+Data!CU7)/AJ$6*100000*AJ$3</f>
        <v>16129.032258064515</v>
      </c>
      <c r="AK10" s="474" t="s">
        <v>353</v>
      </c>
      <c r="AL10" s="468">
        <f t="shared" si="4"/>
        <v>705874.53559420037</v>
      </c>
      <c r="AM10" s="468">
        <f>(Data!Q7+Data!CD7)/AM$6*100000*AM$3</f>
        <v>0</v>
      </c>
      <c r="AN10" s="468">
        <f>(Data!R7+Data!CE7)/AN$6*100000*AN$3</f>
        <v>0</v>
      </c>
      <c r="AO10" s="468">
        <f>(Data!S7+Data!CF7)/AO$6*100000*AO$3</f>
        <v>0</v>
      </c>
      <c r="AP10" s="468">
        <f>(Data!T7+Data!CG7)/AP$6*100000*AP$3</f>
        <v>10356.910648630297</v>
      </c>
      <c r="AQ10" s="468">
        <f>(Data!U7+Data!CH7)/AQ$6*100000*AQ$3</f>
        <v>0</v>
      </c>
      <c r="AR10" s="468">
        <f>(Data!V7+Data!CI7)/AR$6*100000*AR$3</f>
        <v>0</v>
      </c>
      <c r="AS10" s="468">
        <f>(Data!W7+Data!CJ7)/AS$6*100000*AS$3</f>
        <v>10192.987224789344</v>
      </c>
      <c r="AT10" s="468">
        <f>(Data!X7+Data!CK7)/AT$6*100000*AT$3</f>
        <v>16524.009385637331</v>
      </c>
      <c r="AU10" s="468">
        <f>(Data!Y7+Data!CL7)/AU$6*100000*AU$3</f>
        <v>32339.149480368666</v>
      </c>
      <c r="AV10" s="468">
        <f>(Data!Z7+Data!CM7)/AV$6*100000*AV$3</f>
        <v>96796.234436683881</v>
      </c>
      <c r="AW10" s="468">
        <f>(Data!AA7+Data!CN7)/AW$6*100000*AW$3</f>
        <v>84102.475631846813</v>
      </c>
      <c r="AX10" s="468">
        <f>(Data!AB7+Data!CO7)/AX$6*100000*AX$3</f>
        <v>126550.85640858403</v>
      </c>
      <c r="AY10" s="468">
        <f>(Data!AC7+Data!CP7)/AY$6*100000*AY$3</f>
        <v>161812.29773462782</v>
      </c>
      <c r="AZ10" s="468">
        <f>(Data!AD7+Data!CQ7)/AZ$6*100000*AZ$3</f>
        <v>91852.864527705387</v>
      </c>
      <c r="BA10" s="468">
        <f>(Data!AE7+Data!CR7)/BA$6*100000*BA$3</f>
        <v>39622.849176358366</v>
      </c>
      <c r="BB10" s="468">
        <f>(Data!AF7+Data!CS7)/BB$6*100000*BB$3</f>
        <v>22409.42855957173</v>
      </c>
      <c r="BC10" s="468">
        <f>(Data!AG7+Data!CT7)/BC$6*100000*BC$3</f>
        <v>5249.9562503645802</v>
      </c>
      <c r="BD10" s="468">
        <f>(Data!AH7+Data!CU7)/BD$6*100000*BD$3</f>
        <v>8064.5161290322576</v>
      </c>
      <c r="BE10" s="460"/>
      <c r="BF10" s="460"/>
      <c r="BG10" s="460"/>
      <c r="BH10" s="460"/>
      <c r="BI10" s="460"/>
      <c r="BJ10" s="460"/>
      <c r="BK10" s="460"/>
      <c r="BL10" s="460"/>
      <c r="BM10" s="460"/>
      <c r="BN10" s="460"/>
      <c r="BO10" s="460"/>
      <c r="BP10" s="460"/>
      <c r="BQ10" s="460"/>
      <c r="BR10" s="460"/>
      <c r="BS10" s="460"/>
      <c r="BT10" s="460"/>
      <c r="BU10" s="460"/>
      <c r="BV10" s="460"/>
      <c r="BW10" s="460"/>
      <c r="BX10" s="460"/>
      <c r="BY10" s="460"/>
      <c r="BZ10" s="460"/>
      <c r="CA10" s="460"/>
      <c r="CB10" s="460"/>
      <c r="CC10" s="460"/>
      <c r="CD10" s="460"/>
      <c r="CE10" s="460"/>
      <c r="CF10" s="460"/>
      <c r="CG10" s="460"/>
      <c r="CH10" s="460"/>
      <c r="CI10" s="460"/>
      <c r="CJ10" s="460"/>
      <c r="CK10" s="460"/>
      <c r="CL10" s="460"/>
      <c r="CM10" s="460"/>
      <c r="CN10" s="460"/>
      <c r="CO10" s="460"/>
      <c r="CP10" s="460"/>
      <c r="CQ10" s="460"/>
      <c r="CR10" s="460"/>
      <c r="CS10" s="460"/>
      <c r="CT10" s="460"/>
      <c r="CU10" s="460"/>
      <c r="CV10" s="460"/>
      <c r="CW10" s="460"/>
      <c r="CX10" s="460"/>
      <c r="CY10" s="460"/>
    </row>
    <row r="11" spans="1:103" s="350" customFormat="1" ht="12" customHeight="1">
      <c r="A11" s="269"/>
      <c r="B11" s="276" t="str">
        <f>UPPER(LEFT(TRIM(Data!B8),1)) &amp; MID(TRIM(Data!B8),2,50)</f>
        <v>Stemplės</v>
      </c>
      <c r="C11" s="276" t="str">
        <f>Data!C8</f>
        <v>C15</v>
      </c>
      <c r="D11" s="277">
        <f>Data!D8+Data!BQ8</f>
        <v>218</v>
      </c>
      <c r="E11" s="278">
        <f t="shared" si="5"/>
        <v>7.4342672660004698</v>
      </c>
      <c r="F11" s="279">
        <f t="shared" si="6"/>
        <v>5.6794572359926674</v>
      </c>
      <c r="G11" s="279">
        <f t="shared" si="7"/>
        <v>4.0774049420752316</v>
      </c>
      <c r="H11" s="274"/>
      <c r="I11" s="274"/>
      <c r="J11" s="274"/>
      <c r="K11" s="274"/>
      <c r="L11" s="274"/>
      <c r="M11" s="274"/>
      <c r="N11" s="274"/>
      <c r="O11" s="273"/>
      <c r="P11" s="359"/>
      <c r="Q11" s="474" t="s">
        <v>353</v>
      </c>
      <c r="R11" s="468">
        <f t="shared" si="3"/>
        <v>567945.72359926673</v>
      </c>
      <c r="S11" s="468">
        <f>(Data!Q8+Data!CD8)/S$6*100000*S$3</f>
        <v>0</v>
      </c>
      <c r="T11" s="468">
        <f>(Data!R8+Data!CE8)/T$6*100000*T$3</f>
        <v>0</v>
      </c>
      <c r="U11" s="468">
        <f>(Data!S8+Data!CF8)/U$6*100000*U$3</f>
        <v>0</v>
      </c>
      <c r="V11" s="468">
        <f>(Data!T8+Data!CG8)/V$6*100000*V$3</f>
        <v>0</v>
      </c>
      <c r="W11" s="468">
        <f>(Data!U8+Data!CH8)/W$6*100000*W$3</f>
        <v>0</v>
      </c>
      <c r="X11" s="468">
        <f>(Data!V8+Data!CI8)/X$6*100000*X$3</f>
        <v>0</v>
      </c>
      <c r="Y11" s="468">
        <f>(Data!W8+Data!CJ8)/Y$6*100000*Y$3</f>
        <v>0</v>
      </c>
      <c r="Z11" s="468">
        <f>(Data!X8+Data!CK8)/Z$6*100000*Z$3</f>
        <v>7711.2043799640887</v>
      </c>
      <c r="AA11" s="468">
        <f>(Data!Y8+Data!CL8)/AA$6*100000*AA$3</f>
        <v>13719.639173489737</v>
      </c>
      <c r="AB11" s="468">
        <f>(Data!Z8+Data!CM8)/AB$6*100000*AB$3</f>
        <v>43178.712420285447</v>
      </c>
      <c r="AC11" s="468">
        <f>(Data!AA8+Data!CN8)/AC$6*100000*AC$3</f>
        <v>63400.327784007597</v>
      </c>
      <c r="AD11" s="468">
        <f>(Data!AB8+Data!CO8)/AD$6*100000*AD$3</f>
        <v>119736.57952504492</v>
      </c>
      <c r="AE11" s="468">
        <f>(Data!AC8+Data!CP8)/AE$6*100000*AE$3</f>
        <v>143637.72806153557</v>
      </c>
      <c r="AF11" s="468">
        <f>(Data!AD8+Data!CQ8)/AF$6*100000*AF$3</f>
        <v>68355.620113641227</v>
      </c>
      <c r="AG11" s="468">
        <f>(Data!AE8+Data!CR8)/AG$6*100000*AG$3</f>
        <v>41824.118575044944</v>
      </c>
      <c r="AH11" s="468">
        <f>(Data!AF8+Data!CS8)/AH$6*100000*AH$3</f>
        <v>33199.153421587755</v>
      </c>
      <c r="AI11" s="468">
        <f>(Data!AG8+Data!CT8)/AI$6*100000*AI$3</f>
        <v>18666.511112407399</v>
      </c>
      <c r="AJ11" s="468">
        <f>(Data!AH8+Data!CU8)/AJ$6*100000*AJ$3</f>
        <v>14516.129032258064</v>
      </c>
      <c r="AK11" s="474" t="s">
        <v>353</v>
      </c>
      <c r="AL11" s="468">
        <f t="shared" si="4"/>
        <v>407740.49420752312</v>
      </c>
      <c r="AM11" s="468">
        <f>(Data!Q8+Data!CD8)/AM$6*100000*AM$3</f>
        <v>0</v>
      </c>
      <c r="AN11" s="468">
        <f>(Data!R8+Data!CE8)/AN$6*100000*AN$3</f>
        <v>0</v>
      </c>
      <c r="AO11" s="468">
        <f>(Data!S8+Data!CF8)/AO$6*100000*AO$3</f>
        <v>0</v>
      </c>
      <c r="AP11" s="468">
        <f>(Data!T8+Data!CG8)/AP$6*100000*AP$3</f>
        <v>0</v>
      </c>
      <c r="AQ11" s="468">
        <f>(Data!U8+Data!CH8)/AQ$6*100000*AQ$3</f>
        <v>0</v>
      </c>
      <c r="AR11" s="468">
        <f>(Data!V8+Data!CI8)/AR$6*100000*AR$3</f>
        <v>0</v>
      </c>
      <c r="AS11" s="468">
        <f>(Data!W8+Data!CJ8)/AS$6*100000*AS$3</f>
        <v>0</v>
      </c>
      <c r="AT11" s="468">
        <f>(Data!X8+Data!CK8)/AT$6*100000*AT$3</f>
        <v>6609.6037542549329</v>
      </c>
      <c r="AU11" s="468">
        <f>(Data!Y8+Data!CL8)/AU$6*100000*AU$3</f>
        <v>11759.69072013406</v>
      </c>
      <c r="AV11" s="468">
        <f>(Data!Z8+Data!CM8)/AV$6*100000*AV$3</f>
        <v>37010.32493167324</v>
      </c>
      <c r="AW11" s="468">
        <f>(Data!AA8+Data!CN8)/AW$6*100000*AW$3</f>
        <v>45285.948417148284</v>
      </c>
      <c r="AX11" s="468">
        <f>(Data!AB8+Data!CO8)/AX$6*100000*AX$3</f>
        <v>79824.386350029934</v>
      </c>
      <c r="AY11" s="468">
        <f>(Data!AC8+Data!CP8)/AY$6*100000*AY$3</f>
        <v>114910.18244922846</v>
      </c>
      <c r="AZ11" s="468">
        <f>(Data!AD8+Data!CQ8)/AZ$6*100000*AZ$3</f>
        <v>51266.715085230921</v>
      </c>
      <c r="BA11" s="468">
        <f>(Data!AE8+Data!CR8)/BA$6*100000*BA$3</f>
        <v>27882.745716696631</v>
      </c>
      <c r="BB11" s="468">
        <f>(Data!AF8+Data!CS8)/BB$6*100000*BB$3</f>
        <v>16599.576710793877</v>
      </c>
      <c r="BC11" s="468">
        <f>(Data!AG8+Data!CT8)/BC$6*100000*BC$3</f>
        <v>9333.2555562036996</v>
      </c>
      <c r="BD11" s="468">
        <f>(Data!AH8+Data!CU8)/BD$6*100000*BD$3</f>
        <v>7258.0645161290322</v>
      </c>
      <c r="BE11" s="460"/>
      <c r="BF11" s="460"/>
      <c r="BG11" s="460"/>
      <c r="BH11" s="460"/>
      <c r="BI11" s="460"/>
      <c r="BJ11" s="460"/>
      <c r="BK11" s="460"/>
      <c r="BL11" s="460"/>
      <c r="BM11" s="460"/>
      <c r="BN11" s="460"/>
      <c r="BO11" s="460"/>
      <c r="BP11" s="460"/>
      <c r="BQ11" s="460"/>
      <c r="BR11" s="460"/>
      <c r="BS11" s="460"/>
      <c r="BT11" s="460"/>
      <c r="BU11" s="460"/>
      <c r="BV11" s="460"/>
      <c r="BW11" s="460"/>
      <c r="BX11" s="460"/>
      <c r="BY11" s="460"/>
      <c r="BZ11" s="460"/>
      <c r="CA11" s="460"/>
      <c r="CB11" s="460"/>
      <c r="CC11" s="460"/>
      <c r="CD11" s="460"/>
      <c r="CE11" s="460"/>
      <c r="CF11" s="460"/>
      <c r="CG11" s="460"/>
      <c r="CH11" s="460"/>
      <c r="CI11" s="460"/>
      <c r="CJ11" s="460"/>
      <c r="CK11" s="460"/>
      <c r="CL11" s="460"/>
      <c r="CM11" s="460"/>
      <c r="CN11" s="460"/>
      <c r="CO11" s="460"/>
      <c r="CP11" s="460"/>
      <c r="CQ11" s="460"/>
      <c r="CR11" s="460"/>
      <c r="CS11" s="460"/>
      <c r="CT11" s="460"/>
      <c r="CU11" s="460"/>
      <c r="CV11" s="460"/>
      <c r="CW11" s="460"/>
      <c r="CX11" s="460"/>
      <c r="CY11" s="460"/>
    </row>
    <row r="12" spans="1:103" s="350" customFormat="1" ht="12" customHeight="1">
      <c r="A12" s="269"/>
      <c r="B12" s="125" t="str">
        <f>UPPER(LEFT(TRIM(Data!B9),1)) &amp; MID(TRIM(Data!B9),2,50)</f>
        <v>Skrandžio</v>
      </c>
      <c r="C12" s="125" t="str">
        <f>Data!C9</f>
        <v>C16</v>
      </c>
      <c r="D12" s="126">
        <f>Data!D9+Data!BQ9</f>
        <v>820</v>
      </c>
      <c r="E12" s="127">
        <f t="shared" si="5"/>
        <v>27.963757606056813</v>
      </c>
      <c r="F12" s="128">
        <f t="shared" si="6"/>
        <v>19.000733215767433</v>
      </c>
      <c r="G12" s="129">
        <f t="shared" si="7"/>
        <v>13.129476965283651</v>
      </c>
      <c r="H12" s="274"/>
      <c r="I12" s="274"/>
      <c r="J12" s="274"/>
      <c r="K12" s="274"/>
      <c r="L12" s="274"/>
      <c r="M12" s="274"/>
      <c r="N12" s="274"/>
      <c r="O12" s="273"/>
      <c r="P12" s="359"/>
      <c r="Q12" s="474" t="s">
        <v>353</v>
      </c>
      <c r="R12" s="468">
        <f t="shared" si="3"/>
        <v>1900073.3215767432</v>
      </c>
      <c r="S12" s="468">
        <f>(Data!Q9+Data!CD9)/S$6*100000*S$3</f>
        <v>0</v>
      </c>
      <c r="T12" s="468">
        <f>(Data!R9+Data!CE9)/T$6*100000*T$3</f>
        <v>0</v>
      </c>
      <c r="U12" s="468">
        <f>(Data!S9+Data!CF9)/U$6*100000*U$3</f>
        <v>0</v>
      </c>
      <c r="V12" s="468">
        <f>(Data!T9+Data!CG9)/V$6*100000*V$3</f>
        <v>0</v>
      </c>
      <c r="W12" s="468">
        <f>(Data!U9+Data!CH9)/W$6*100000*W$3</f>
        <v>9994.6219415267005</v>
      </c>
      <c r="X12" s="468">
        <f>(Data!V9+Data!CI9)/X$6*100000*X$3</f>
        <v>10775.253859849865</v>
      </c>
      <c r="Y12" s="468">
        <f>(Data!W9+Data!CJ9)/Y$6*100000*Y$3</f>
        <v>15855.757905227869</v>
      </c>
      <c r="Z12" s="468">
        <f>(Data!X9+Data!CK9)/Z$6*100000*Z$3</f>
        <v>57834.032849730662</v>
      </c>
      <c r="AA12" s="468">
        <f>(Data!Y9+Data!CL9)/AA$6*100000*AA$3</f>
        <v>58308.466487331374</v>
      </c>
      <c r="AB12" s="468">
        <f>(Data!Z9+Data!CM9)/AB$6*100000*AB$3</f>
        <v>99643.182508351048</v>
      </c>
      <c r="AC12" s="468">
        <f>(Data!AA9+Data!CN9)/AC$6*100000*AC$3</f>
        <v>184162.85689640301</v>
      </c>
      <c r="AD12" s="468">
        <f>(Data!AB9+Data!CO9)/AD$6*100000*AD$3</f>
        <v>178144.66709823752</v>
      </c>
      <c r="AE12" s="468">
        <f>(Data!AC9+Data!CP9)/AE$6*100000*AE$3</f>
        <v>313657.89597110829</v>
      </c>
      <c r="AF12" s="468">
        <f>(Data!AD9+Data!CQ9)/AF$6*100000*AF$3</f>
        <v>225003.91620740236</v>
      </c>
      <c r="AG12" s="468">
        <f>(Data!AE9+Data!CR9)/AG$6*100000*AG$3</f>
        <v>283963.75243056833</v>
      </c>
      <c r="AH12" s="468">
        <f>(Data!AF9+Data!CS9)/AH$6*100000*AH$3</f>
        <v>202514.83587168527</v>
      </c>
      <c r="AI12" s="468">
        <f>(Data!AG9+Data!CT9)/AI$6*100000*AI$3</f>
        <v>116665.69445254622</v>
      </c>
      <c r="AJ12" s="468">
        <f>(Data!AH9+Data!CU9)/AJ$6*100000*AJ$3</f>
        <v>143548.38709677421</v>
      </c>
      <c r="AK12" s="474" t="s">
        <v>353</v>
      </c>
      <c r="AL12" s="468">
        <f t="shared" si="4"/>
        <v>1312947.6965283651</v>
      </c>
      <c r="AM12" s="468">
        <f>(Data!Q9+Data!CD9)/AM$6*100000*AM$3</f>
        <v>0</v>
      </c>
      <c r="AN12" s="468">
        <f>(Data!R9+Data!CE9)/AN$6*100000*AN$3</f>
        <v>0</v>
      </c>
      <c r="AO12" s="468">
        <f>(Data!S9+Data!CF9)/AO$6*100000*AO$3</f>
        <v>0</v>
      </c>
      <c r="AP12" s="468">
        <f>(Data!T9+Data!CG9)/AP$6*100000*AP$3</f>
        <v>0</v>
      </c>
      <c r="AQ12" s="468">
        <f>(Data!U9+Data!CH9)/AQ$6*100000*AQ$3</f>
        <v>11422.425076030515</v>
      </c>
      <c r="AR12" s="468">
        <f>(Data!V9+Data!CI9)/AR$6*100000*AR$3</f>
        <v>12314.575839828416</v>
      </c>
      <c r="AS12" s="468">
        <f>(Data!W9+Data!CJ9)/AS$6*100000*AS$3</f>
        <v>13590.649633052459</v>
      </c>
      <c r="AT12" s="468">
        <f>(Data!X9+Data!CK9)/AT$6*100000*AT$3</f>
        <v>49572.028156911991</v>
      </c>
      <c r="AU12" s="468">
        <f>(Data!Y9+Data!CL9)/AU$6*100000*AU$3</f>
        <v>49978.685560569749</v>
      </c>
      <c r="AV12" s="468">
        <f>(Data!Z9+Data!CM9)/AV$6*100000*AV$3</f>
        <v>85408.44215001518</v>
      </c>
      <c r="AW12" s="468">
        <f>(Data!AA9+Data!CN9)/AW$6*100000*AW$3</f>
        <v>131544.89778314502</v>
      </c>
      <c r="AX12" s="468">
        <f>(Data!AB9+Data!CO9)/AX$6*100000*AX$3</f>
        <v>118763.11139882501</v>
      </c>
      <c r="AY12" s="468">
        <f>(Data!AC9+Data!CP9)/AY$6*100000*AY$3</f>
        <v>250926.31677688664</v>
      </c>
      <c r="AZ12" s="468">
        <f>(Data!AD9+Data!CQ9)/AZ$6*100000*AZ$3</f>
        <v>168752.93715555177</v>
      </c>
      <c r="BA12" s="468">
        <f>(Data!AE9+Data!CR9)/BA$6*100000*BA$3</f>
        <v>189309.16828704553</v>
      </c>
      <c r="BB12" s="468">
        <f>(Data!AF9+Data!CS9)/BB$6*100000*BB$3</f>
        <v>101257.41793584263</v>
      </c>
      <c r="BC12" s="468">
        <f>(Data!AG9+Data!CT9)/BC$6*100000*BC$3</f>
        <v>58332.847226273108</v>
      </c>
      <c r="BD12" s="468">
        <f>(Data!AH9+Data!CU9)/BD$6*100000*BD$3</f>
        <v>71774.193548387106</v>
      </c>
      <c r="BE12" s="460"/>
      <c r="BF12" s="460"/>
      <c r="BG12" s="460"/>
      <c r="BH12" s="460"/>
      <c r="BI12" s="460"/>
      <c r="BJ12" s="460"/>
      <c r="BK12" s="460"/>
      <c r="BL12" s="460"/>
      <c r="BM12" s="460"/>
      <c r="BN12" s="460"/>
      <c r="BO12" s="460"/>
      <c r="BP12" s="460"/>
      <c r="BQ12" s="460"/>
      <c r="BR12" s="460"/>
      <c r="BS12" s="460"/>
      <c r="BT12" s="460"/>
      <c r="BU12" s="460"/>
      <c r="BV12" s="460"/>
      <c r="BW12" s="460"/>
      <c r="BX12" s="460"/>
      <c r="BY12" s="460"/>
      <c r="BZ12" s="460"/>
      <c r="CA12" s="460"/>
      <c r="CB12" s="460"/>
      <c r="CC12" s="460"/>
      <c r="CD12" s="460"/>
      <c r="CE12" s="460"/>
      <c r="CF12" s="460"/>
      <c r="CG12" s="460"/>
      <c r="CH12" s="460"/>
      <c r="CI12" s="460"/>
      <c r="CJ12" s="460"/>
      <c r="CK12" s="460"/>
      <c r="CL12" s="460"/>
      <c r="CM12" s="460"/>
      <c r="CN12" s="460"/>
      <c r="CO12" s="460"/>
      <c r="CP12" s="460"/>
      <c r="CQ12" s="460"/>
      <c r="CR12" s="460"/>
      <c r="CS12" s="460"/>
      <c r="CT12" s="460"/>
      <c r="CU12" s="460"/>
      <c r="CV12" s="460"/>
      <c r="CW12" s="460"/>
      <c r="CX12" s="460"/>
      <c r="CY12" s="460"/>
    </row>
    <row r="13" spans="1:103" s="350" customFormat="1" ht="12" customHeight="1">
      <c r="A13" s="269"/>
      <c r="B13" s="276" t="str">
        <f>UPPER(LEFT(TRIM(Data!B10),1)) &amp; MID(TRIM(Data!B10),2,50)</f>
        <v>Gaubtinės žarnos</v>
      </c>
      <c r="C13" s="276" t="str">
        <f>Data!C10</f>
        <v>C18</v>
      </c>
      <c r="D13" s="277">
        <f>Data!D10+Data!BQ10</f>
        <v>871</v>
      </c>
      <c r="E13" s="278">
        <f t="shared" si="5"/>
        <v>29.702966920579861</v>
      </c>
      <c r="F13" s="279">
        <f t="shared" si="6"/>
        <v>19.372957750294287</v>
      </c>
      <c r="G13" s="279">
        <f t="shared" si="7"/>
        <v>13.044784510357896</v>
      </c>
      <c r="H13" s="274"/>
      <c r="I13" s="274"/>
      <c r="J13" s="274"/>
      <c r="K13" s="274"/>
      <c r="L13" s="274"/>
      <c r="M13" s="274"/>
      <c r="N13" s="274"/>
      <c r="O13" s="273"/>
      <c r="P13" s="359"/>
      <c r="Q13" s="474" t="s">
        <v>353</v>
      </c>
      <c r="R13" s="468">
        <f t="shared" si="3"/>
        <v>1937295.7750294285</v>
      </c>
      <c r="S13" s="468">
        <f>(Data!Q10+Data!CD10)/S$6*100000*S$3</f>
        <v>0</v>
      </c>
      <c r="T13" s="468">
        <f>(Data!R10+Data!CE10)/T$6*100000*T$3</f>
        <v>0</v>
      </c>
      <c r="U13" s="468">
        <f>(Data!S10+Data!CF10)/U$6*100000*U$3</f>
        <v>0</v>
      </c>
      <c r="V13" s="468">
        <f>(Data!T10+Data!CG10)/V$6*100000*V$3</f>
        <v>4027.6874744673382</v>
      </c>
      <c r="W13" s="468">
        <f>(Data!U10+Data!CH10)/W$6*100000*W$3</f>
        <v>6663.0812943511346</v>
      </c>
      <c r="X13" s="468">
        <f>(Data!V10+Data!CI10)/X$6*100000*X$3</f>
        <v>0</v>
      </c>
      <c r="Y13" s="468">
        <f>(Data!W10+Data!CJ10)/Y$6*100000*Y$3</f>
        <v>3963.9394763069672</v>
      </c>
      <c r="Z13" s="468">
        <f>(Data!X10+Data!CK10)/Z$6*100000*Z$3</f>
        <v>23133.613139892263</v>
      </c>
      <c r="AA13" s="468">
        <f>(Data!Y10+Data!CL10)/AA$6*100000*AA$3</f>
        <v>34299.097933724341</v>
      </c>
      <c r="AB13" s="468">
        <f>(Data!Z10+Data!CM10)/AB$6*100000*AB$3</f>
        <v>59785.909505010633</v>
      </c>
      <c r="AC13" s="468">
        <f>(Data!AA10+Data!CN10)/AC$6*100000*AC$3</f>
        <v>96610.023289916324</v>
      </c>
      <c r="AD13" s="468">
        <f>(Data!AB10+Data!CO10)/AD$6*100000*AD$3</f>
        <v>195667.09337019533</v>
      </c>
      <c r="AE13" s="468">
        <f>(Data!AC10+Data!CP10)/AE$6*100000*AE$3</f>
        <v>301932.36714975844</v>
      </c>
      <c r="AF13" s="468">
        <f>(Data!AD10+Data!CQ10)/AF$6*100000*AF$3</f>
        <v>341778.10056820611</v>
      </c>
      <c r="AG13" s="468">
        <f>(Data!AE10+Data!CR10)/AG$6*100000*AG$3</f>
        <v>334592.94860035955</v>
      </c>
      <c r="AH13" s="468">
        <f>(Data!AF10+Data!CS10)/AH$6*100000*AH$3</f>
        <v>235713.98929327301</v>
      </c>
      <c r="AI13" s="468">
        <f>(Data!AG10+Data!CT10)/AI$6*100000*AI$3</f>
        <v>132998.89167590271</v>
      </c>
      <c r="AJ13" s="468">
        <f>(Data!AH10+Data!CU10)/AJ$6*100000*AJ$3</f>
        <v>166129.03225806452</v>
      </c>
      <c r="AK13" s="474" t="s">
        <v>353</v>
      </c>
      <c r="AL13" s="468">
        <f t="shared" si="4"/>
        <v>1304478.4510357897</v>
      </c>
      <c r="AM13" s="468">
        <f>(Data!Q10+Data!CD10)/AM$6*100000*AM$3</f>
        <v>0</v>
      </c>
      <c r="AN13" s="468">
        <f>(Data!R10+Data!CE10)/AN$6*100000*AN$3</f>
        <v>0</v>
      </c>
      <c r="AO13" s="468">
        <f>(Data!S10+Data!CF10)/AO$6*100000*AO$3</f>
        <v>0</v>
      </c>
      <c r="AP13" s="468">
        <f>(Data!T10+Data!CG10)/AP$6*100000*AP$3</f>
        <v>5178.4553243151486</v>
      </c>
      <c r="AQ13" s="468">
        <f>(Data!U10+Data!CH10)/AQ$6*100000*AQ$3</f>
        <v>7614.9500506870118</v>
      </c>
      <c r="AR13" s="468">
        <f>(Data!V10+Data!CI10)/AR$6*100000*AR$3</f>
        <v>0</v>
      </c>
      <c r="AS13" s="468">
        <f>(Data!W10+Data!CJ10)/AS$6*100000*AS$3</f>
        <v>3397.6624082631147</v>
      </c>
      <c r="AT13" s="468">
        <f>(Data!X10+Data!CK10)/AT$6*100000*AT$3</f>
        <v>19828.811262764797</v>
      </c>
      <c r="AU13" s="468">
        <f>(Data!Y10+Data!CL10)/AU$6*100000*AU$3</f>
        <v>29399.226800335149</v>
      </c>
      <c r="AV13" s="468">
        <f>(Data!Z10+Data!CM10)/AV$6*100000*AV$3</f>
        <v>51245.065290009115</v>
      </c>
      <c r="AW13" s="468">
        <f>(Data!AA10+Data!CN10)/AW$6*100000*AW$3</f>
        <v>69007.159492797378</v>
      </c>
      <c r="AX13" s="468">
        <f>(Data!AB10+Data!CO10)/AX$6*100000*AX$3</f>
        <v>130444.72891346356</v>
      </c>
      <c r="AY13" s="468">
        <f>(Data!AC10+Data!CP10)/AY$6*100000*AY$3</f>
        <v>241545.89371980674</v>
      </c>
      <c r="AZ13" s="468">
        <f>(Data!AD10+Data!CQ10)/AZ$6*100000*AZ$3</f>
        <v>256333.5754261546</v>
      </c>
      <c r="BA13" s="468">
        <f>(Data!AE10+Data!CR10)/BA$6*100000*BA$3</f>
        <v>223061.96573357304</v>
      </c>
      <c r="BB13" s="468">
        <f>(Data!AF10+Data!CS10)/BB$6*100000*BB$3</f>
        <v>117856.99464663651</v>
      </c>
      <c r="BC13" s="468">
        <f>(Data!AG10+Data!CT10)/BC$6*100000*BC$3</f>
        <v>66499.445837951353</v>
      </c>
      <c r="BD13" s="468">
        <f>(Data!AH10+Data!CU10)/BD$6*100000*BD$3</f>
        <v>83064.516129032258</v>
      </c>
      <c r="BE13" s="460"/>
      <c r="BF13" s="460"/>
      <c r="BG13" s="460"/>
      <c r="BH13" s="460"/>
      <c r="BI13" s="460"/>
      <c r="BJ13" s="460"/>
      <c r="BK13" s="460"/>
      <c r="BL13" s="460"/>
      <c r="BM13" s="460"/>
      <c r="BN13" s="460"/>
      <c r="BO13" s="460"/>
      <c r="BP13" s="460"/>
      <c r="BQ13" s="460"/>
      <c r="BR13" s="460"/>
      <c r="BS13" s="460"/>
      <c r="BT13" s="460"/>
      <c r="BU13" s="460"/>
      <c r="BV13" s="460"/>
      <c r="BW13" s="460"/>
      <c r="BX13" s="460"/>
      <c r="BY13" s="460"/>
      <c r="BZ13" s="460"/>
      <c r="CA13" s="460"/>
      <c r="CB13" s="460"/>
      <c r="CC13" s="460"/>
      <c r="CD13" s="460"/>
      <c r="CE13" s="460"/>
      <c r="CF13" s="460"/>
      <c r="CG13" s="460"/>
      <c r="CH13" s="460"/>
      <c r="CI13" s="460"/>
      <c r="CJ13" s="460"/>
      <c r="CK13" s="460"/>
      <c r="CL13" s="460"/>
      <c r="CM13" s="460"/>
      <c r="CN13" s="460"/>
      <c r="CO13" s="460"/>
      <c r="CP13" s="460"/>
      <c r="CQ13" s="460"/>
      <c r="CR13" s="460"/>
      <c r="CS13" s="460"/>
      <c r="CT13" s="460"/>
      <c r="CU13" s="460"/>
      <c r="CV13" s="460"/>
      <c r="CW13" s="460"/>
      <c r="CX13" s="460"/>
      <c r="CY13" s="460"/>
    </row>
    <row r="14" spans="1:103" s="350" customFormat="1" ht="12" customHeight="1">
      <c r="A14" s="269"/>
      <c r="B14" s="125" t="str">
        <f>UPPER(LEFT(TRIM(Data!B11),1)) &amp; MID(TRIM(Data!B11),2,50)</f>
        <v>Tiesiosios žarnos, išangės</v>
      </c>
      <c r="C14" s="125" t="str">
        <f>Data!C11</f>
        <v>C19-C21</v>
      </c>
      <c r="D14" s="126">
        <f>Data!D11+Data!BQ11</f>
        <v>678</v>
      </c>
      <c r="E14" s="127">
        <f t="shared" si="5"/>
        <v>23.121253240129903</v>
      </c>
      <c r="F14" s="128">
        <f t="shared" si="6"/>
        <v>15.364236229123899</v>
      </c>
      <c r="G14" s="129">
        <f t="shared" si="7"/>
        <v>10.383596820013585</v>
      </c>
      <c r="H14" s="274"/>
      <c r="I14" s="274"/>
      <c r="J14" s="274"/>
      <c r="K14" s="274"/>
      <c r="L14" s="274"/>
      <c r="M14" s="274"/>
      <c r="N14" s="274"/>
      <c r="O14" s="273"/>
      <c r="P14" s="359"/>
      <c r="Q14" s="474" t="s">
        <v>353</v>
      </c>
      <c r="R14" s="468">
        <f t="shared" si="3"/>
        <v>1536423.6229123899</v>
      </c>
      <c r="S14" s="468">
        <f>(Data!Q11+Data!CD11)/S$6*100000*S$3</f>
        <v>0</v>
      </c>
      <c r="T14" s="468">
        <f>(Data!R11+Data!CE11)/T$6*100000*T$3</f>
        <v>0</v>
      </c>
      <c r="U14" s="468">
        <f>(Data!S11+Data!CF11)/U$6*100000*U$3</f>
        <v>0</v>
      </c>
      <c r="V14" s="468">
        <f>(Data!T11+Data!CG11)/V$6*100000*V$3</f>
        <v>0</v>
      </c>
      <c r="W14" s="468">
        <f>(Data!U11+Data!CH11)/W$6*100000*W$3</f>
        <v>0</v>
      </c>
      <c r="X14" s="468">
        <f>(Data!V11+Data!CI11)/X$6*100000*X$3</f>
        <v>0</v>
      </c>
      <c r="Y14" s="468">
        <f>(Data!W11+Data!CJ11)/Y$6*100000*Y$3</f>
        <v>15855.757905227869</v>
      </c>
      <c r="Z14" s="468">
        <f>(Data!X11+Data!CK11)/Z$6*100000*Z$3</f>
        <v>15422.408759928177</v>
      </c>
      <c r="AA14" s="468">
        <f>(Data!Y11+Data!CL11)/AA$6*100000*AA$3</f>
        <v>13719.639173489737</v>
      </c>
      <c r="AB14" s="468">
        <f>(Data!Z11+Data!CM11)/AB$6*100000*AB$3</f>
        <v>86357.424840570893</v>
      </c>
      <c r="AC14" s="468">
        <f>(Data!AA11+Data!CN11)/AC$6*100000*AC$3</f>
        <v>169067.54075735356</v>
      </c>
      <c r="AD14" s="468">
        <f>(Data!AB11+Data!CO11)/AD$6*100000*AD$3</f>
        <v>166463.04958359903</v>
      </c>
      <c r="AE14" s="468">
        <f>(Data!AC11+Data!CP11)/AE$6*100000*AE$3</f>
        <v>231579.19422165939</v>
      </c>
      <c r="AF14" s="468">
        <f>(Data!AD11+Data!CQ11)/AF$6*100000*AF$3</f>
        <v>205066.86034092365</v>
      </c>
      <c r="AG14" s="468">
        <f>(Data!AE11+Data!CR11)/AG$6*100000*AG$3</f>
        <v>231133.28686209046</v>
      </c>
      <c r="AH14" s="468">
        <f>(Data!AF11+Data!CS11)/AH$6*100000*AH$3</f>
        <v>185915.25916089141</v>
      </c>
      <c r="AI14" s="468">
        <f>(Data!AG11+Data!CT11)/AI$6*100000*AI$3</f>
        <v>106165.78195181707</v>
      </c>
      <c r="AJ14" s="468">
        <f>(Data!AH11+Data!CU11)/AJ$6*100000*AJ$3</f>
        <v>109677.41935483871</v>
      </c>
      <c r="AK14" s="474" t="s">
        <v>353</v>
      </c>
      <c r="AL14" s="468">
        <f t="shared" si="4"/>
        <v>1038359.6820013585</v>
      </c>
      <c r="AM14" s="468">
        <f>(Data!Q11+Data!CD11)/AM$6*100000*AM$3</f>
        <v>0</v>
      </c>
      <c r="AN14" s="468">
        <f>(Data!R11+Data!CE11)/AN$6*100000*AN$3</f>
        <v>0</v>
      </c>
      <c r="AO14" s="468">
        <f>(Data!S11+Data!CF11)/AO$6*100000*AO$3</f>
        <v>0</v>
      </c>
      <c r="AP14" s="468">
        <f>(Data!T11+Data!CG11)/AP$6*100000*AP$3</f>
        <v>0</v>
      </c>
      <c r="AQ14" s="468">
        <f>(Data!U11+Data!CH11)/AQ$6*100000*AQ$3</f>
        <v>0</v>
      </c>
      <c r="AR14" s="468">
        <f>(Data!V11+Data!CI11)/AR$6*100000*AR$3</f>
        <v>0</v>
      </c>
      <c r="AS14" s="468">
        <f>(Data!W11+Data!CJ11)/AS$6*100000*AS$3</f>
        <v>13590.649633052459</v>
      </c>
      <c r="AT14" s="468">
        <f>(Data!X11+Data!CK11)/AT$6*100000*AT$3</f>
        <v>13219.207508509866</v>
      </c>
      <c r="AU14" s="468">
        <f>(Data!Y11+Data!CL11)/AU$6*100000*AU$3</f>
        <v>11759.69072013406</v>
      </c>
      <c r="AV14" s="468">
        <f>(Data!Z11+Data!CM11)/AV$6*100000*AV$3</f>
        <v>74020.64986334648</v>
      </c>
      <c r="AW14" s="468">
        <f>(Data!AA11+Data!CN11)/AW$6*100000*AW$3</f>
        <v>120762.52911239541</v>
      </c>
      <c r="AX14" s="468">
        <f>(Data!AB11+Data!CO11)/AX$6*100000*AX$3</f>
        <v>110975.36638906601</v>
      </c>
      <c r="AY14" s="468">
        <f>(Data!AC11+Data!CP11)/AY$6*100000*AY$3</f>
        <v>185263.35537732751</v>
      </c>
      <c r="AZ14" s="468">
        <f>(Data!AD11+Data!CQ11)/AZ$6*100000*AZ$3</f>
        <v>153800.14525569274</v>
      </c>
      <c r="BA14" s="468">
        <f>(Data!AE11+Data!CR11)/BA$6*100000*BA$3</f>
        <v>154088.85790806031</v>
      </c>
      <c r="BB14" s="468">
        <f>(Data!AF11+Data!CS11)/BB$6*100000*BB$3</f>
        <v>92957.629580445704</v>
      </c>
      <c r="BC14" s="468">
        <f>(Data!AG11+Data!CT11)/BC$6*100000*BC$3</f>
        <v>53082.890975908536</v>
      </c>
      <c r="BD14" s="468">
        <f>(Data!AH11+Data!CU11)/BD$6*100000*BD$3</f>
        <v>54838.709677419356</v>
      </c>
      <c r="BE14" s="460"/>
      <c r="BF14" s="460"/>
      <c r="BG14" s="460"/>
      <c r="BH14" s="460"/>
      <c r="BI14" s="460"/>
      <c r="BJ14" s="460"/>
      <c r="BK14" s="460"/>
      <c r="BL14" s="460"/>
      <c r="BM14" s="460"/>
      <c r="BN14" s="460"/>
      <c r="BO14" s="460"/>
      <c r="BP14" s="460"/>
      <c r="BQ14" s="460"/>
      <c r="BR14" s="460"/>
      <c r="BS14" s="460"/>
      <c r="BT14" s="460"/>
      <c r="BU14" s="460"/>
      <c r="BV14" s="460"/>
      <c r="BW14" s="460"/>
      <c r="BX14" s="460"/>
      <c r="BY14" s="460"/>
      <c r="BZ14" s="460"/>
      <c r="CA14" s="460"/>
      <c r="CB14" s="460"/>
      <c r="CC14" s="460"/>
      <c r="CD14" s="460"/>
      <c r="CE14" s="460"/>
      <c r="CF14" s="460"/>
      <c r="CG14" s="460"/>
      <c r="CH14" s="460"/>
      <c r="CI14" s="460"/>
      <c r="CJ14" s="460"/>
      <c r="CK14" s="460"/>
      <c r="CL14" s="460"/>
      <c r="CM14" s="460"/>
      <c r="CN14" s="460"/>
      <c r="CO14" s="460"/>
      <c r="CP14" s="460"/>
      <c r="CQ14" s="460"/>
      <c r="CR14" s="460"/>
      <c r="CS14" s="460"/>
      <c r="CT14" s="460"/>
      <c r="CU14" s="460"/>
      <c r="CV14" s="460"/>
      <c r="CW14" s="460"/>
      <c r="CX14" s="460"/>
      <c r="CY14" s="460"/>
    </row>
    <row r="15" spans="1:103" s="350" customFormat="1" ht="12" customHeight="1">
      <c r="A15" s="269"/>
      <c r="B15" s="276" t="str">
        <f>UPPER(LEFT(TRIM(Data!B12),1)) &amp; MID(TRIM(Data!B12),2,50)</f>
        <v>Kepenų</v>
      </c>
      <c r="C15" s="276" t="str">
        <f>Data!C12</f>
        <v>C22</v>
      </c>
      <c r="D15" s="277">
        <f>Data!D12+Data!BQ12</f>
        <v>205</v>
      </c>
      <c r="E15" s="278">
        <f t="shared" si="5"/>
        <v>6.9909394015142032</v>
      </c>
      <c r="F15" s="279">
        <f t="shared" si="6"/>
        <v>4.9247761072525256</v>
      </c>
      <c r="G15" s="279">
        <f t="shared" si="7"/>
        <v>3.4036014047164174</v>
      </c>
      <c r="H15" s="274"/>
      <c r="I15" s="274"/>
      <c r="J15" s="274"/>
      <c r="K15" s="274"/>
      <c r="L15" s="274"/>
      <c r="M15" s="274"/>
      <c r="N15" s="274"/>
      <c r="O15" s="273"/>
      <c r="P15" s="359"/>
      <c r="Q15" s="474" t="s">
        <v>353</v>
      </c>
      <c r="R15" s="468">
        <f t="shared" si="3"/>
        <v>492477.61072525254</v>
      </c>
      <c r="S15" s="468">
        <f>(Data!Q12+Data!CD12)/S$6*100000*S$3</f>
        <v>0</v>
      </c>
      <c r="T15" s="468">
        <f>(Data!R12+Data!CE12)/T$6*100000*T$3</f>
        <v>0</v>
      </c>
      <c r="U15" s="468">
        <f>(Data!S12+Data!CF12)/U$6*100000*U$3</f>
        <v>0</v>
      </c>
      <c r="V15" s="468">
        <f>(Data!T12+Data!CG12)/V$6*100000*V$3</f>
        <v>0</v>
      </c>
      <c r="W15" s="468">
        <f>(Data!U12+Data!CH12)/W$6*100000*W$3</f>
        <v>3331.5406471755673</v>
      </c>
      <c r="X15" s="468">
        <f>(Data!V12+Data!CI12)/X$6*100000*X$3</f>
        <v>0</v>
      </c>
      <c r="Y15" s="468">
        <f>(Data!W12+Data!CJ12)/Y$6*100000*Y$3</f>
        <v>3963.9394763069672</v>
      </c>
      <c r="Z15" s="468">
        <f>(Data!X12+Data!CK12)/Z$6*100000*Z$3</f>
        <v>3855.6021899820444</v>
      </c>
      <c r="AA15" s="468">
        <f>(Data!Y12+Data!CL12)/AA$6*100000*AA$3</f>
        <v>13719.639173489737</v>
      </c>
      <c r="AB15" s="468">
        <f>(Data!Z12+Data!CM12)/AB$6*100000*AB$3</f>
        <v>33214.394169450352</v>
      </c>
      <c r="AC15" s="468">
        <f>(Data!AA12+Data!CN12)/AC$6*100000*AC$3</f>
        <v>63400.327784007597</v>
      </c>
      <c r="AD15" s="468">
        <f>(Data!AB12+Data!CO12)/AD$6*100000*AD$3</f>
        <v>73010.109466490787</v>
      </c>
      <c r="AE15" s="468">
        <f>(Data!AC12+Data!CP12)/AE$6*100000*AE$3</f>
        <v>49833.497490736838</v>
      </c>
      <c r="AF15" s="468">
        <f>(Data!AD12+Data!CQ12)/AF$6*100000*AF$3</f>
        <v>74051.921789777974</v>
      </c>
      <c r="AG15" s="468">
        <f>(Data!AE12+Data!CR12)/AG$6*100000*AG$3</f>
        <v>79245.698352716732</v>
      </c>
      <c r="AH15" s="468">
        <f>(Data!AF12+Data!CS12)/AH$6*100000*AH$3</f>
        <v>44818.85711914346</v>
      </c>
      <c r="AI15" s="468">
        <f>(Data!AG12+Data!CT12)/AI$6*100000*AI$3</f>
        <v>20999.825001458321</v>
      </c>
      <c r="AJ15" s="468">
        <f>(Data!AH12+Data!CU12)/AJ$6*100000*AJ$3</f>
        <v>29032.258064516129</v>
      </c>
      <c r="AK15" s="474" t="s">
        <v>353</v>
      </c>
      <c r="AL15" s="468">
        <f t="shared" si="4"/>
        <v>340360.14047164173</v>
      </c>
      <c r="AM15" s="468">
        <f>(Data!Q12+Data!CD12)/AM$6*100000*AM$3</f>
        <v>0</v>
      </c>
      <c r="AN15" s="468">
        <f>(Data!R12+Data!CE12)/AN$6*100000*AN$3</f>
        <v>0</v>
      </c>
      <c r="AO15" s="468">
        <f>(Data!S12+Data!CF12)/AO$6*100000*AO$3</f>
        <v>0</v>
      </c>
      <c r="AP15" s="468">
        <f>(Data!T12+Data!CG12)/AP$6*100000*AP$3</f>
        <v>0</v>
      </c>
      <c r="AQ15" s="468">
        <f>(Data!U12+Data!CH12)/AQ$6*100000*AQ$3</f>
        <v>3807.4750253435059</v>
      </c>
      <c r="AR15" s="468">
        <f>(Data!V12+Data!CI12)/AR$6*100000*AR$3</f>
        <v>0</v>
      </c>
      <c r="AS15" s="468">
        <f>(Data!W12+Data!CJ12)/AS$6*100000*AS$3</f>
        <v>3397.6624082631147</v>
      </c>
      <c r="AT15" s="468">
        <f>(Data!X12+Data!CK12)/AT$6*100000*AT$3</f>
        <v>3304.8018771274665</v>
      </c>
      <c r="AU15" s="468">
        <f>(Data!Y12+Data!CL12)/AU$6*100000*AU$3</f>
        <v>11759.69072013406</v>
      </c>
      <c r="AV15" s="468">
        <f>(Data!Z12+Data!CM12)/AV$6*100000*AV$3</f>
        <v>28469.480716671726</v>
      </c>
      <c r="AW15" s="468">
        <f>(Data!AA12+Data!CN12)/AW$6*100000*AW$3</f>
        <v>45285.948417148284</v>
      </c>
      <c r="AX15" s="468">
        <f>(Data!AB12+Data!CO12)/AX$6*100000*AX$3</f>
        <v>48673.406310993865</v>
      </c>
      <c r="AY15" s="468">
        <f>(Data!AC12+Data!CP12)/AY$6*100000*AY$3</f>
        <v>39866.797992589469</v>
      </c>
      <c r="AZ15" s="468">
        <f>(Data!AD12+Data!CQ12)/AZ$6*100000*AZ$3</f>
        <v>55538.941342333484</v>
      </c>
      <c r="BA15" s="468">
        <f>(Data!AE12+Data!CR12)/BA$6*100000*BA$3</f>
        <v>52830.465568477819</v>
      </c>
      <c r="BB15" s="468">
        <f>(Data!AF12+Data!CS12)/BB$6*100000*BB$3</f>
        <v>22409.42855957173</v>
      </c>
      <c r="BC15" s="468">
        <f>(Data!AG12+Data!CT12)/BC$6*100000*BC$3</f>
        <v>10499.91250072916</v>
      </c>
      <c r="BD15" s="468">
        <f>(Data!AH12+Data!CU12)/BD$6*100000*BD$3</f>
        <v>14516.129032258064</v>
      </c>
      <c r="BE15" s="460"/>
      <c r="BF15" s="460"/>
      <c r="BG15" s="460"/>
      <c r="BH15" s="460"/>
      <c r="BI15" s="460"/>
      <c r="BJ15" s="460"/>
      <c r="BK15" s="460"/>
      <c r="BL15" s="460"/>
      <c r="BM15" s="460"/>
      <c r="BN15" s="460"/>
      <c r="BO15" s="460"/>
      <c r="BP15" s="460"/>
      <c r="BQ15" s="460"/>
      <c r="BR15" s="460"/>
      <c r="BS15" s="460"/>
      <c r="BT15" s="460"/>
      <c r="BU15" s="460"/>
      <c r="BV15" s="460"/>
      <c r="BW15" s="460"/>
      <c r="BX15" s="460"/>
      <c r="BY15" s="460"/>
      <c r="BZ15" s="460"/>
      <c r="CA15" s="460"/>
      <c r="CB15" s="460"/>
      <c r="CC15" s="460"/>
      <c r="CD15" s="460"/>
      <c r="CE15" s="460"/>
      <c r="CF15" s="460"/>
      <c r="CG15" s="460"/>
      <c r="CH15" s="460"/>
      <c r="CI15" s="460"/>
      <c r="CJ15" s="460"/>
      <c r="CK15" s="460"/>
      <c r="CL15" s="460"/>
      <c r="CM15" s="460"/>
      <c r="CN15" s="460"/>
      <c r="CO15" s="460"/>
      <c r="CP15" s="460"/>
      <c r="CQ15" s="460"/>
      <c r="CR15" s="460"/>
      <c r="CS15" s="460"/>
      <c r="CT15" s="460"/>
      <c r="CU15" s="460"/>
      <c r="CV15" s="460"/>
      <c r="CW15" s="460"/>
      <c r="CX15" s="460"/>
      <c r="CY15" s="460"/>
    </row>
    <row r="16" spans="1:103" s="350" customFormat="1" ht="12" customHeight="1">
      <c r="A16" s="269"/>
      <c r="B16" s="125" t="str">
        <f>UPPER(LEFT(TRIM(Data!B13),1)) &amp; MID(TRIM(Data!B13),2,50)</f>
        <v>Tulžies pūslės, ekstrahepatinių takų</v>
      </c>
      <c r="C16" s="125" t="str">
        <f>Data!C13</f>
        <v>C23, C24</v>
      </c>
      <c r="D16" s="126">
        <f>Data!D13+Data!BQ13</f>
        <v>139</v>
      </c>
      <c r="E16" s="127">
        <f t="shared" si="5"/>
        <v>4.7401979356608503</v>
      </c>
      <c r="F16" s="128">
        <f t="shared" si="6"/>
        <v>3.050602236649699</v>
      </c>
      <c r="G16" s="129">
        <f t="shared" si="7"/>
        <v>2.0297468278985527</v>
      </c>
      <c r="H16" s="274"/>
      <c r="I16" s="274"/>
      <c r="J16" s="274"/>
      <c r="K16" s="274"/>
      <c r="L16" s="274"/>
      <c r="M16" s="274"/>
      <c r="N16" s="274"/>
      <c r="O16" s="273"/>
      <c r="P16" s="359"/>
      <c r="Q16" s="474" t="s">
        <v>353</v>
      </c>
      <c r="R16" s="468">
        <f t="shared" si="3"/>
        <v>305060.2236649699</v>
      </c>
      <c r="S16" s="468">
        <f>(Data!Q13+Data!CD13)/S$6*100000*S$3</f>
        <v>0</v>
      </c>
      <c r="T16" s="468">
        <f>(Data!R13+Data!CE13)/T$6*100000*T$3</f>
        <v>0</v>
      </c>
      <c r="U16" s="468">
        <f>(Data!S13+Data!CF13)/U$6*100000*U$3</f>
        <v>0</v>
      </c>
      <c r="V16" s="468">
        <f>(Data!T13+Data!CG13)/V$6*100000*V$3</f>
        <v>0</v>
      </c>
      <c r="W16" s="468">
        <f>(Data!U13+Data!CH13)/W$6*100000*W$3</f>
        <v>0</v>
      </c>
      <c r="X16" s="468">
        <f>(Data!V13+Data!CI13)/X$6*100000*X$3</f>
        <v>0</v>
      </c>
      <c r="Y16" s="468">
        <f>(Data!W13+Data!CJ13)/Y$6*100000*Y$3</f>
        <v>7927.8789526139344</v>
      </c>
      <c r="Z16" s="468">
        <f>(Data!X13+Data!CK13)/Z$6*100000*Z$3</f>
        <v>0</v>
      </c>
      <c r="AA16" s="468">
        <f>(Data!Y13+Data!CL13)/AA$6*100000*AA$3</f>
        <v>0</v>
      </c>
      <c r="AB16" s="468">
        <f>(Data!Z13+Data!CM13)/AB$6*100000*AB$3</f>
        <v>13285.757667780141</v>
      </c>
      <c r="AC16" s="468">
        <f>(Data!AA13+Data!CN13)/AC$6*100000*AC$3</f>
        <v>12076.25291123954</v>
      </c>
      <c r="AD16" s="468">
        <f>(Data!AB13+Data!CO13)/AD$6*100000*AD$3</f>
        <v>43806.065679894476</v>
      </c>
      <c r="AE16" s="468">
        <f>(Data!AC13+Data!CP13)/AE$6*100000*AE$3</f>
        <v>55696.261901411752</v>
      </c>
      <c r="AF16" s="468">
        <f>(Data!AD13+Data!CQ13)/AF$6*100000*AF$3</f>
        <v>31329.659218752222</v>
      </c>
      <c r="AG16" s="468">
        <f>(Data!AE13+Data!CR13)/AG$6*100000*AG$3</f>
        <v>50629.196169791241</v>
      </c>
      <c r="AH16" s="468">
        <f>(Data!AF13+Data!CS13)/AH$6*100000*AH$3</f>
        <v>29879.238079428975</v>
      </c>
      <c r="AI16" s="468">
        <f>(Data!AG13+Data!CT13)/AI$6*100000*AI$3</f>
        <v>23333.138890509246</v>
      </c>
      <c r="AJ16" s="468">
        <f>(Data!AH13+Data!CU13)/AJ$6*100000*AJ$3</f>
        <v>37096.774193548386</v>
      </c>
      <c r="AK16" s="474" t="s">
        <v>353</v>
      </c>
      <c r="AL16" s="468">
        <f t="shared" si="4"/>
        <v>202974.68278985526</v>
      </c>
      <c r="AM16" s="468">
        <f>(Data!Q13+Data!CD13)/AM$6*100000*AM$3</f>
        <v>0</v>
      </c>
      <c r="AN16" s="468">
        <f>(Data!R13+Data!CE13)/AN$6*100000*AN$3</f>
        <v>0</v>
      </c>
      <c r="AO16" s="468">
        <f>(Data!S13+Data!CF13)/AO$6*100000*AO$3</f>
        <v>0</v>
      </c>
      <c r="AP16" s="468">
        <f>(Data!T13+Data!CG13)/AP$6*100000*AP$3</f>
        <v>0</v>
      </c>
      <c r="AQ16" s="468">
        <f>(Data!U13+Data!CH13)/AQ$6*100000*AQ$3</f>
        <v>0</v>
      </c>
      <c r="AR16" s="468">
        <f>(Data!V13+Data!CI13)/AR$6*100000*AR$3</f>
        <v>0</v>
      </c>
      <c r="AS16" s="468">
        <f>(Data!W13+Data!CJ13)/AS$6*100000*AS$3</f>
        <v>6795.3248165262294</v>
      </c>
      <c r="AT16" s="468">
        <f>(Data!X13+Data!CK13)/AT$6*100000*AT$3</f>
        <v>0</v>
      </c>
      <c r="AU16" s="468">
        <f>(Data!Y13+Data!CL13)/AU$6*100000*AU$3</f>
        <v>0</v>
      </c>
      <c r="AV16" s="468">
        <f>(Data!Z13+Data!CM13)/AV$6*100000*AV$3</f>
        <v>11387.792286668693</v>
      </c>
      <c r="AW16" s="468">
        <f>(Data!AA13+Data!CN13)/AW$6*100000*AW$3</f>
        <v>8625.8949365996723</v>
      </c>
      <c r="AX16" s="468">
        <f>(Data!AB13+Data!CO13)/AX$6*100000*AX$3</f>
        <v>29204.043786596318</v>
      </c>
      <c r="AY16" s="468">
        <f>(Data!AC13+Data!CP13)/AY$6*100000*AY$3</f>
        <v>44557.009521129403</v>
      </c>
      <c r="AZ16" s="468">
        <f>(Data!AD13+Data!CQ13)/AZ$6*100000*AZ$3</f>
        <v>23497.244414064167</v>
      </c>
      <c r="BA16" s="468">
        <f>(Data!AE13+Data!CR13)/BA$6*100000*BA$3</f>
        <v>33752.797446527497</v>
      </c>
      <c r="BB16" s="468">
        <f>(Data!AF13+Data!CS13)/BB$6*100000*BB$3</f>
        <v>14939.619039714487</v>
      </c>
      <c r="BC16" s="468">
        <f>(Data!AG13+Data!CT13)/BC$6*100000*BC$3</f>
        <v>11666.569445254623</v>
      </c>
      <c r="BD16" s="468">
        <f>(Data!AH13+Data!CU13)/BD$6*100000*BD$3</f>
        <v>18548.387096774193</v>
      </c>
      <c r="BE16" s="460"/>
      <c r="BF16" s="460"/>
      <c r="BG16" s="460"/>
      <c r="BH16" s="460"/>
      <c r="BI16" s="460"/>
      <c r="BJ16" s="460"/>
      <c r="BK16" s="460"/>
      <c r="BL16" s="460"/>
      <c r="BM16" s="460"/>
      <c r="BN16" s="460"/>
      <c r="BO16" s="460"/>
      <c r="BP16" s="460"/>
      <c r="BQ16" s="460"/>
      <c r="BR16" s="460"/>
      <c r="BS16" s="460"/>
      <c r="BT16" s="460"/>
      <c r="BU16" s="460"/>
      <c r="BV16" s="460"/>
      <c r="BW16" s="460"/>
      <c r="BX16" s="460"/>
      <c r="BY16" s="460"/>
      <c r="BZ16" s="460"/>
      <c r="CA16" s="460"/>
      <c r="CB16" s="460"/>
      <c r="CC16" s="460"/>
      <c r="CD16" s="460"/>
      <c r="CE16" s="460"/>
      <c r="CF16" s="460"/>
      <c r="CG16" s="460"/>
      <c r="CH16" s="460"/>
      <c r="CI16" s="460"/>
      <c r="CJ16" s="460"/>
      <c r="CK16" s="460"/>
      <c r="CL16" s="460"/>
      <c r="CM16" s="460"/>
      <c r="CN16" s="460"/>
      <c r="CO16" s="460"/>
      <c r="CP16" s="460"/>
      <c r="CQ16" s="460"/>
      <c r="CR16" s="460"/>
      <c r="CS16" s="460"/>
      <c r="CT16" s="460"/>
      <c r="CU16" s="460"/>
      <c r="CV16" s="460"/>
      <c r="CW16" s="460"/>
      <c r="CX16" s="460"/>
      <c r="CY16" s="460"/>
    </row>
    <row r="17" spans="1:103" s="350" customFormat="1" ht="12" customHeight="1">
      <c r="A17" s="269"/>
      <c r="B17" s="276" t="str">
        <f>UPPER(LEFT(TRIM(Data!B14),1)) &amp; MID(TRIM(Data!B14),2,50)</f>
        <v>Kasos</v>
      </c>
      <c r="C17" s="276" t="str">
        <f>Data!C14</f>
        <v>C25</v>
      </c>
      <c r="D17" s="277">
        <f>Data!D14+Data!BQ14</f>
        <v>531</v>
      </c>
      <c r="E17" s="278">
        <f t="shared" si="5"/>
        <v>18.108238157092888</v>
      </c>
      <c r="F17" s="279">
        <f t="shared" si="6"/>
        <v>12.168814002694399</v>
      </c>
      <c r="G17" s="279">
        <f t="shared" si="7"/>
        <v>8.2317627402644415</v>
      </c>
      <c r="H17" s="274"/>
      <c r="I17" s="274"/>
      <c r="J17" s="274"/>
      <c r="K17" s="274"/>
      <c r="L17" s="274"/>
      <c r="M17" s="274"/>
      <c r="N17" s="274"/>
      <c r="O17" s="273"/>
      <c r="P17" s="359"/>
      <c r="Q17" s="474" t="s">
        <v>353</v>
      </c>
      <c r="R17" s="468">
        <f t="shared" si="3"/>
        <v>1216881.4002694399</v>
      </c>
      <c r="S17" s="468">
        <f>(Data!Q14+Data!CD14)/S$6*100000*S$3</f>
        <v>0</v>
      </c>
      <c r="T17" s="468">
        <f>(Data!R14+Data!CE14)/T$6*100000*T$3</f>
        <v>0</v>
      </c>
      <c r="U17" s="468">
        <f>(Data!S14+Data!CF14)/U$6*100000*U$3</f>
        <v>0</v>
      </c>
      <c r="V17" s="468">
        <f>(Data!T14+Data!CG14)/V$6*100000*V$3</f>
        <v>0</v>
      </c>
      <c r="W17" s="468">
        <f>(Data!U14+Data!CH14)/W$6*100000*W$3</f>
        <v>0</v>
      </c>
      <c r="X17" s="468">
        <f>(Data!V14+Data!CI14)/X$6*100000*X$3</f>
        <v>0</v>
      </c>
      <c r="Y17" s="468">
        <f>(Data!W14+Data!CJ14)/Y$6*100000*Y$3</f>
        <v>3963.9394763069672</v>
      </c>
      <c r="Z17" s="468">
        <f>(Data!X14+Data!CK14)/Z$6*100000*Z$3</f>
        <v>7711.2043799640887</v>
      </c>
      <c r="AA17" s="468">
        <f>(Data!Y14+Data!CL14)/AA$6*100000*AA$3</f>
        <v>20579.458760234607</v>
      </c>
      <c r="AB17" s="468">
        <f>(Data!Z14+Data!CM14)/AB$6*100000*AB$3</f>
        <v>46500.151837230493</v>
      </c>
      <c r="AC17" s="468">
        <f>(Data!AA14+Data!CN14)/AC$6*100000*AC$3</f>
        <v>108686.27620115587</v>
      </c>
      <c r="AD17" s="468">
        <f>(Data!AB14+Data!CO14)/AD$6*100000*AD$3</f>
        <v>148940.62331164122</v>
      </c>
      <c r="AE17" s="468">
        <f>(Data!AC14+Data!CP14)/AE$6*100000*AE$3</f>
        <v>164157.40349889779</v>
      </c>
      <c r="AF17" s="468">
        <f>(Data!AD14+Data!CQ14)/AF$6*100000*AF$3</f>
        <v>227852.06704547073</v>
      </c>
      <c r="AG17" s="468">
        <f>(Data!AE14+Data!CR14)/AG$6*100000*AG$3</f>
        <v>193711.70708441868</v>
      </c>
      <c r="AH17" s="468">
        <f>(Data!AF14+Data!CS14)/AH$6*100000*AH$3</f>
        <v>134456.5713574304</v>
      </c>
      <c r="AI17" s="468">
        <f>(Data!AG14+Data!CT14)/AI$6*100000*AI$3</f>
        <v>69999.416671527739</v>
      </c>
      <c r="AJ17" s="468">
        <f>(Data!AH14+Data!CU14)/AJ$6*100000*AJ$3</f>
        <v>90322.580645161288</v>
      </c>
      <c r="AK17" s="474" t="s">
        <v>353</v>
      </c>
      <c r="AL17" s="468">
        <f t="shared" si="4"/>
        <v>823176.27402644418</v>
      </c>
      <c r="AM17" s="468">
        <f>(Data!Q14+Data!CD14)/AM$6*100000*AM$3</f>
        <v>0</v>
      </c>
      <c r="AN17" s="468">
        <f>(Data!R14+Data!CE14)/AN$6*100000*AN$3</f>
        <v>0</v>
      </c>
      <c r="AO17" s="468">
        <f>(Data!S14+Data!CF14)/AO$6*100000*AO$3</f>
        <v>0</v>
      </c>
      <c r="AP17" s="468">
        <f>(Data!T14+Data!CG14)/AP$6*100000*AP$3</f>
        <v>0</v>
      </c>
      <c r="AQ17" s="468">
        <f>(Data!U14+Data!CH14)/AQ$6*100000*AQ$3</f>
        <v>0</v>
      </c>
      <c r="AR17" s="468">
        <f>(Data!V14+Data!CI14)/AR$6*100000*AR$3</f>
        <v>0</v>
      </c>
      <c r="AS17" s="468">
        <f>(Data!W14+Data!CJ14)/AS$6*100000*AS$3</f>
        <v>3397.6624082631147</v>
      </c>
      <c r="AT17" s="468">
        <f>(Data!X14+Data!CK14)/AT$6*100000*AT$3</f>
        <v>6609.6037542549329</v>
      </c>
      <c r="AU17" s="468">
        <f>(Data!Y14+Data!CL14)/AU$6*100000*AU$3</f>
        <v>17639.536080201091</v>
      </c>
      <c r="AV17" s="468">
        <f>(Data!Z14+Data!CM14)/AV$6*100000*AV$3</f>
        <v>39857.273003340422</v>
      </c>
      <c r="AW17" s="468">
        <f>(Data!AA14+Data!CN14)/AW$6*100000*AW$3</f>
        <v>77633.054429397045</v>
      </c>
      <c r="AX17" s="468">
        <f>(Data!AB14+Data!CO14)/AX$6*100000*AX$3</f>
        <v>99293.748874427474</v>
      </c>
      <c r="AY17" s="468">
        <f>(Data!AC14+Data!CP14)/AY$6*100000*AY$3</f>
        <v>131325.92279911824</v>
      </c>
      <c r="AZ17" s="468">
        <f>(Data!AD14+Data!CQ14)/AZ$6*100000*AZ$3</f>
        <v>170889.05028410305</v>
      </c>
      <c r="BA17" s="468">
        <f>(Data!AE14+Data!CR14)/BA$6*100000*BA$3</f>
        <v>129141.13805627912</v>
      </c>
      <c r="BB17" s="468">
        <f>(Data!AF14+Data!CS14)/BB$6*100000*BB$3</f>
        <v>67228.285678715198</v>
      </c>
      <c r="BC17" s="468">
        <f>(Data!AG14+Data!CT14)/BC$6*100000*BC$3</f>
        <v>34999.708335763869</v>
      </c>
      <c r="BD17" s="468">
        <f>(Data!AH14+Data!CU14)/BD$6*100000*BD$3</f>
        <v>45161.290322580644</v>
      </c>
      <c r="BE17" s="460"/>
      <c r="BF17" s="460"/>
      <c r="BG17" s="460"/>
      <c r="BH17" s="460"/>
      <c r="BI17" s="460"/>
      <c r="BJ17" s="460"/>
      <c r="BK17" s="460"/>
      <c r="BL17" s="460"/>
      <c r="BM17" s="460"/>
      <c r="BN17" s="460"/>
      <c r="BO17" s="460"/>
      <c r="BP17" s="460"/>
      <c r="BQ17" s="460"/>
      <c r="BR17" s="460"/>
      <c r="BS17" s="460"/>
      <c r="BT17" s="460"/>
      <c r="BU17" s="460"/>
      <c r="BV17" s="460"/>
      <c r="BW17" s="460"/>
      <c r="BX17" s="460"/>
      <c r="BY17" s="460"/>
      <c r="BZ17" s="460"/>
      <c r="CA17" s="460"/>
      <c r="CB17" s="460"/>
      <c r="CC17" s="460"/>
      <c r="CD17" s="460"/>
      <c r="CE17" s="460"/>
      <c r="CF17" s="460"/>
      <c r="CG17" s="460"/>
      <c r="CH17" s="460"/>
      <c r="CI17" s="460"/>
      <c r="CJ17" s="460"/>
      <c r="CK17" s="460"/>
      <c r="CL17" s="460"/>
      <c r="CM17" s="460"/>
      <c r="CN17" s="460"/>
      <c r="CO17" s="460"/>
      <c r="CP17" s="460"/>
      <c r="CQ17" s="460"/>
      <c r="CR17" s="460"/>
      <c r="CS17" s="460"/>
      <c r="CT17" s="460"/>
      <c r="CU17" s="460"/>
      <c r="CV17" s="460"/>
      <c r="CW17" s="460"/>
      <c r="CX17" s="460"/>
      <c r="CY17" s="460"/>
    </row>
    <row r="18" spans="1:103" s="350" customFormat="1" ht="12" customHeight="1">
      <c r="A18" s="269"/>
      <c r="B18" s="125" t="str">
        <f>UPPER(LEFT(TRIM(Data!B15),1)) &amp; MID(TRIM(Data!B15),2,50)</f>
        <v>Kitų virškinimo sistemos organų</v>
      </c>
      <c r="C18" s="125" t="str">
        <f>Data!C15</f>
        <v>C17, C26, C48</v>
      </c>
      <c r="D18" s="126">
        <f>Data!D15+Data!BQ15</f>
        <v>78</v>
      </c>
      <c r="E18" s="127">
        <f t="shared" si="5"/>
        <v>2.6599671869175996</v>
      </c>
      <c r="F18" s="128">
        <f t="shared" si="6"/>
        <v>1.9688299225650436</v>
      </c>
      <c r="G18" s="129">
        <f t="shared" si="7"/>
        <v>1.5152300667880219</v>
      </c>
      <c r="H18" s="274"/>
      <c r="I18" s="274"/>
      <c r="J18" s="274"/>
      <c r="K18" s="274"/>
      <c r="L18" s="274"/>
      <c r="M18" s="274"/>
      <c r="N18" s="274"/>
      <c r="O18" s="273"/>
      <c r="P18" s="359"/>
      <c r="Q18" s="474" t="s">
        <v>353</v>
      </c>
      <c r="R18" s="468">
        <f t="shared" si="3"/>
        <v>196882.99225650437</v>
      </c>
      <c r="S18" s="468">
        <f>(Data!Q15+Data!CD15)/S$6*100000*S$3</f>
        <v>15916.17481265336</v>
      </c>
      <c r="T18" s="468">
        <f>(Data!R15+Data!CE15)/T$6*100000*T$3</f>
        <v>0</v>
      </c>
      <c r="U18" s="468">
        <f>(Data!S15+Data!CF15)/U$6*100000*U$3</f>
        <v>0</v>
      </c>
      <c r="V18" s="468">
        <f>(Data!T15+Data!CG15)/V$6*100000*V$3</f>
        <v>4027.6874744673382</v>
      </c>
      <c r="W18" s="468">
        <f>(Data!U15+Data!CH15)/W$6*100000*W$3</f>
        <v>0</v>
      </c>
      <c r="X18" s="468">
        <f>(Data!V15+Data!CI15)/X$6*100000*X$3</f>
        <v>0</v>
      </c>
      <c r="Y18" s="468">
        <f>(Data!W15+Data!CJ15)/Y$6*100000*Y$3</f>
        <v>0</v>
      </c>
      <c r="Z18" s="468">
        <f>(Data!X15+Data!CK15)/Z$6*100000*Z$3</f>
        <v>3855.6021899820444</v>
      </c>
      <c r="AA18" s="468">
        <f>(Data!Y15+Data!CL15)/AA$6*100000*AA$3</f>
        <v>10289.729380117304</v>
      </c>
      <c r="AB18" s="468">
        <f>(Data!Z15+Data!CM15)/AB$6*100000*AB$3</f>
        <v>13285.757667780141</v>
      </c>
      <c r="AC18" s="468">
        <f>(Data!AA15+Data!CN15)/AC$6*100000*AC$3</f>
        <v>15095.316139049424</v>
      </c>
      <c r="AD18" s="468">
        <f>(Data!AB15+Data!CO15)/AD$6*100000*AD$3</f>
        <v>26283.639407936687</v>
      </c>
      <c r="AE18" s="468">
        <f>(Data!AC15+Data!CP15)/AE$6*100000*AE$3</f>
        <v>14656.911026687303</v>
      </c>
      <c r="AF18" s="468">
        <f>(Data!AD15+Data!CQ15)/AF$6*100000*AF$3</f>
        <v>37025.960894888987</v>
      </c>
      <c r="AG18" s="468">
        <f>(Data!AE15+Data!CR15)/AG$6*100000*AG$3</f>
        <v>17610.155189492605</v>
      </c>
      <c r="AH18" s="468">
        <f>(Data!AF15+Data!CS15)/AH$6*100000*AH$3</f>
        <v>16599.576710793877</v>
      </c>
      <c r="AI18" s="468">
        <f>(Data!AG15+Data!CT15)/AI$6*100000*AI$3</f>
        <v>9333.2555562036996</v>
      </c>
      <c r="AJ18" s="468">
        <f>(Data!AH15+Data!CU15)/AJ$6*100000*AJ$3</f>
        <v>12903.225806451614</v>
      </c>
      <c r="AK18" s="474" t="s">
        <v>353</v>
      </c>
      <c r="AL18" s="468">
        <f t="shared" si="4"/>
        <v>151523.00667880219</v>
      </c>
      <c r="AM18" s="468">
        <f>(Data!Q15+Data!CD15)/AM$6*100000*AM$3</f>
        <v>23874.262218980039</v>
      </c>
      <c r="AN18" s="468">
        <f>(Data!R15+Data!CE15)/AN$6*100000*AN$3</f>
        <v>0</v>
      </c>
      <c r="AO18" s="468">
        <f>(Data!S15+Data!CF15)/AO$6*100000*AO$3</f>
        <v>0</v>
      </c>
      <c r="AP18" s="468">
        <f>(Data!T15+Data!CG15)/AP$6*100000*AP$3</f>
        <v>5178.4553243151486</v>
      </c>
      <c r="AQ18" s="468">
        <f>(Data!U15+Data!CH15)/AQ$6*100000*AQ$3</f>
        <v>0</v>
      </c>
      <c r="AR18" s="468">
        <f>(Data!V15+Data!CI15)/AR$6*100000*AR$3</f>
        <v>0</v>
      </c>
      <c r="AS18" s="468">
        <f>(Data!W15+Data!CJ15)/AS$6*100000*AS$3</f>
        <v>0</v>
      </c>
      <c r="AT18" s="468">
        <f>(Data!X15+Data!CK15)/AT$6*100000*AT$3</f>
        <v>3304.8018771274665</v>
      </c>
      <c r="AU18" s="468">
        <f>(Data!Y15+Data!CL15)/AU$6*100000*AU$3</f>
        <v>8819.7680401005455</v>
      </c>
      <c r="AV18" s="468">
        <f>(Data!Z15+Data!CM15)/AV$6*100000*AV$3</f>
        <v>11387.792286668693</v>
      </c>
      <c r="AW18" s="468">
        <f>(Data!AA15+Data!CN15)/AW$6*100000*AW$3</f>
        <v>10782.368670749589</v>
      </c>
      <c r="AX18" s="468">
        <f>(Data!AB15+Data!CO15)/AX$6*100000*AX$3</f>
        <v>17522.426271957789</v>
      </c>
      <c r="AY18" s="468">
        <f>(Data!AC15+Data!CP15)/AY$6*100000*AY$3</f>
        <v>11725.528821349842</v>
      </c>
      <c r="AZ18" s="468">
        <f>(Data!AD15+Data!CQ15)/AZ$6*100000*AZ$3</f>
        <v>27769.470671166742</v>
      </c>
      <c r="BA18" s="468">
        <f>(Data!AE15+Data!CR15)/BA$6*100000*BA$3</f>
        <v>11740.103459661737</v>
      </c>
      <c r="BB18" s="468">
        <f>(Data!AF15+Data!CS15)/BB$6*100000*BB$3</f>
        <v>8299.7883553969386</v>
      </c>
      <c r="BC18" s="468">
        <f>(Data!AG15+Data!CT15)/BC$6*100000*BC$3</f>
        <v>4666.6277781018498</v>
      </c>
      <c r="BD18" s="468">
        <f>(Data!AH15+Data!CU15)/BD$6*100000*BD$3</f>
        <v>6451.6129032258068</v>
      </c>
      <c r="BE18" s="460"/>
      <c r="BF18" s="460"/>
      <c r="BG18" s="460"/>
      <c r="BH18" s="460"/>
      <c r="BI18" s="460"/>
      <c r="BJ18" s="460"/>
      <c r="BK18" s="460"/>
      <c r="BL18" s="460"/>
      <c r="BM18" s="460"/>
      <c r="BN18" s="460"/>
      <c r="BO18" s="460"/>
      <c r="BP18" s="460"/>
      <c r="BQ18" s="460"/>
      <c r="BR18" s="460"/>
      <c r="BS18" s="460"/>
      <c r="BT18" s="460"/>
      <c r="BU18" s="460"/>
      <c r="BV18" s="460"/>
      <c r="BW18" s="460"/>
      <c r="BX18" s="460"/>
      <c r="BY18" s="460"/>
      <c r="BZ18" s="460"/>
      <c r="CA18" s="460"/>
      <c r="CB18" s="460"/>
      <c r="CC18" s="460"/>
      <c r="CD18" s="460"/>
      <c r="CE18" s="460"/>
      <c r="CF18" s="460"/>
      <c r="CG18" s="460"/>
      <c r="CH18" s="460"/>
      <c r="CI18" s="460"/>
      <c r="CJ18" s="460"/>
      <c r="CK18" s="460"/>
      <c r="CL18" s="460"/>
      <c r="CM18" s="460"/>
      <c r="CN18" s="460"/>
      <c r="CO18" s="460"/>
      <c r="CP18" s="460"/>
      <c r="CQ18" s="460"/>
      <c r="CR18" s="460"/>
      <c r="CS18" s="460"/>
      <c r="CT18" s="460"/>
      <c r="CU18" s="460"/>
      <c r="CV18" s="460"/>
      <c r="CW18" s="460"/>
      <c r="CX18" s="460"/>
      <c r="CY18" s="460"/>
    </row>
    <row r="19" spans="1:103" s="350" customFormat="1" ht="12" customHeight="1">
      <c r="A19" s="269"/>
      <c r="B19" s="276" t="str">
        <f>UPPER(LEFT(TRIM(Data!B16),1)) &amp; MID(TRIM(Data!B16),2,50)</f>
        <v>Nosies ertmės, vid.ausies ir ančių</v>
      </c>
      <c r="C19" s="276" t="str">
        <f>Data!C16</f>
        <v>C30, C31</v>
      </c>
      <c r="D19" s="277">
        <f>Data!D16+Data!BQ16</f>
        <v>38</v>
      </c>
      <c r="E19" s="278">
        <f t="shared" si="5"/>
        <v>1.2958814500367792</v>
      </c>
      <c r="F19" s="279">
        <f t="shared" si="6"/>
        <v>0.9851563538495528</v>
      </c>
      <c r="G19" s="279">
        <f t="shared" si="7"/>
        <v>0.70563178943275562</v>
      </c>
      <c r="H19" s="274"/>
      <c r="I19" s="274"/>
      <c r="J19" s="274"/>
      <c r="K19" s="274"/>
      <c r="L19" s="274"/>
      <c r="M19" s="274"/>
      <c r="N19" s="274"/>
      <c r="O19" s="273"/>
      <c r="P19" s="359"/>
      <c r="Q19" s="474" t="s">
        <v>353</v>
      </c>
      <c r="R19" s="468">
        <f t="shared" si="3"/>
        <v>98515.635384955283</v>
      </c>
      <c r="S19" s="468">
        <f>(Data!Q16+Data!CD16)/S$6*100000*S$3</f>
        <v>0</v>
      </c>
      <c r="T19" s="468">
        <f>(Data!R16+Data!CE16)/T$6*100000*T$3</f>
        <v>0</v>
      </c>
      <c r="U19" s="468">
        <f>(Data!S16+Data!CF16)/U$6*100000*U$3</f>
        <v>0</v>
      </c>
      <c r="V19" s="468">
        <f>(Data!T16+Data!CG16)/V$6*100000*V$3</f>
        <v>0</v>
      </c>
      <c r="W19" s="468">
        <f>(Data!U16+Data!CH16)/W$6*100000*W$3</f>
        <v>0</v>
      </c>
      <c r="X19" s="468">
        <f>(Data!V16+Data!CI16)/X$6*100000*X$3</f>
        <v>0</v>
      </c>
      <c r="Y19" s="468">
        <f>(Data!W16+Data!CJ16)/Y$6*100000*Y$3</f>
        <v>0</v>
      </c>
      <c r="Z19" s="468">
        <f>(Data!X16+Data!CK16)/Z$6*100000*Z$3</f>
        <v>0</v>
      </c>
      <c r="AA19" s="468">
        <f>(Data!Y16+Data!CL16)/AA$6*100000*AA$3</f>
        <v>6859.8195867448685</v>
      </c>
      <c r="AB19" s="468">
        <f>(Data!Z16+Data!CM16)/AB$6*100000*AB$3</f>
        <v>9964.3182508351056</v>
      </c>
      <c r="AC19" s="468">
        <f>(Data!AA16+Data!CN16)/AC$6*100000*AC$3</f>
        <v>15095.316139049424</v>
      </c>
      <c r="AD19" s="468">
        <f>(Data!AB16+Data!CO16)/AD$6*100000*AD$3</f>
        <v>11681.617514638527</v>
      </c>
      <c r="AE19" s="468">
        <f>(Data!AC16+Data!CP16)/AE$6*100000*AE$3</f>
        <v>14656.911026687303</v>
      </c>
      <c r="AF19" s="468">
        <f>(Data!AD16+Data!CQ16)/AF$6*100000*AF$3</f>
        <v>19937.055866478688</v>
      </c>
      <c r="AG19" s="468">
        <f>(Data!AE16+Data!CR16)/AG$6*100000*AG$3</f>
        <v>4402.5387973731513</v>
      </c>
      <c r="AH19" s="468">
        <f>(Data!AF16+Data!CS16)/AH$6*100000*AH$3</f>
        <v>8299.7883553969386</v>
      </c>
      <c r="AI19" s="468">
        <f>(Data!AG16+Data!CT16)/AI$6*100000*AI$3</f>
        <v>1166.6569445254624</v>
      </c>
      <c r="AJ19" s="468">
        <f>(Data!AH16+Data!CU16)/AJ$6*100000*AJ$3</f>
        <v>6451.6129032258068</v>
      </c>
      <c r="AK19" s="474" t="s">
        <v>353</v>
      </c>
      <c r="AL19" s="468">
        <f t="shared" si="4"/>
        <v>70563.178943275561</v>
      </c>
      <c r="AM19" s="468">
        <f>(Data!Q16+Data!CD16)/AM$6*100000*AM$3</f>
        <v>0</v>
      </c>
      <c r="AN19" s="468">
        <f>(Data!R16+Data!CE16)/AN$6*100000*AN$3</f>
        <v>0</v>
      </c>
      <c r="AO19" s="468">
        <f>(Data!S16+Data!CF16)/AO$6*100000*AO$3</f>
        <v>0</v>
      </c>
      <c r="AP19" s="468">
        <f>(Data!T16+Data!CG16)/AP$6*100000*AP$3</f>
        <v>0</v>
      </c>
      <c r="AQ19" s="468">
        <f>(Data!U16+Data!CH16)/AQ$6*100000*AQ$3</f>
        <v>0</v>
      </c>
      <c r="AR19" s="468">
        <f>(Data!V16+Data!CI16)/AR$6*100000*AR$3</f>
        <v>0</v>
      </c>
      <c r="AS19" s="468">
        <f>(Data!W16+Data!CJ16)/AS$6*100000*AS$3</f>
        <v>0</v>
      </c>
      <c r="AT19" s="468">
        <f>(Data!X16+Data!CK16)/AT$6*100000*AT$3</f>
        <v>0</v>
      </c>
      <c r="AU19" s="468">
        <f>(Data!Y16+Data!CL16)/AU$6*100000*AU$3</f>
        <v>5879.84536006703</v>
      </c>
      <c r="AV19" s="468">
        <f>(Data!Z16+Data!CM16)/AV$6*100000*AV$3</f>
        <v>8540.844215001518</v>
      </c>
      <c r="AW19" s="468">
        <f>(Data!AA16+Data!CN16)/AW$6*100000*AW$3</f>
        <v>10782.368670749589</v>
      </c>
      <c r="AX19" s="468">
        <f>(Data!AB16+Data!CO16)/AX$6*100000*AX$3</f>
        <v>7787.7450097590181</v>
      </c>
      <c r="AY19" s="468">
        <f>(Data!AC16+Data!CP16)/AY$6*100000*AY$3</f>
        <v>11725.528821349842</v>
      </c>
      <c r="AZ19" s="468">
        <f>(Data!AD16+Data!CQ16)/AZ$6*100000*AZ$3</f>
        <v>14952.791899859016</v>
      </c>
      <c r="BA19" s="468">
        <f>(Data!AE16+Data!CR16)/BA$6*100000*BA$3</f>
        <v>2935.0258649154343</v>
      </c>
      <c r="BB19" s="468">
        <f>(Data!AF16+Data!CS16)/BB$6*100000*BB$3</f>
        <v>4149.8941776984693</v>
      </c>
      <c r="BC19" s="468">
        <f>(Data!AG16+Data!CT16)/BC$6*100000*BC$3</f>
        <v>583.32847226273122</v>
      </c>
      <c r="BD19" s="468">
        <f>(Data!AH16+Data!CU16)/BD$6*100000*BD$3</f>
        <v>3225.8064516129034</v>
      </c>
      <c r="BE19" s="460"/>
      <c r="BF19" s="460"/>
      <c r="BG19" s="460"/>
      <c r="BH19" s="460"/>
      <c r="BI19" s="460"/>
      <c r="BJ19" s="460"/>
      <c r="BK19" s="460"/>
      <c r="BL19" s="460"/>
      <c r="BM19" s="460"/>
      <c r="BN19" s="460"/>
      <c r="BO19" s="460"/>
      <c r="BP19" s="460"/>
      <c r="BQ19" s="460"/>
      <c r="BR19" s="460"/>
      <c r="BS19" s="460"/>
      <c r="BT19" s="460"/>
      <c r="BU19" s="460"/>
      <c r="BV19" s="460"/>
      <c r="BW19" s="460"/>
      <c r="BX19" s="460"/>
      <c r="BY19" s="460"/>
      <c r="BZ19" s="460"/>
      <c r="CA19" s="460"/>
      <c r="CB19" s="460"/>
      <c r="CC19" s="460"/>
      <c r="CD19" s="460"/>
      <c r="CE19" s="460"/>
      <c r="CF19" s="460"/>
      <c r="CG19" s="460"/>
      <c r="CH19" s="460"/>
      <c r="CI19" s="460"/>
      <c r="CJ19" s="460"/>
      <c r="CK19" s="460"/>
      <c r="CL19" s="460"/>
      <c r="CM19" s="460"/>
      <c r="CN19" s="460"/>
      <c r="CO19" s="460"/>
      <c r="CP19" s="460"/>
      <c r="CQ19" s="460"/>
      <c r="CR19" s="460"/>
      <c r="CS19" s="460"/>
      <c r="CT19" s="460"/>
      <c r="CU19" s="460"/>
      <c r="CV19" s="460"/>
      <c r="CW19" s="460"/>
      <c r="CX19" s="460"/>
      <c r="CY19" s="460"/>
    </row>
    <row r="20" spans="1:103" s="350" customFormat="1" ht="12" customHeight="1">
      <c r="A20" s="269"/>
      <c r="B20" s="125" t="str">
        <f>UPPER(LEFT(TRIM(Data!B17),1)) &amp; MID(TRIM(Data!B17),2,50)</f>
        <v>Gerklų</v>
      </c>
      <c r="C20" s="125" t="str">
        <f>Data!C17</f>
        <v>C32</v>
      </c>
      <c r="D20" s="126">
        <f>Data!D17+Data!BQ17</f>
        <v>189</v>
      </c>
      <c r="E20" s="127">
        <f t="shared" si="5"/>
        <v>6.4453051067618752</v>
      </c>
      <c r="F20" s="128">
        <f t="shared" si="6"/>
        <v>4.9841389317420797</v>
      </c>
      <c r="G20" s="129">
        <f t="shared" si="7"/>
        <v>3.5865424838893873</v>
      </c>
      <c r="H20" s="274"/>
      <c r="I20" s="274"/>
      <c r="J20" s="274"/>
      <c r="K20" s="274"/>
      <c r="L20" s="274"/>
      <c r="M20" s="274"/>
      <c r="N20" s="274"/>
      <c r="O20" s="273"/>
      <c r="P20" s="359"/>
      <c r="Q20" s="474" t="s">
        <v>353</v>
      </c>
      <c r="R20" s="468">
        <f t="shared" si="3"/>
        <v>498413.89317420794</v>
      </c>
      <c r="S20" s="468">
        <f>(Data!Q17+Data!CD17)/S$6*100000*S$3</f>
        <v>0</v>
      </c>
      <c r="T20" s="468">
        <f>(Data!R17+Data!CE17)/T$6*100000*T$3</f>
        <v>0</v>
      </c>
      <c r="U20" s="468">
        <f>(Data!S17+Data!CF17)/U$6*100000*U$3</f>
        <v>0</v>
      </c>
      <c r="V20" s="468">
        <f>(Data!T17+Data!CG17)/V$6*100000*V$3</f>
        <v>0</v>
      </c>
      <c r="W20" s="468">
        <f>(Data!U17+Data!CH17)/W$6*100000*W$3</f>
        <v>0</v>
      </c>
      <c r="X20" s="468">
        <f>(Data!V17+Data!CI17)/X$6*100000*X$3</f>
        <v>3591.7512866166221</v>
      </c>
      <c r="Y20" s="468">
        <f>(Data!W17+Data!CJ17)/Y$6*100000*Y$3</f>
        <v>3963.9394763069672</v>
      </c>
      <c r="Z20" s="468">
        <f>(Data!X17+Data!CK17)/Z$6*100000*Z$3</f>
        <v>0</v>
      </c>
      <c r="AA20" s="468">
        <f>(Data!Y17+Data!CL17)/AA$6*100000*AA$3</f>
        <v>3429.9097933724343</v>
      </c>
      <c r="AB20" s="468">
        <f>(Data!Z17+Data!CM17)/AB$6*100000*AB$3</f>
        <v>46500.151837230493</v>
      </c>
      <c r="AC20" s="468">
        <f>(Data!AA17+Data!CN17)/AC$6*100000*AC$3</f>
        <v>72457.517467437254</v>
      </c>
      <c r="AD20" s="468">
        <f>(Data!AB17+Data!CO17)/AD$6*100000*AD$3</f>
        <v>99293.748874427474</v>
      </c>
      <c r="AE20" s="468">
        <f>(Data!AC17+Data!CP17)/AE$6*100000*AE$3</f>
        <v>87941.466160123819</v>
      </c>
      <c r="AF20" s="468">
        <f>(Data!AD17+Data!CQ17)/AF$6*100000*AF$3</f>
        <v>85444.525142051527</v>
      </c>
      <c r="AG20" s="468">
        <f>(Data!AE17+Data!CR17)/AG$6*100000*AG$3</f>
        <v>48427.92677110467</v>
      </c>
      <c r="AH20" s="468">
        <f>(Data!AF17+Data!CS17)/AH$6*100000*AH$3</f>
        <v>23239.407395111426</v>
      </c>
      <c r="AI20" s="468">
        <f>(Data!AG17+Data!CT17)/AI$6*100000*AI$3</f>
        <v>12833.226389780086</v>
      </c>
      <c r="AJ20" s="468">
        <f>(Data!AH17+Data!CU17)/AJ$6*100000*AJ$3</f>
        <v>11290.322580645161</v>
      </c>
      <c r="AK20" s="474" t="s">
        <v>353</v>
      </c>
      <c r="AL20" s="468">
        <f t="shared" si="4"/>
        <v>358654.24838893872</v>
      </c>
      <c r="AM20" s="468">
        <f>(Data!Q17+Data!CD17)/AM$6*100000*AM$3</f>
        <v>0</v>
      </c>
      <c r="AN20" s="468">
        <f>(Data!R17+Data!CE17)/AN$6*100000*AN$3</f>
        <v>0</v>
      </c>
      <c r="AO20" s="468">
        <f>(Data!S17+Data!CF17)/AO$6*100000*AO$3</f>
        <v>0</v>
      </c>
      <c r="AP20" s="468">
        <f>(Data!T17+Data!CG17)/AP$6*100000*AP$3</f>
        <v>0</v>
      </c>
      <c r="AQ20" s="468">
        <f>(Data!U17+Data!CH17)/AQ$6*100000*AQ$3</f>
        <v>0</v>
      </c>
      <c r="AR20" s="468">
        <f>(Data!V17+Data!CI17)/AR$6*100000*AR$3</f>
        <v>4104.8586132761393</v>
      </c>
      <c r="AS20" s="468">
        <f>(Data!W17+Data!CJ17)/AS$6*100000*AS$3</f>
        <v>3397.6624082631147</v>
      </c>
      <c r="AT20" s="468">
        <f>(Data!X17+Data!CK17)/AT$6*100000*AT$3</f>
        <v>0</v>
      </c>
      <c r="AU20" s="468">
        <f>(Data!Y17+Data!CL17)/AU$6*100000*AU$3</f>
        <v>2939.922680033515</v>
      </c>
      <c r="AV20" s="468">
        <f>(Data!Z17+Data!CM17)/AV$6*100000*AV$3</f>
        <v>39857.273003340422</v>
      </c>
      <c r="AW20" s="468">
        <f>(Data!AA17+Data!CN17)/AW$6*100000*AW$3</f>
        <v>51755.369619598037</v>
      </c>
      <c r="AX20" s="468">
        <f>(Data!AB17+Data!CO17)/AX$6*100000*AX$3</f>
        <v>66195.832582951654</v>
      </c>
      <c r="AY20" s="468">
        <f>(Data!AC17+Data!CP17)/AY$6*100000*AY$3</f>
        <v>70353.172928099055</v>
      </c>
      <c r="AZ20" s="468">
        <f>(Data!AD17+Data!CQ17)/AZ$6*100000*AZ$3</f>
        <v>64083.393856538649</v>
      </c>
      <c r="BA20" s="468">
        <f>(Data!AE17+Data!CR17)/BA$6*100000*BA$3</f>
        <v>32285.284514069779</v>
      </c>
      <c r="BB20" s="468">
        <f>(Data!AF17+Data!CS17)/BB$6*100000*BB$3</f>
        <v>11619.703697555713</v>
      </c>
      <c r="BC20" s="468">
        <f>(Data!AG17+Data!CT17)/BC$6*100000*BC$3</f>
        <v>6416.6131948900429</v>
      </c>
      <c r="BD20" s="468">
        <f>(Data!AH17+Data!CU17)/BD$6*100000*BD$3</f>
        <v>5645.1612903225805</v>
      </c>
      <c r="BE20" s="460"/>
      <c r="BF20" s="460"/>
      <c r="BG20" s="460"/>
      <c r="BH20" s="460"/>
      <c r="BI20" s="460"/>
      <c r="BJ20" s="460"/>
      <c r="BK20" s="460"/>
      <c r="BL20" s="460"/>
      <c r="BM20" s="460"/>
      <c r="BN20" s="460"/>
      <c r="BO20" s="460"/>
      <c r="BP20" s="460"/>
      <c r="BQ20" s="460"/>
      <c r="BR20" s="460"/>
      <c r="BS20" s="460"/>
      <c r="BT20" s="460"/>
      <c r="BU20" s="460"/>
      <c r="BV20" s="460"/>
      <c r="BW20" s="460"/>
      <c r="BX20" s="460"/>
      <c r="BY20" s="460"/>
      <c r="BZ20" s="460"/>
      <c r="CA20" s="460"/>
      <c r="CB20" s="460"/>
      <c r="CC20" s="460"/>
      <c r="CD20" s="460"/>
      <c r="CE20" s="460"/>
      <c r="CF20" s="460"/>
      <c r="CG20" s="460"/>
      <c r="CH20" s="460"/>
      <c r="CI20" s="460"/>
      <c r="CJ20" s="460"/>
      <c r="CK20" s="460"/>
      <c r="CL20" s="460"/>
      <c r="CM20" s="460"/>
      <c r="CN20" s="460"/>
      <c r="CO20" s="460"/>
      <c r="CP20" s="460"/>
      <c r="CQ20" s="460"/>
      <c r="CR20" s="460"/>
      <c r="CS20" s="460"/>
      <c r="CT20" s="460"/>
      <c r="CU20" s="460"/>
      <c r="CV20" s="460"/>
      <c r="CW20" s="460"/>
      <c r="CX20" s="460"/>
      <c r="CY20" s="460"/>
    </row>
    <row r="21" spans="1:103" s="350" customFormat="1" ht="12" customHeight="1">
      <c r="A21" s="269"/>
      <c r="B21" s="276" t="str">
        <f>UPPER(LEFT(TRIM(Data!B18),1)) &amp; MID(TRIM(Data!B18),2,50)</f>
        <v>Plaučių, trachėjos, bronchų</v>
      </c>
      <c r="C21" s="276" t="str">
        <f>Data!C18</f>
        <v>C33, C34</v>
      </c>
      <c r="D21" s="277">
        <f>Data!D18+Data!BQ18</f>
        <v>1436</v>
      </c>
      <c r="E21" s="278">
        <f t="shared" si="5"/>
        <v>48.97067795402144</v>
      </c>
      <c r="F21" s="279">
        <f t="shared" si="6"/>
        <v>34.57635725756505</v>
      </c>
      <c r="G21" s="279">
        <f t="shared" si="7"/>
        <v>24.067791516218485</v>
      </c>
      <c r="H21" s="274"/>
      <c r="I21" s="274"/>
      <c r="J21" s="274"/>
      <c r="K21" s="274"/>
      <c r="L21" s="274"/>
      <c r="M21" s="274"/>
      <c r="N21" s="274"/>
      <c r="O21" s="273"/>
      <c r="P21" s="359"/>
      <c r="Q21" s="474" t="s">
        <v>353</v>
      </c>
      <c r="R21" s="468">
        <f t="shared" si="3"/>
        <v>3457635.725756505</v>
      </c>
      <c r="S21" s="468">
        <f>(Data!Q18+Data!CD18)/S$6*100000*S$3</f>
        <v>0</v>
      </c>
      <c r="T21" s="468">
        <f>(Data!R18+Data!CE18)/T$6*100000*T$3</f>
        <v>0</v>
      </c>
      <c r="U21" s="468">
        <f>(Data!S18+Data!CF18)/U$6*100000*U$3</f>
        <v>0</v>
      </c>
      <c r="V21" s="468">
        <f>(Data!T18+Data!CG18)/V$6*100000*V$3</f>
        <v>0</v>
      </c>
      <c r="W21" s="468">
        <f>(Data!U18+Data!CH18)/W$6*100000*W$3</f>
        <v>3331.5406471755673</v>
      </c>
      <c r="X21" s="468">
        <f>(Data!V18+Data!CI18)/X$6*100000*X$3</f>
        <v>3591.7512866166221</v>
      </c>
      <c r="Y21" s="468">
        <f>(Data!W18+Data!CJ18)/Y$6*100000*Y$3</f>
        <v>7927.8789526139344</v>
      </c>
      <c r="Z21" s="468">
        <f>(Data!X18+Data!CK18)/Z$6*100000*Z$3</f>
        <v>7711.2043799640887</v>
      </c>
      <c r="AA21" s="468">
        <f>(Data!Y18+Data!CL18)/AA$6*100000*AA$3</f>
        <v>58308.466487331374</v>
      </c>
      <c r="AB21" s="468">
        <f>(Data!Z18+Data!CM18)/AB$6*100000*AB$3</f>
        <v>116250.37959307623</v>
      </c>
      <c r="AC21" s="468">
        <f>(Data!AA18+Data!CN18)/AC$6*100000*AC$3</f>
        <v>268696.62727507978</v>
      </c>
      <c r="AD21" s="468">
        <f>(Data!AB18+Data!CO18)/AD$6*100000*AD$3</f>
        <v>458503.48744956218</v>
      </c>
      <c r="AE21" s="468">
        <f>(Data!AC18+Data!CP18)/AE$6*100000*AE$3</f>
        <v>721120.02251301531</v>
      </c>
      <c r="AF21" s="468">
        <f>(Data!AD18+Data!CQ18)/AF$6*100000*AF$3</f>
        <v>637985.78772731801</v>
      </c>
      <c r="AG21" s="468">
        <f>(Data!AE18+Data!CR18)/AG$6*100000*AG$3</f>
        <v>574531.31305719633</v>
      </c>
      <c r="AH21" s="468">
        <f>(Data!AF18+Data!CS18)/AH$6*100000*AH$3</f>
        <v>353570.98393990961</v>
      </c>
      <c r="AI21" s="468">
        <f>(Data!AG18+Data!CT18)/AI$6*100000*AI$3</f>
        <v>149332.08889925919</v>
      </c>
      <c r="AJ21" s="468">
        <f>(Data!AH18+Data!CU18)/AJ$6*100000*AJ$3</f>
        <v>96774.193548387106</v>
      </c>
      <c r="AK21" s="474" t="s">
        <v>353</v>
      </c>
      <c r="AL21" s="468">
        <f t="shared" si="4"/>
        <v>2406779.1516218483</v>
      </c>
      <c r="AM21" s="468">
        <f>(Data!Q18+Data!CD18)/AM$6*100000*AM$3</f>
        <v>0</v>
      </c>
      <c r="AN21" s="468">
        <f>(Data!R18+Data!CE18)/AN$6*100000*AN$3</f>
        <v>0</v>
      </c>
      <c r="AO21" s="468">
        <f>(Data!S18+Data!CF18)/AO$6*100000*AO$3</f>
        <v>0</v>
      </c>
      <c r="AP21" s="468">
        <f>(Data!T18+Data!CG18)/AP$6*100000*AP$3</f>
        <v>0</v>
      </c>
      <c r="AQ21" s="468">
        <f>(Data!U18+Data!CH18)/AQ$6*100000*AQ$3</f>
        <v>3807.4750253435059</v>
      </c>
      <c r="AR21" s="468">
        <f>(Data!V18+Data!CI18)/AR$6*100000*AR$3</f>
        <v>4104.8586132761393</v>
      </c>
      <c r="AS21" s="468">
        <f>(Data!W18+Data!CJ18)/AS$6*100000*AS$3</f>
        <v>6795.3248165262294</v>
      </c>
      <c r="AT21" s="468">
        <f>(Data!X18+Data!CK18)/AT$6*100000*AT$3</f>
        <v>6609.6037542549329</v>
      </c>
      <c r="AU21" s="468">
        <f>(Data!Y18+Data!CL18)/AU$6*100000*AU$3</f>
        <v>49978.685560569749</v>
      </c>
      <c r="AV21" s="468">
        <f>(Data!Z18+Data!CM18)/AV$6*100000*AV$3</f>
        <v>99643.182508351048</v>
      </c>
      <c r="AW21" s="468">
        <f>(Data!AA18+Data!CN18)/AW$6*100000*AW$3</f>
        <v>191926.1623393427</v>
      </c>
      <c r="AX21" s="468">
        <f>(Data!AB18+Data!CO18)/AX$6*100000*AX$3</f>
        <v>305668.99163304147</v>
      </c>
      <c r="AY21" s="468">
        <f>(Data!AC18+Data!CP18)/AY$6*100000*AY$3</f>
        <v>576896.01801041223</v>
      </c>
      <c r="AZ21" s="468">
        <f>(Data!AD18+Data!CQ18)/AZ$6*100000*AZ$3</f>
        <v>478489.3407954885</v>
      </c>
      <c r="BA21" s="468">
        <f>(Data!AE18+Data!CR18)/BA$6*100000*BA$3</f>
        <v>383020.87537146424</v>
      </c>
      <c r="BB21" s="468">
        <f>(Data!AF18+Data!CS18)/BB$6*100000*BB$3</f>
        <v>176785.4919699548</v>
      </c>
      <c r="BC21" s="468">
        <f>(Data!AG18+Data!CT18)/BC$6*100000*BC$3</f>
        <v>74666.044449629597</v>
      </c>
      <c r="BD21" s="468">
        <f>(Data!AH18+Data!CU18)/BD$6*100000*BD$3</f>
        <v>48387.096774193553</v>
      </c>
      <c r="BE21" s="460"/>
      <c r="BF21" s="460"/>
      <c r="BG21" s="460"/>
      <c r="BH21" s="460"/>
      <c r="BI21" s="460"/>
      <c r="BJ21" s="460"/>
      <c r="BK21" s="460"/>
      <c r="BL21" s="460"/>
      <c r="BM21" s="460"/>
      <c r="BN21" s="460"/>
      <c r="BO21" s="460"/>
      <c r="BP21" s="460"/>
      <c r="BQ21" s="460"/>
      <c r="BR21" s="460"/>
      <c r="BS21" s="460"/>
      <c r="BT21" s="460"/>
      <c r="BU21" s="460"/>
      <c r="BV21" s="460"/>
      <c r="BW21" s="460"/>
      <c r="BX21" s="460"/>
      <c r="BY21" s="460"/>
      <c r="BZ21" s="460"/>
      <c r="CA21" s="460"/>
      <c r="CB21" s="460"/>
      <c r="CC21" s="460"/>
      <c r="CD21" s="460"/>
      <c r="CE21" s="460"/>
      <c r="CF21" s="460"/>
      <c r="CG21" s="460"/>
      <c r="CH21" s="460"/>
      <c r="CI21" s="460"/>
      <c r="CJ21" s="460"/>
      <c r="CK21" s="460"/>
      <c r="CL21" s="460"/>
      <c r="CM21" s="460"/>
      <c r="CN21" s="460"/>
      <c r="CO21" s="460"/>
      <c r="CP21" s="460"/>
      <c r="CQ21" s="460"/>
      <c r="CR21" s="460"/>
      <c r="CS21" s="460"/>
      <c r="CT21" s="460"/>
      <c r="CU21" s="460"/>
      <c r="CV21" s="460"/>
      <c r="CW21" s="460"/>
      <c r="CX21" s="460"/>
      <c r="CY21" s="460"/>
    </row>
    <row r="22" spans="1:103" s="350" customFormat="1" ht="12" customHeight="1">
      <c r="A22" s="269"/>
      <c r="B22" s="125" t="str">
        <f>UPPER(LEFT(TRIM(Data!B19),1)) &amp; MID(TRIM(Data!B19),2,50)</f>
        <v>Kitų kvėpavimo sistemos organų</v>
      </c>
      <c r="C22" s="125" t="str">
        <f>Data!C19</f>
        <v>C37-C39</v>
      </c>
      <c r="D22" s="126">
        <f>Data!D19+Data!BQ19</f>
        <v>20</v>
      </c>
      <c r="E22" s="127">
        <f t="shared" si="5"/>
        <v>0.68204286844041007</v>
      </c>
      <c r="F22" s="128">
        <f t="shared" si="6"/>
        <v>0.57629887845687733</v>
      </c>
      <c r="G22" s="129">
        <f t="shared" si="7"/>
        <v>0.51506501169107399</v>
      </c>
      <c r="H22" s="274"/>
      <c r="I22" s="274"/>
      <c r="J22" s="274"/>
      <c r="K22" s="274"/>
      <c r="L22" s="274"/>
      <c r="M22" s="274"/>
      <c r="N22" s="274"/>
      <c r="O22" s="273"/>
      <c r="P22" s="359"/>
      <c r="Q22" s="474" t="s">
        <v>353</v>
      </c>
      <c r="R22" s="468">
        <f t="shared" si="3"/>
        <v>57629.887845687728</v>
      </c>
      <c r="S22" s="468">
        <f>(Data!Q19+Data!CD19)/S$6*100000*S$3</f>
        <v>5305.3916042177862</v>
      </c>
      <c r="T22" s="468">
        <f>(Data!R19+Data!CE19)/T$6*100000*T$3</f>
        <v>5115.6876214975809</v>
      </c>
      <c r="U22" s="468">
        <f>(Data!S19+Data!CF19)/U$6*100000*U$3</f>
        <v>0</v>
      </c>
      <c r="V22" s="468">
        <f>(Data!T19+Data!CG19)/V$6*100000*V$3</f>
        <v>4027.6874744673382</v>
      </c>
      <c r="W22" s="468">
        <f>(Data!U19+Data!CH19)/W$6*100000*W$3</f>
        <v>0</v>
      </c>
      <c r="X22" s="468">
        <f>(Data!V19+Data!CI19)/X$6*100000*X$3</f>
        <v>0</v>
      </c>
      <c r="Y22" s="468">
        <f>(Data!W19+Data!CJ19)/Y$6*100000*Y$3</f>
        <v>3963.9394763069672</v>
      </c>
      <c r="Z22" s="468">
        <f>(Data!X19+Data!CK19)/Z$6*100000*Z$3</f>
        <v>0</v>
      </c>
      <c r="AA22" s="468">
        <f>(Data!Y19+Data!CL19)/AA$6*100000*AA$3</f>
        <v>3429.9097933724343</v>
      </c>
      <c r="AB22" s="468">
        <f>(Data!Z19+Data!CM19)/AB$6*100000*AB$3</f>
        <v>6642.8788338900704</v>
      </c>
      <c r="AC22" s="468">
        <f>(Data!AA19+Data!CN19)/AC$6*100000*AC$3</f>
        <v>3019.0632278098851</v>
      </c>
      <c r="AD22" s="468">
        <f>(Data!AB19+Data!CO19)/AD$6*100000*AD$3</f>
        <v>5840.8087573192633</v>
      </c>
      <c r="AE22" s="468">
        <f>(Data!AC19+Data!CP19)/AE$6*100000*AE$3</f>
        <v>5862.7644106749212</v>
      </c>
      <c r="AF22" s="468">
        <f>(Data!AD19+Data!CQ19)/AF$6*100000*AF$3</f>
        <v>2848.150838068384</v>
      </c>
      <c r="AG22" s="468">
        <f>(Data!AE19+Data!CR19)/AG$6*100000*AG$3</f>
        <v>2201.2693986865756</v>
      </c>
      <c r="AH22" s="468">
        <f>(Data!AF19+Data!CS19)/AH$6*100000*AH$3</f>
        <v>4979.8730132381625</v>
      </c>
      <c r="AI22" s="468">
        <f>(Data!AG19+Data!CT19)/AI$6*100000*AI$3</f>
        <v>1166.6569445254624</v>
      </c>
      <c r="AJ22" s="468">
        <f>(Data!AH19+Data!CU19)/AJ$6*100000*AJ$3</f>
        <v>3225.8064516129034</v>
      </c>
      <c r="AK22" s="474" t="s">
        <v>353</v>
      </c>
      <c r="AL22" s="468">
        <f t="shared" si="4"/>
        <v>51506.501169107403</v>
      </c>
      <c r="AM22" s="468">
        <f>(Data!Q19+Data!CD19)/AM$6*100000*AM$3</f>
        <v>7958.0874063266792</v>
      </c>
      <c r="AN22" s="468">
        <f>(Data!R19+Data!CE19)/AN$6*100000*AN$3</f>
        <v>7308.1251735679734</v>
      </c>
      <c r="AO22" s="468">
        <f>(Data!S19+Data!CF19)/AO$6*100000*AO$3</f>
        <v>0</v>
      </c>
      <c r="AP22" s="468">
        <f>(Data!T19+Data!CG19)/AP$6*100000*AP$3</f>
        <v>5178.4553243151486</v>
      </c>
      <c r="AQ22" s="468">
        <f>(Data!U19+Data!CH19)/AQ$6*100000*AQ$3</f>
        <v>0</v>
      </c>
      <c r="AR22" s="468">
        <f>(Data!V19+Data!CI19)/AR$6*100000*AR$3</f>
        <v>0</v>
      </c>
      <c r="AS22" s="468">
        <f>(Data!W19+Data!CJ19)/AS$6*100000*AS$3</f>
        <v>3397.6624082631147</v>
      </c>
      <c r="AT22" s="468">
        <f>(Data!X19+Data!CK19)/AT$6*100000*AT$3</f>
        <v>0</v>
      </c>
      <c r="AU22" s="468">
        <f>(Data!Y19+Data!CL19)/AU$6*100000*AU$3</f>
        <v>2939.922680033515</v>
      </c>
      <c r="AV22" s="468">
        <f>(Data!Z19+Data!CM19)/AV$6*100000*AV$3</f>
        <v>5693.8961433343466</v>
      </c>
      <c r="AW22" s="468">
        <f>(Data!AA19+Data!CN19)/AW$6*100000*AW$3</f>
        <v>2156.4737341499181</v>
      </c>
      <c r="AX22" s="468">
        <f>(Data!AB19+Data!CO19)/AX$6*100000*AX$3</f>
        <v>3893.8725048795091</v>
      </c>
      <c r="AY22" s="468">
        <f>(Data!AC19+Data!CP19)/AY$6*100000*AY$3</f>
        <v>4690.2115285399368</v>
      </c>
      <c r="AZ22" s="468">
        <f>(Data!AD19+Data!CQ19)/AZ$6*100000*AZ$3</f>
        <v>2136.1131285512879</v>
      </c>
      <c r="BA22" s="468">
        <f>(Data!AE19+Data!CR19)/BA$6*100000*BA$3</f>
        <v>1467.5129324577172</v>
      </c>
      <c r="BB22" s="468">
        <f>(Data!AF19+Data!CS19)/BB$6*100000*BB$3</f>
        <v>2489.9365066190812</v>
      </c>
      <c r="BC22" s="468">
        <f>(Data!AG19+Data!CT19)/BC$6*100000*BC$3</f>
        <v>583.32847226273122</v>
      </c>
      <c r="BD22" s="468">
        <f>(Data!AH19+Data!CU19)/BD$6*100000*BD$3</f>
        <v>1612.9032258064517</v>
      </c>
      <c r="BE22" s="460"/>
      <c r="BF22" s="460"/>
      <c r="BG22" s="460"/>
      <c r="BH22" s="460"/>
      <c r="BI22" s="460"/>
      <c r="BJ22" s="460"/>
      <c r="BK22" s="460"/>
      <c r="BL22" s="460"/>
      <c r="BM22" s="460"/>
      <c r="BN22" s="460"/>
      <c r="BO22" s="460"/>
      <c r="BP22" s="460"/>
      <c r="BQ22" s="460"/>
      <c r="BR22" s="460"/>
      <c r="BS22" s="460"/>
      <c r="BT22" s="460"/>
      <c r="BU22" s="460"/>
      <c r="BV22" s="460"/>
      <c r="BW22" s="460"/>
      <c r="BX22" s="460"/>
      <c r="BY22" s="460"/>
      <c r="BZ22" s="460"/>
      <c r="CA22" s="460"/>
      <c r="CB22" s="460"/>
      <c r="CC22" s="460"/>
      <c r="CD22" s="460"/>
      <c r="CE22" s="460"/>
      <c r="CF22" s="460"/>
      <c r="CG22" s="460"/>
      <c r="CH22" s="460"/>
      <c r="CI22" s="460"/>
      <c r="CJ22" s="460"/>
      <c r="CK22" s="460"/>
      <c r="CL22" s="460"/>
      <c r="CM22" s="460"/>
      <c r="CN22" s="460"/>
      <c r="CO22" s="460"/>
      <c r="CP22" s="460"/>
      <c r="CQ22" s="460"/>
      <c r="CR22" s="460"/>
      <c r="CS22" s="460"/>
      <c r="CT22" s="460"/>
      <c r="CU22" s="460"/>
      <c r="CV22" s="460"/>
      <c r="CW22" s="460"/>
      <c r="CX22" s="460"/>
      <c r="CY22" s="460"/>
    </row>
    <row r="23" spans="1:103" s="350" customFormat="1" ht="12" customHeight="1">
      <c r="A23" s="269"/>
      <c r="B23" s="276" t="str">
        <f>UPPER(LEFT(TRIM(Data!B20),1)) &amp; MID(TRIM(Data!B20),2,50)</f>
        <v>Kaulų ir jungiamojo audinio</v>
      </c>
      <c r="C23" s="276" t="str">
        <f>Data!C20</f>
        <v>C40-C41, C45-C47, C49</v>
      </c>
      <c r="D23" s="277">
        <f>Data!D20+Data!BQ20</f>
        <v>125</v>
      </c>
      <c r="E23" s="278">
        <f t="shared" si="5"/>
        <v>4.262767927752563</v>
      </c>
      <c r="F23" s="279">
        <f t="shared" si="6"/>
        <v>3.5889567378980329</v>
      </c>
      <c r="G23" s="279">
        <f t="shared" si="7"/>
        <v>3.1287276244529281</v>
      </c>
      <c r="H23" s="274"/>
      <c r="I23" s="274"/>
      <c r="J23" s="274"/>
      <c r="K23" s="274"/>
      <c r="L23" s="274"/>
      <c r="M23" s="274"/>
      <c r="N23" s="274"/>
      <c r="O23" s="273"/>
      <c r="P23" s="359"/>
      <c r="Q23" s="474" t="s">
        <v>353</v>
      </c>
      <c r="R23" s="468">
        <f t="shared" si="3"/>
        <v>358895.67378980329</v>
      </c>
      <c r="S23" s="468">
        <f>(Data!Q20+Data!CD20)/S$6*100000*S$3</f>
        <v>21221.566416871145</v>
      </c>
      <c r="T23" s="468">
        <f>(Data!R20+Data!CE20)/T$6*100000*T$3</f>
        <v>15347.062864492742</v>
      </c>
      <c r="U23" s="468">
        <f>(Data!S20+Data!CF20)/U$6*100000*U$3</f>
        <v>9989.2259063438705</v>
      </c>
      <c r="V23" s="468">
        <f>(Data!T20+Data!CG20)/V$6*100000*V$3</f>
        <v>16110.749897869353</v>
      </c>
      <c r="W23" s="468">
        <f>(Data!U20+Data!CH20)/W$6*100000*W$3</f>
        <v>3331.5406471755673</v>
      </c>
      <c r="X23" s="468">
        <f>(Data!V20+Data!CI20)/X$6*100000*X$3</f>
        <v>21550.50771969973</v>
      </c>
      <c r="Y23" s="468">
        <f>(Data!W20+Data!CJ20)/Y$6*100000*Y$3</f>
        <v>23783.636857841804</v>
      </c>
      <c r="Z23" s="468">
        <f>(Data!X20+Data!CK20)/Z$6*100000*Z$3</f>
        <v>23133.613139892263</v>
      </c>
      <c r="AA23" s="468">
        <f>(Data!Y20+Data!CL20)/AA$6*100000*AA$3</f>
        <v>20579.458760234607</v>
      </c>
      <c r="AB23" s="468">
        <f>(Data!Z20+Data!CM20)/AB$6*100000*AB$3</f>
        <v>26571.515335560282</v>
      </c>
      <c r="AC23" s="468">
        <f>(Data!AA20+Data!CN20)/AC$6*100000*AC$3</f>
        <v>36228.758733718627</v>
      </c>
      <c r="AD23" s="468">
        <f>(Data!AB20+Data!CO20)/AD$6*100000*AD$3</f>
        <v>26283.639407936687</v>
      </c>
      <c r="AE23" s="468">
        <f>(Data!AC20+Data!CP20)/AE$6*100000*AE$3</f>
        <v>23451.057642699685</v>
      </c>
      <c r="AF23" s="468">
        <f>(Data!AD20+Data!CQ20)/AF$6*100000*AF$3</f>
        <v>17088.905028410307</v>
      </c>
      <c r="AG23" s="468">
        <f>(Data!AE20+Data!CR20)/AG$6*100000*AG$3</f>
        <v>26415.23278423891</v>
      </c>
      <c r="AH23" s="468">
        <f>(Data!AF20+Data!CS20)/AH$6*100000*AH$3</f>
        <v>23239.407395111426</v>
      </c>
      <c r="AI23" s="468">
        <f>(Data!AG20+Data!CT20)/AI$6*100000*AI$3</f>
        <v>11666.569445254623</v>
      </c>
      <c r="AJ23" s="468">
        <f>(Data!AH20+Data!CU20)/AJ$6*100000*AJ$3</f>
        <v>12903.225806451614</v>
      </c>
      <c r="AK23" s="474" t="s">
        <v>353</v>
      </c>
      <c r="AL23" s="468">
        <f t="shared" si="4"/>
        <v>312872.76244529278</v>
      </c>
      <c r="AM23" s="468">
        <f>(Data!Q20+Data!CD20)/AM$6*100000*AM$3</f>
        <v>31832.349625306717</v>
      </c>
      <c r="AN23" s="468">
        <f>(Data!R20+Data!CE20)/AN$6*100000*AN$3</f>
        <v>21924.375520703918</v>
      </c>
      <c r="AO23" s="468">
        <f>(Data!S20+Data!CF20)/AO$6*100000*AO$3</f>
        <v>12843.290451013549</v>
      </c>
      <c r="AP23" s="468">
        <f>(Data!T20+Data!CG20)/AP$6*100000*AP$3</f>
        <v>20713.821297260594</v>
      </c>
      <c r="AQ23" s="468">
        <f>(Data!U20+Data!CH20)/AQ$6*100000*AQ$3</f>
        <v>3807.4750253435059</v>
      </c>
      <c r="AR23" s="468">
        <f>(Data!V20+Data!CI20)/AR$6*100000*AR$3</f>
        <v>24629.151679656832</v>
      </c>
      <c r="AS23" s="468">
        <f>(Data!W20+Data!CJ20)/AS$6*100000*AS$3</f>
        <v>20385.974449578687</v>
      </c>
      <c r="AT23" s="468">
        <f>(Data!X20+Data!CK20)/AT$6*100000*AT$3</f>
        <v>19828.811262764797</v>
      </c>
      <c r="AU23" s="468">
        <f>(Data!Y20+Data!CL20)/AU$6*100000*AU$3</f>
        <v>17639.536080201091</v>
      </c>
      <c r="AV23" s="468">
        <f>(Data!Z20+Data!CM20)/AV$6*100000*AV$3</f>
        <v>22775.584573337386</v>
      </c>
      <c r="AW23" s="468">
        <f>(Data!AA20+Data!CN20)/AW$6*100000*AW$3</f>
        <v>25877.684809799019</v>
      </c>
      <c r="AX23" s="468">
        <f>(Data!AB20+Data!CO20)/AX$6*100000*AX$3</f>
        <v>17522.426271957789</v>
      </c>
      <c r="AY23" s="468">
        <f>(Data!AC20+Data!CP20)/AY$6*100000*AY$3</f>
        <v>18760.846114159747</v>
      </c>
      <c r="AZ23" s="468">
        <f>(Data!AD20+Data!CQ20)/AZ$6*100000*AZ$3</f>
        <v>12816.67877130773</v>
      </c>
      <c r="BA23" s="468">
        <f>(Data!AE20+Data!CR20)/BA$6*100000*BA$3</f>
        <v>17610.155189492605</v>
      </c>
      <c r="BB23" s="468">
        <f>(Data!AF20+Data!CS20)/BB$6*100000*BB$3</f>
        <v>11619.703697555713</v>
      </c>
      <c r="BC23" s="468">
        <f>(Data!AG20+Data!CT20)/BC$6*100000*BC$3</f>
        <v>5833.2847226273116</v>
      </c>
      <c r="BD23" s="468">
        <f>(Data!AH20+Data!CU20)/BD$6*100000*BD$3</f>
        <v>6451.6129032258068</v>
      </c>
      <c r="BE23" s="460"/>
      <c r="BF23" s="460"/>
      <c r="BG23" s="460"/>
      <c r="BH23" s="460"/>
      <c r="BI23" s="460"/>
      <c r="BJ23" s="460"/>
      <c r="BK23" s="460"/>
      <c r="BL23" s="460"/>
      <c r="BM23" s="460"/>
      <c r="BN23" s="460"/>
      <c r="BO23" s="460"/>
      <c r="BP23" s="460"/>
      <c r="BQ23" s="460"/>
      <c r="BR23" s="460"/>
      <c r="BS23" s="460"/>
      <c r="BT23" s="460"/>
      <c r="BU23" s="460"/>
      <c r="BV23" s="460"/>
      <c r="BW23" s="460"/>
      <c r="BX23" s="460"/>
      <c r="BY23" s="460"/>
      <c r="BZ23" s="460"/>
      <c r="CA23" s="460"/>
      <c r="CB23" s="460"/>
      <c r="CC23" s="460"/>
      <c r="CD23" s="460"/>
      <c r="CE23" s="460"/>
      <c r="CF23" s="460"/>
      <c r="CG23" s="460"/>
      <c r="CH23" s="460"/>
      <c r="CI23" s="460"/>
      <c r="CJ23" s="460"/>
      <c r="CK23" s="460"/>
      <c r="CL23" s="460"/>
      <c r="CM23" s="460"/>
      <c r="CN23" s="460"/>
      <c r="CO23" s="460"/>
      <c r="CP23" s="460"/>
      <c r="CQ23" s="460"/>
      <c r="CR23" s="460"/>
      <c r="CS23" s="460"/>
      <c r="CT23" s="460"/>
      <c r="CU23" s="460"/>
      <c r="CV23" s="460"/>
      <c r="CW23" s="460"/>
      <c r="CX23" s="460"/>
      <c r="CY23" s="460"/>
    </row>
    <row r="24" spans="1:103" s="350" customFormat="1" ht="12" customHeight="1">
      <c r="A24" s="269"/>
      <c r="B24" s="125" t="str">
        <f>UPPER(LEFT(TRIM(Data!B21),1)) &amp; MID(TRIM(Data!B21),2,50)</f>
        <v>Odos melanoma</v>
      </c>
      <c r="C24" s="125" t="str">
        <f>Data!C21</f>
        <v>C43</v>
      </c>
      <c r="D24" s="126">
        <f>Data!D21+Data!BQ21</f>
        <v>296</v>
      </c>
      <c r="E24" s="127">
        <f t="shared" si="5"/>
        <v>10.094234452918069</v>
      </c>
      <c r="F24" s="128">
        <f t="shared" si="6"/>
        <v>7.6776548977015038</v>
      </c>
      <c r="G24" s="129">
        <f t="shared" si="7"/>
        <v>5.6666048179954434</v>
      </c>
      <c r="H24" s="274"/>
      <c r="I24" s="274"/>
      <c r="J24" s="274"/>
      <c r="K24" s="274"/>
      <c r="L24" s="274"/>
      <c r="M24" s="274"/>
      <c r="N24" s="274"/>
      <c r="O24" s="273"/>
      <c r="P24" s="359"/>
      <c r="Q24" s="474" t="s">
        <v>353</v>
      </c>
      <c r="R24" s="468">
        <f t="shared" si="3"/>
        <v>767765.48977015039</v>
      </c>
      <c r="S24" s="468">
        <f>(Data!Q21+Data!CD21)/S$6*100000*S$3</f>
        <v>0</v>
      </c>
      <c r="T24" s="468">
        <f>(Data!R21+Data!CE21)/T$6*100000*T$3</f>
        <v>0</v>
      </c>
      <c r="U24" s="468">
        <f>(Data!S21+Data!CF21)/U$6*100000*U$3</f>
        <v>0</v>
      </c>
      <c r="V24" s="468">
        <f>(Data!T21+Data!CG21)/V$6*100000*V$3</f>
        <v>4027.6874744673382</v>
      </c>
      <c r="W24" s="468">
        <f>(Data!U21+Data!CH21)/W$6*100000*W$3</f>
        <v>6663.0812943511346</v>
      </c>
      <c r="X24" s="468">
        <f>(Data!V21+Data!CI21)/X$6*100000*X$3</f>
        <v>21550.50771969973</v>
      </c>
      <c r="Y24" s="468">
        <f>(Data!W21+Data!CJ21)/Y$6*100000*Y$3</f>
        <v>11891.818428920902</v>
      </c>
      <c r="Z24" s="468">
        <f>(Data!X21+Data!CK21)/Z$6*100000*Z$3</f>
        <v>38556.021899820436</v>
      </c>
      <c r="AA24" s="468">
        <f>(Data!Y21+Data!CL21)/AA$6*100000*AA$3</f>
        <v>44588.827313841648</v>
      </c>
      <c r="AB24" s="468">
        <f>(Data!Z21+Data!CM21)/AB$6*100000*AB$3</f>
        <v>63107.348921955665</v>
      </c>
      <c r="AC24" s="468">
        <f>(Data!AA21+Data!CN21)/AC$6*100000*AC$3</f>
        <v>102648.14974553609</v>
      </c>
      <c r="AD24" s="468">
        <f>(Data!AB21+Data!CO21)/AD$6*100000*AD$3</f>
        <v>78850.918223810062</v>
      </c>
      <c r="AE24" s="468">
        <f>(Data!AC21+Data!CP21)/AE$6*100000*AE$3</f>
        <v>114323.90600816098</v>
      </c>
      <c r="AF24" s="468">
        <f>(Data!AD21+Data!CQ21)/AF$6*100000*AF$3</f>
        <v>99685.279332393446</v>
      </c>
      <c r="AG24" s="468">
        <f>(Data!AE21+Data!CR21)/AG$6*100000*AG$3</f>
        <v>63836.812561910694</v>
      </c>
      <c r="AH24" s="468">
        <f>(Data!AF21+Data!CS21)/AH$6*100000*AH$3</f>
        <v>56438.560816699173</v>
      </c>
      <c r="AI24" s="468">
        <f>(Data!AG21+Data!CT21)/AI$6*100000*AI$3</f>
        <v>24499.795835034711</v>
      </c>
      <c r="AJ24" s="468">
        <f>(Data!AH21+Data!CU21)/AJ$6*100000*AJ$3</f>
        <v>37096.774193548386</v>
      </c>
      <c r="AK24" s="474" t="s">
        <v>353</v>
      </c>
      <c r="AL24" s="468">
        <f t="shared" si="4"/>
        <v>566660.4817995443</v>
      </c>
      <c r="AM24" s="468">
        <f>(Data!Q21+Data!CD21)/AM$6*100000*AM$3</f>
        <v>0</v>
      </c>
      <c r="AN24" s="468">
        <f>(Data!R21+Data!CE21)/AN$6*100000*AN$3</f>
        <v>0</v>
      </c>
      <c r="AO24" s="468">
        <f>(Data!S21+Data!CF21)/AO$6*100000*AO$3</f>
        <v>0</v>
      </c>
      <c r="AP24" s="468">
        <f>(Data!T21+Data!CG21)/AP$6*100000*AP$3</f>
        <v>5178.4553243151486</v>
      </c>
      <c r="AQ24" s="468">
        <f>(Data!U21+Data!CH21)/AQ$6*100000*AQ$3</f>
        <v>7614.9500506870118</v>
      </c>
      <c r="AR24" s="468">
        <f>(Data!V21+Data!CI21)/AR$6*100000*AR$3</f>
        <v>24629.151679656832</v>
      </c>
      <c r="AS24" s="468">
        <f>(Data!W21+Data!CJ21)/AS$6*100000*AS$3</f>
        <v>10192.987224789344</v>
      </c>
      <c r="AT24" s="468">
        <f>(Data!X21+Data!CK21)/AT$6*100000*AT$3</f>
        <v>33048.018771274663</v>
      </c>
      <c r="AU24" s="468">
        <f>(Data!Y21+Data!CL21)/AU$6*100000*AU$3</f>
        <v>38218.994840435698</v>
      </c>
      <c r="AV24" s="468">
        <f>(Data!Z21+Data!CM21)/AV$6*100000*AV$3</f>
        <v>54092.013361676283</v>
      </c>
      <c r="AW24" s="468">
        <f>(Data!AA21+Data!CN21)/AW$6*100000*AW$3</f>
        <v>73320.106961097219</v>
      </c>
      <c r="AX24" s="468">
        <f>(Data!AB21+Data!CO21)/AX$6*100000*AX$3</f>
        <v>52567.278815873375</v>
      </c>
      <c r="AY24" s="468">
        <f>(Data!AC21+Data!CP21)/AY$6*100000*AY$3</f>
        <v>91459.12480652878</v>
      </c>
      <c r="AZ24" s="468">
        <f>(Data!AD21+Data!CQ21)/AZ$6*100000*AZ$3</f>
        <v>74763.959499295088</v>
      </c>
      <c r="BA24" s="468">
        <f>(Data!AE21+Data!CR21)/BA$6*100000*BA$3</f>
        <v>42557.875041273794</v>
      </c>
      <c r="BB24" s="468">
        <f>(Data!AF21+Data!CS21)/BB$6*100000*BB$3</f>
        <v>28219.280408349587</v>
      </c>
      <c r="BC24" s="468">
        <f>(Data!AG21+Data!CT21)/BC$6*100000*BC$3</f>
        <v>12249.897917517355</v>
      </c>
      <c r="BD24" s="468">
        <f>(Data!AH21+Data!CU21)/BD$6*100000*BD$3</f>
        <v>18548.387096774193</v>
      </c>
      <c r="BE24" s="460"/>
      <c r="BF24" s="460"/>
      <c r="BG24" s="460"/>
      <c r="BH24" s="460"/>
      <c r="BI24" s="460"/>
      <c r="BJ24" s="460"/>
      <c r="BK24" s="460"/>
      <c r="BL24" s="460"/>
      <c r="BM24" s="460"/>
      <c r="BN24" s="460"/>
      <c r="BO24" s="460"/>
      <c r="BP24" s="460"/>
      <c r="BQ24" s="460"/>
      <c r="BR24" s="460"/>
      <c r="BS24" s="460"/>
      <c r="BT24" s="460"/>
      <c r="BU24" s="460"/>
      <c r="BV24" s="460"/>
      <c r="BW24" s="460"/>
      <c r="BX24" s="460"/>
      <c r="BY24" s="460"/>
      <c r="BZ24" s="460"/>
      <c r="CA24" s="460"/>
      <c r="CB24" s="460"/>
      <c r="CC24" s="460"/>
      <c r="CD24" s="460"/>
      <c r="CE24" s="460"/>
      <c r="CF24" s="460"/>
      <c r="CG24" s="460"/>
      <c r="CH24" s="460"/>
      <c r="CI24" s="460"/>
      <c r="CJ24" s="460"/>
      <c r="CK24" s="460"/>
      <c r="CL24" s="460"/>
      <c r="CM24" s="460"/>
      <c r="CN24" s="460"/>
      <c r="CO24" s="460"/>
      <c r="CP24" s="460"/>
      <c r="CQ24" s="460"/>
      <c r="CR24" s="460"/>
      <c r="CS24" s="460"/>
      <c r="CT24" s="460"/>
      <c r="CU24" s="460"/>
      <c r="CV24" s="460"/>
      <c r="CW24" s="460"/>
      <c r="CX24" s="460"/>
      <c r="CY24" s="460"/>
    </row>
    <row r="25" spans="1:103" s="350" customFormat="1" ht="12" customHeight="1">
      <c r="A25" s="269"/>
      <c r="B25" s="276" t="str">
        <f>UPPER(LEFT(TRIM(Data!B22),1)) &amp; MID(TRIM(Data!B22),2,50)</f>
        <v>Kiti odos piktybiniai navikai</v>
      </c>
      <c r="C25" s="276" t="str">
        <f>Data!C22</f>
        <v>C44</v>
      </c>
      <c r="D25" s="277">
        <f>Data!D22+Data!BQ22</f>
        <v>2242</v>
      </c>
      <c r="E25" s="278">
        <f t="shared" si="5"/>
        <v>76.45700555216996</v>
      </c>
      <c r="F25" s="279">
        <f t="shared" si="6"/>
        <v>50.63882402288386</v>
      </c>
      <c r="G25" s="279">
        <f t="shared" si="7"/>
        <v>34.42960199576347</v>
      </c>
      <c r="H25" s="274"/>
      <c r="I25" s="274"/>
      <c r="J25" s="274"/>
      <c r="K25" s="274"/>
      <c r="L25" s="274"/>
      <c r="M25" s="274"/>
      <c r="N25" s="274"/>
      <c r="O25" s="273"/>
      <c r="P25" s="359"/>
      <c r="Q25" s="474" t="s">
        <v>353</v>
      </c>
      <c r="R25" s="468">
        <f t="shared" si="3"/>
        <v>5063882.4022883857</v>
      </c>
      <c r="S25" s="468">
        <f>(Data!Q22+Data!CD22)/S$6*100000*S$3</f>
        <v>0</v>
      </c>
      <c r="T25" s="468">
        <f>(Data!R22+Data!CE22)/T$6*100000*T$3</f>
        <v>0</v>
      </c>
      <c r="U25" s="468">
        <f>(Data!S22+Data!CF22)/U$6*100000*U$3</f>
        <v>0</v>
      </c>
      <c r="V25" s="468">
        <f>(Data!T22+Data!CG22)/V$6*100000*V$3</f>
        <v>4027.6874744673382</v>
      </c>
      <c r="W25" s="468">
        <f>(Data!U22+Data!CH22)/W$6*100000*W$3</f>
        <v>19989.243883053401</v>
      </c>
      <c r="X25" s="468">
        <f>(Data!V22+Data!CI22)/X$6*100000*X$3</f>
        <v>25142.259006316352</v>
      </c>
      <c r="Y25" s="468">
        <f>(Data!W22+Data!CJ22)/Y$6*100000*Y$3</f>
        <v>71350.910573525412</v>
      </c>
      <c r="Z25" s="468">
        <f>(Data!X22+Data!CK22)/Z$6*100000*Z$3</f>
        <v>100245.65693953313</v>
      </c>
      <c r="AA25" s="468">
        <f>(Data!Y22+Data!CL22)/AA$6*100000*AA$3</f>
        <v>157775.85049513195</v>
      </c>
      <c r="AB25" s="468">
        <f>(Data!Z22+Data!CM22)/AB$6*100000*AB$3</f>
        <v>245786.51685393258</v>
      </c>
      <c r="AC25" s="468">
        <f>(Data!AA22+Data!CN22)/AC$6*100000*AC$3</f>
        <v>335116.01828689728</v>
      </c>
      <c r="AD25" s="468">
        <f>(Data!AB22+Data!CO22)/AD$6*100000*AD$3</f>
        <v>543195.21443069156</v>
      </c>
      <c r="AE25" s="468">
        <f>(Data!AC22+Data!CP22)/AE$6*100000*AE$3</f>
        <v>633178.55635289149</v>
      </c>
      <c r="AF25" s="468">
        <f>(Data!AD22+Data!CQ22)/AF$6*100000*AF$3</f>
        <v>803178.53633528447</v>
      </c>
      <c r="AG25" s="468">
        <f>(Data!AE22+Data!CR22)/AG$6*100000*AG$3</f>
        <v>722016.36276919697</v>
      </c>
      <c r="AH25" s="468">
        <f>(Data!AF22+Data!CS22)/AH$6*100000*AH$3</f>
        <v>702162.09486658091</v>
      </c>
      <c r="AI25" s="468">
        <f>(Data!AG22+Data!CT22)/AI$6*100000*AI$3</f>
        <v>352330.39724668965</v>
      </c>
      <c r="AJ25" s="468">
        <f>(Data!AH22+Data!CU22)/AJ$6*100000*AJ$3</f>
        <v>348387.09677419352</v>
      </c>
      <c r="AK25" s="474" t="s">
        <v>353</v>
      </c>
      <c r="AL25" s="468">
        <f t="shared" si="4"/>
        <v>3442960.1995763471</v>
      </c>
      <c r="AM25" s="468">
        <f>(Data!Q22+Data!CD22)/AM$6*100000*AM$3</f>
        <v>0</v>
      </c>
      <c r="AN25" s="468">
        <f>(Data!R22+Data!CE22)/AN$6*100000*AN$3</f>
        <v>0</v>
      </c>
      <c r="AO25" s="468">
        <f>(Data!S22+Data!CF22)/AO$6*100000*AO$3</f>
        <v>0</v>
      </c>
      <c r="AP25" s="468">
        <f>(Data!T22+Data!CG22)/AP$6*100000*AP$3</f>
        <v>5178.4553243151486</v>
      </c>
      <c r="AQ25" s="468">
        <f>(Data!U22+Data!CH22)/AQ$6*100000*AQ$3</f>
        <v>22844.85015206103</v>
      </c>
      <c r="AR25" s="468">
        <f>(Data!V22+Data!CI22)/AR$6*100000*AR$3</f>
        <v>28734.010292932977</v>
      </c>
      <c r="AS25" s="468">
        <f>(Data!W22+Data!CJ22)/AS$6*100000*AS$3</f>
        <v>61157.923348736069</v>
      </c>
      <c r="AT25" s="468">
        <f>(Data!X22+Data!CK22)/AT$6*100000*AT$3</f>
        <v>85924.848805314119</v>
      </c>
      <c r="AU25" s="468">
        <f>(Data!Y22+Data!CL22)/AU$6*100000*AU$3</f>
        <v>135236.44328154169</v>
      </c>
      <c r="AV25" s="468">
        <f>(Data!Z22+Data!CM22)/AV$6*100000*AV$3</f>
        <v>210674.1573033708</v>
      </c>
      <c r="AW25" s="468">
        <f>(Data!AA22+Data!CN22)/AW$6*100000*AW$3</f>
        <v>239368.5844906409</v>
      </c>
      <c r="AX25" s="468">
        <f>(Data!AB22+Data!CO22)/AX$6*100000*AX$3</f>
        <v>362130.14295379433</v>
      </c>
      <c r="AY25" s="468">
        <f>(Data!AC22+Data!CP22)/AY$6*100000*AY$3</f>
        <v>506542.84508231317</v>
      </c>
      <c r="AZ25" s="468">
        <f>(Data!AD22+Data!CQ22)/AZ$6*100000*AZ$3</f>
        <v>602383.90225146338</v>
      </c>
      <c r="BA25" s="468">
        <f>(Data!AE22+Data!CR22)/BA$6*100000*BA$3</f>
        <v>481344.24184613128</v>
      </c>
      <c r="BB25" s="468">
        <f>(Data!AF22+Data!CS22)/BB$6*100000*BB$3</f>
        <v>351081.04743329046</v>
      </c>
      <c r="BC25" s="468">
        <f>(Data!AG22+Data!CT22)/BC$6*100000*BC$3</f>
        <v>176165.19862334483</v>
      </c>
      <c r="BD25" s="468">
        <f>(Data!AH22+Data!CU22)/BD$6*100000*BD$3</f>
        <v>174193.54838709676</v>
      </c>
      <c r="BE25" s="460"/>
      <c r="BF25" s="460"/>
      <c r="BG25" s="460"/>
      <c r="BH25" s="460"/>
      <c r="BI25" s="460"/>
      <c r="BJ25" s="460"/>
      <c r="BK25" s="460"/>
      <c r="BL25" s="460"/>
      <c r="BM25" s="460"/>
      <c r="BN25" s="460"/>
      <c r="BO25" s="460"/>
      <c r="BP25" s="460"/>
      <c r="BQ25" s="460"/>
      <c r="BR25" s="460"/>
      <c r="BS25" s="460"/>
      <c r="BT25" s="460"/>
      <c r="BU25" s="460"/>
      <c r="BV25" s="460"/>
      <c r="BW25" s="460"/>
      <c r="BX25" s="460"/>
      <c r="BY25" s="460"/>
      <c r="BZ25" s="460"/>
      <c r="CA25" s="460"/>
      <c r="CB25" s="460"/>
      <c r="CC25" s="460"/>
      <c r="CD25" s="460"/>
      <c r="CE25" s="460"/>
      <c r="CF25" s="460"/>
      <c r="CG25" s="460"/>
      <c r="CH25" s="460"/>
      <c r="CI25" s="460"/>
      <c r="CJ25" s="460"/>
      <c r="CK25" s="460"/>
      <c r="CL25" s="460"/>
      <c r="CM25" s="460"/>
      <c r="CN25" s="460"/>
      <c r="CO25" s="460"/>
      <c r="CP25" s="460"/>
      <c r="CQ25" s="460"/>
      <c r="CR25" s="460"/>
      <c r="CS25" s="460"/>
      <c r="CT25" s="460"/>
      <c r="CU25" s="460"/>
      <c r="CV25" s="460"/>
      <c r="CW25" s="460"/>
      <c r="CX25" s="460"/>
      <c r="CY25" s="460"/>
    </row>
    <row r="26" spans="1:103" s="350" customFormat="1" ht="12" customHeight="1">
      <c r="A26" s="269"/>
      <c r="B26" s="125" t="str">
        <f>UPPER(LEFT(TRIM(Data!B23),1)) &amp; MID(TRIM(Data!B23),2,50)</f>
        <v>Krūties</v>
      </c>
      <c r="C26" s="125" t="str">
        <f>Data!C23</f>
        <v>C50</v>
      </c>
      <c r="D26" s="126">
        <f>Data!D23+Data!BQ23</f>
        <v>1669</v>
      </c>
      <c r="E26" s="127">
        <f t="shared" si="5"/>
        <v>56.916477371352222</v>
      </c>
      <c r="F26" s="128">
        <f t="shared" si="6"/>
        <v>44.095614292049447</v>
      </c>
      <c r="G26" s="129">
        <f t="shared" si="7"/>
        <v>32.184216104205191</v>
      </c>
      <c r="H26" s="274"/>
      <c r="I26" s="274"/>
      <c r="J26" s="274"/>
      <c r="K26" s="274"/>
      <c r="L26" s="274"/>
      <c r="M26" s="274"/>
      <c r="N26" s="274"/>
      <c r="O26" s="273"/>
      <c r="P26" s="359"/>
      <c r="Q26" s="474" t="s">
        <v>353</v>
      </c>
      <c r="R26" s="468">
        <f t="shared" si="3"/>
        <v>4409561.4292049445</v>
      </c>
      <c r="S26" s="468">
        <f>(Data!Q23+Data!CD23)/S$6*100000*S$3</f>
        <v>0</v>
      </c>
      <c r="T26" s="468">
        <f>(Data!R23+Data!CE23)/T$6*100000*T$3</f>
        <v>0</v>
      </c>
      <c r="U26" s="468">
        <f>(Data!S23+Data!CF23)/U$6*100000*U$3</f>
        <v>0</v>
      </c>
      <c r="V26" s="468">
        <f>(Data!T23+Data!CG23)/V$6*100000*V$3</f>
        <v>0</v>
      </c>
      <c r="W26" s="468">
        <f>(Data!U23+Data!CH23)/W$6*100000*W$3</f>
        <v>6663.0812943511346</v>
      </c>
      <c r="X26" s="468">
        <f>(Data!V23+Data!CI23)/X$6*100000*X$3</f>
        <v>17958.756433083105</v>
      </c>
      <c r="Y26" s="468">
        <f>(Data!W23+Data!CJ23)/Y$6*100000*Y$3</f>
        <v>51531.213191990573</v>
      </c>
      <c r="Z26" s="468">
        <f>(Data!X23+Data!CK23)/Z$6*100000*Z$3</f>
        <v>161935.29197924584</v>
      </c>
      <c r="AA26" s="468">
        <f>(Data!Y23+Data!CL23)/AA$6*100000*AA$3</f>
        <v>322411.52057700878</v>
      </c>
      <c r="AB26" s="468">
        <f>(Data!Z23+Data!CM23)/AB$6*100000*AB$3</f>
        <v>501537.35195870022</v>
      </c>
      <c r="AC26" s="468">
        <f>(Data!AA23+Data!CN23)/AC$6*100000*AC$3</f>
        <v>609850.77201759676</v>
      </c>
      <c r="AD26" s="468">
        <f>(Data!AB23+Data!CO23)/AD$6*100000*AD$3</f>
        <v>613284.91951852269</v>
      </c>
      <c r="AE26" s="468">
        <f>(Data!AC23+Data!CP23)/AE$6*100000*AE$3</f>
        <v>595070.58768350456</v>
      </c>
      <c r="AF26" s="468">
        <f>(Data!AD23+Data!CQ23)/AF$6*100000*AF$3</f>
        <v>603807.97767049749</v>
      </c>
      <c r="AG26" s="468">
        <f>(Data!AE23+Data!CR23)/AG$6*100000*AG$3</f>
        <v>389624.68356752396</v>
      </c>
      <c r="AH26" s="468">
        <f>(Data!AF23+Data!CS23)/AH$6*100000*AH$3</f>
        <v>282192.80408349587</v>
      </c>
      <c r="AI26" s="468">
        <f>(Data!AG23+Data!CT23)/AI$6*100000*AI$3</f>
        <v>129498.9208423263</v>
      </c>
      <c r="AJ26" s="468">
        <f>(Data!AH23+Data!CU23)/AJ$6*100000*AJ$3</f>
        <v>124193.54838709679</v>
      </c>
      <c r="AK26" s="474" t="s">
        <v>353</v>
      </c>
      <c r="AL26" s="468">
        <f t="shared" si="4"/>
        <v>3218421.610420519</v>
      </c>
      <c r="AM26" s="468">
        <f>(Data!Q23+Data!CD23)/AM$6*100000*AM$3</f>
        <v>0</v>
      </c>
      <c r="AN26" s="468">
        <f>(Data!R23+Data!CE23)/AN$6*100000*AN$3</f>
        <v>0</v>
      </c>
      <c r="AO26" s="468">
        <f>(Data!S23+Data!CF23)/AO$6*100000*AO$3</f>
        <v>0</v>
      </c>
      <c r="AP26" s="468">
        <f>(Data!T23+Data!CG23)/AP$6*100000*AP$3</f>
        <v>0</v>
      </c>
      <c r="AQ26" s="468">
        <f>(Data!U23+Data!CH23)/AQ$6*100000*AQ$3</f>
        <v>7614.9500506870118</v>
      </c>
      <c r="AR26" s="468">
        <f>(Data!V23+Data!CI23)/AR$6*100000*AR$3</f>
        <v>20524.293066380695</v>
      </c>
      <c r="AS26" s="468">
        <f>(Data!W23+Data!CJ23)/AS$6*100000*AS$3</f>
        <v>44169.611307420491</v>
      </c>
      <c r="AT26" s="468">
        <f>(Data!X23+Data!CK23)/AT$6*100000*AT$3</f>
        <v>138801.67883935358</v>
      </c>
      <c r="AU26" s="468">
        <f>(Data!Y23+Data!CL23)/AU$6*100000*AU$3</f>
        <v>276352.73192315042</v>
      </c>
      <c r="AV26" s="468">
        <f>(Data!Z23+Data!CM23)/AV$6*100000*AV$3</f>
        <v>429889.15882174304</v>
      </c>
      <c r="AW26" s="468">
        <f>(Data!AA23+Data!CN23)/AW$6*100000*AW$3</f>
        <v>435607.69429828343</v>
      </c>
      <c r="AX26" s="468">
        <f>(Data!AB23+Data!CO23)/AX$6*100000*AX$3</f>
        <v>408856.61301234842</v>
      </c>
      <c r="AY26" s="468">
        <f>(Data!AC23+Data!CP23)/AY$6*100000*AY$3</f>
        <v>476056.47014680365</v>
      </c>
      <c r="AZ26" s="468">
        <f>(Data!AD23+Data!CQ23)/AZ$6*100000*AZ$3</f>
        <v>452855.98325287312</v>
      </c>
      <c r="BA26" s="468">
        <f>(Data!AE23+Data!CR23)/BA$6*100000*BA$3</f>
        <v>259749.78904501596</v>
      </c>
      <c r="BB26" s="468">
        <f>(Data!AF23+Data!CS23)/BB$6*100000*BB$3</f>
        <v>141096.40204174793</v>
      </c>
      <c r="BC26" s="468">
        <f>(Data!AG23+Data!CT23)/BC$6*100000*BC$3</f>
        <v>64749.460421163152</v>
      </c>
      <c r="BD26" s="468">
        <f>(Data!AH23+Data!CU23)/BD$6*100000*BD$3</f>
        <v>62096.774193548394</v>
      </c>
      <c r="BE26" s="460"/>
      <c r="BF26" s="460"/>
      <c r="BG26" s="460"/>
      <c r="BH26" s="460"/>
      <c r="BI26" s="460"/>
      <c r="BJ26" s="460"/>
      <c r="BK26" s="460"/>
      <c r="BL26" s="460"/>
      <c r="BM26" s="460"/>
      <c r="BN26" s="460"/>
      <c r="BO26" s="460"/>
      <c r="BP26" s="460"/>
      <c r="BQ26" s="460"/>
      <c r="BR26" s="460"/>
      <c r="BS26" s="460"/>
      <c r="BT26" s="460"/>
      <c r="BU26" s="460"/>
      <c r="BV26" s="460"/>
      <c r="BW26" s="460"/>
      <c r="BX26" s="460"/>
      <c r="BY26" s="460"/>
      <c r="BZ26" s="460"/>
      <c r="CA26" s="460"/>
      <c r="CB26" s="460"/>
      <c r="CC26" s="460"/>
      <c r="CD26" s="460"/>
      <c r="CE26" s="460"/>
      <c r="CF26" s="460"/>
      <c r="CG26" s="460"/>
      <c r="CH26" s="460"/>
      <c r="CI26" s="460"/>
      <c r="CJ26" s="460"/>
      <c r="CK26" s="460"/>
      <c r="CL26" s="460"/>
      <c r="CM26" s="460"/>
      <c r="CN26" s="460"/>
      <c r="CO26" s="460"/>
      <c r="CP26" s="460"/>
      <c r="CQ26" s="460"/>
      <c r="CR26" s="460"/>
      <c r="CS26" s="460"/>
      <c r="CT26" s="460"/>
      <c r="CU26" s="460"/>
      <c r="CV26" s="460"/>
      <c r="CW26" s="460"/>
      <c r="CX26" s="460"/>
      <c r="CY26" s="460"/>
    </row>
    <row r="27" spans="1:103" s="350" customFormat="1" ht="12" customHeight="1">
      <c r="A27" s="269"/>
      <c r="B27" s="276" t="str">
        <f>UPPER(LEFT(TRIM(Data!B24),1)) &amp; MID(TRIM(Data!B24),2,50)</f>
        <v>Vulvos</v>
      </c>
      <c r="C27" s="276" t="str">
        <f>Data!C24</f>
        <v>C51</v>
      </c>
      <c r="D27" s="277">
        <f>Lent02m!D25</f>
        <v>46</v>
      </c>
      <c r="E27" s="278">
        <f>Lent02m!E25</f>
        <v>2.9091074668567285</v>
      </c>
      <c r="F27" s="279">
        <f>Lent02m!F25</f>
        <v>1.4743329119361581</v>
      </c>
      <c r="G27" s="279">
        <f>Lent02m!G25</f>
        <v>0.96653466441622904</v>
      </c>
      <c r="H27" s="274"/>
      <c r="I27" s="274"/>
      <c r="J27" s="274"/>
      <c r="K27" s="274"/>
      <c r="L27" s="274"/>
      <c r="M27" s="274"/>
      <c r="N27" s="274"/>
      <c r="O27" s="270"/>
      <c r="P27" s="359"/>
      <c r="Q27" s="474"/>
      <c r="R27" s="468"/>
      <c r="S27" s="468"/>
      <c r="T27" s="468"/>
      <c r="U27" s="468"/>
      <c r="V27" s="468"/>
      <c r="W27" s="468"/>
      <c r="X27" s="468"/>
      <c r="Y27" s="468"/>
      <c r="Z27" s="468"/>
      <c r="AA27" s="468"/>
      <c r="AB27" s="468"/>
      <c r="AC27" s="468"/>
      <c r="AD27" s="468"/>
      <c r="AE27" s="468"/>
      <c r="AF27" s="468"/>
      <c r="AG27" s="468"/>
      <c r="AH27" s="468"/>
      <c r="AI27" s="468"/>
      <c r="AJ27" s="468"/>
      <c r="AK27" s="474"/>
      <c r="AL27" s="468"/>
      <c r="AM27" s="468"/>
      <c r="AN27" s="468"/>
      <c r="AO27" s="468"/>
      <c r="AP27" s="468"/>
      <c r="AQ27" s="468"/>
      <c r="AR27" s="468"/>
      <c r="AS27" s="468"/>
      <c r="AT27" s="468"/>
      <c r="AU27" s="468"/>
      <c r="AV27" s="468"/>
      <c r="AW27" s="468"/>
      <c r="AX27" s="468"/>
      <c r="AY27" s="468"/>
      <c r="AZ27" s="468"/>
      <c r="BA27" s="468"/>
      <c r="BB27" s="468"/>
      <c r="BC27" s="468"/>
      <c r="BD27" s="468"/>
      <c r="BE27" s="460"/>
      <c r="BF27" s="460"/>
      <c r="BG27" s="460"/>
      <c r="BH27" s="460"/>
      <c r="BI27" s="460"/>
      <c r="BJ27" s="460"/>
      <c r="BK27" s="460"/>
      <c r="BL27" s="460"/>
      <c r="BM27" s="460"/>
      <c r="BN27" s="460"/>
      <c r="BO27" s="460"/>
      <c r="BP27" s="460"/>
      <c r="BQ27" s="460"/>
      <c r="BR27" s="460"/>
      <c r="BS27" s="460"/>
      <c r="BT27" s="460"/>
      <c r="BU27" s="460"/>
      <c r="BV27" s="460"/>
      <c r="BW27" s="460"/>
      <c r="BX27" s="460"/>
      <c r="BY27" s="460"/>
      <c r="BZ27" s="460"/>
      <c r="CA27" s="460"/>
      <c r="CB27" s="460"/>
      <c r="CC27" s="460"/>
      <c r="CD27" s="460"/>
      <c r="CE27" s="460"/>
      <c r="CF27" s="460"/>
      <c r="CG27" s="460"/>
      <c r="CH27" s="460"/>
      <c r="CI27" s="460"/>
      <c r="CJ27" s="460"/>
      <c r="CK27" s="460"/>
      <c r="CL27" s="460"/>
      <c r="CM27" s="460"/>
      <c r="CN27" s="460"/>
      <c r="CO27" s="460"/>
      <c r="CP27" s="460"/>
      <c r="CQ27" s="460"/>
      <c r="CR27" s="460"/>
      <c r="CS27" s="460"/>
      <c r="CT27" s="460"/>
      <c r="CU27" s="460"/>
      <c r="CV27" s="460"/>
      <c r="CW27" s="460"/>
      <c r="CX27" s="460"/>
      <c r="CY27" s="460"/>
    </row>
    <row r="28" spans="1:103" s="350" customFormat="1" ht="12" customHeight="1">
      <c r="A28" s="269"/>
      <c r="B28" s="125" t="str">
        <f>UPPER(LEFT(TRIM(Data!B25),1)) &amp; MID(TRIM(Data!B25),2,50)</f>
        <v>Gimdos kaklelio</v>
      </c>
      <c r="C28" s="125" t="str">
        <f>Data!C25</f>
        <v>C53</v>
      </c>
      <c r="D28" s="126">
        <f>Lent02m!D26</f>
        <v>366</v>
      </c>
      <c r="E28" s="127">
        <f>Lent02m!E26</f>
        <v>23.146376801512229</v>
      </c>
      <c r="F28" s="128">
        <f>Lent02m!F26</f>
        <v>19.079277562267471</v>
      </c>
      <c r="G28" s="129">
        <f>Lent02m!G26</f>
        <v>15.10170052003774</v>
      </c>
      <c r="H28" s="274"/>
      <c r="I28" s="274"/>
      <c r="J28" s="274"/>
      <c r="K28" s="274"/>
      <c r="L28" s="274"/>
      <c r="M28" s="274"/>
      <c r="N28" s="274"/>
      <c r="O28" s="270"/>
      <c r="P28" s="359"/>
      <c r="Q28" s="474"/>
      <c r="R28" s="468"/>
      <c r="S28" s="468"/>
      <c r="T28" s="468"/>
      <c r="U28" s="468"/>
      <c r="V28" s="468"/>
      <c r="W28" s="468"/>
      <c r="X28" s="468"/>
      <c r="Y28" s="468"/>
      <c r="Z28" s="468"/>
      <c r="AA28" s="468"/>
      <c r="AB28" s="468"/>
      <c r="AC28" s="468"/>
      <c r="AD28" s="468"/>
      <c r="AE28" s="468"/>
      <c r="AF28" s="468"/>
      <c r="AG28" s="468"/>
      <c r="AH28" s="468"/>
      <c r="AI28" s="468"/>
      <c r="AJ28" s="468"/>
      <c r="AK28" s="474"/>
      <c r="AL28" s="468"/>
      <c r="AM28" s="468"/>
      <c r="AN28" s="468"/>
      <c r="AO28" s="468"/>
      <c r="AP28" s="468"/>
      <c r="AQ28" s="468"/>
      <c r="AR28" s="468"/>
      <c r="AS28" s="468"/>
      <c r="AT28" s="468"/>
      <c r="AU28" s="468"/>
      <c r="AV28" s="468"/>
      <c r="AW28" s="468"/>
      <c r="AX28" s="468"/>
      <c r="AY28" s="468"/>
      <c r="AZ28" s="468"/>
      <c r="BA28" s="468"/>
      <c r="BB28" s="468"/>
      <c r="BC28" s="468"/>
      <c r="BD28" s="468"/>
      <c r="BE28" s="460"/>
      <c r="BF28" s="460"/>
      <c r="BG28" s="460"/>
      <c r="BH28" s="460"/>
      <c r="BI28" s="460"/>
      <c r="BJ28" s="460"/>
      <c r="BK28" s="460"/>
      <c r="BL28" s="460"/>
      <c r="BM28" s="460"/>
      <c r="BN28" s="460"/>
      <c r="BO28" s="460"/>
      <c r="BP28" s="460"/>
      <c r="BQ28" s="460"/>
      <c r="BR28" s="460"/>
      <c r="BS28" s="460"/>
      <c r="BT28" s="460"/>
      <c r="BU28" s="460"/>
      <c r="BV28" s="460"/>
      <c r="BW28" s="460"/>
      <c r="BX28" s="460"/>
      <c r="BY28" s="460"/>
      <c r="BZ28" s="460"/>
      <c r="CA28" s="460"/>
      <c r="CB28" s="460"/>
      <c r="CC28" s="460"/>
      <c r="CD28" s="460"/>
      <c r="CE28" s="460"/>
      <c r="CF28" s="460"/>
      <c r="CG28" s="460"/>
      <c r="CH28" s="460"/>
      <c r="CI28" s="460"/>
      <c r="CJ28" s="460"/>
      <c r="CK28" s="460"/>
      <c r="CL28" s="460"/>
      <c r="CM28" s="460"/>
      <c r="CN28" s="460"/>
      <c r="CO28" s="460"/>
      <c r="CP28" s="460"/>
      <c r="CQ28" s="460"/>
      <c r="CR28" s="460"/>
      <c r="CS28" s="460"/>
      <c r="CT28" s="460"/>
      <c r="CU28" s="460"/>
      <c r="CV28" s="460"/>
      <c r="CW28" s="460"/>
      <c r="CX28" s="460"/>
      <c r="CY28" s="460"/>
    </row>
    <row r="29" spans="1:103" s="350" customFormat="1" ht="12" customHeight="1">
      <c r="A29" s="269"/>
      <c r="B29" s="276" t="str">
        <f>UPPER(LEFT(TRIM(Data!B26),1)) &amp; MID(TRIM(Data!B26),2,50)</f>
        <v>Gimdos kūno</v>
      </c>
      <c r="C29" s="276" t="str">
        <f>Data!C26</f>
        <v>C54, C55</v>
      </c>
      <c r="D29" s="277">
        <f>Lent02m!D27</f>
        <v>616</v>
      </c>
      <c r="E29" s="278">
        <f>Lent02m!E27</f>
        <v>38.956743469211844</v>
      </c>
      <c r="F29" s="279">
        <f>Lent02m!F27</f>
        <v>27.088041497223141</v>
      </c>
      <c r="G29" s="279">
        <f>Lent02m!G27</f>
        <v>19.4223760392325</v>
      </c>
      <c r="H29" s="274"/>
      <c r="I29" s="274"/>
      <c r="J29" s="274"/>
      <c r="K29" s="274"/>
      <c r="L29" s="274"/>
      <c r="M29" s="274"/>
      <c r="N29" s="274"/>
      <c r="O29" s="270"/>
      <c r="P29" s="359"/>
      <c r="Q29" s="474"/>
      <c r="R29" s="468"/>
      <c r="S29" s="468"/>
      <c r="T29" s="468"/>
      <c r="U29" s="468"/>
      <c r="V29" s="468"/>
      <c r="W29" s="468"/>
      <c r="X29" s="468"/>
      <c r="Y29" s="468"/>
      <c r="Z29" s="468"/>
      <c r="AA29" s="468"/>
      <c r="AB29" s="468"/>
      <c r="AC29" s="468"/>
      <c r="AD29" s="468"/>
      <c r="AE29" s="468"/>
      <c r="AF29" s="468"/>
      <c r="AG29" s="468"/>
      <c r="AH29" s="468"/>
      <c r="AI29" s="468"/>
      <c r="AJ29" s="468"/>
      <c r="AK29" s="474"/>
      <c r="AL29" s="468"/>
      <c r="AM29" s="468"/>
      <c r="AN29" s="468"/>
      <c r="AO29" s="468"/>
      <c r="AP29" s="468"/>
      <c r="AQ29" s="468"/>
      <c r="AR29" s="468"/>
      <c r="AS29" s="468"/>
      <c r="AT29" s="468"/>
      <c r="AU29" s="468"/>
      <c r="AV29" s="468"/>
      <c r="AW29" s="468"/>
      <c r="AX29" s="468"/>
      <c r="AY29" s="468"/>
      <c r="AZ29" s="468"/>
      <c r="BA29" s="468"/>
      <c r="BB29" s="468"/>
      <c r="BC29" s="468"/>
      <c r="BD29" s="468"/>
      <c r="BE29" s="460"/>
      <c r="BF29" s="460"/>
      <c r="BG29" s="460"/>
      <c r="BH29" s="460"/>
      <c r="BI29" s="460"/>
      <c r="BJ29" s="460"/>
      <c r="BK29" s="460"/>
      <c r="BL29" s="460"/>
      <c r="BM29" s="460"/>
      <c r="BN29" s="460"/>
      <c r="BO29" s="460"/>
      <c r="BP29" s="460"/>
      <c r="BQ29" s="460"/>
      <c r="BR29" s="460"/>
      <c r="BS29" s="460"/>
      <c r="BT29" s="460"/>
      <c r="BU29" s="460"/>
      <c r="BV29" s="460"/>
      <c r="BW29" s="460"/>
      <c r="BX29" s="460"/>
      <c r="BY29" s="460"/>
      <c r="BZ29" s="460"/>
      <c r="CA29" s="460"/>
      <c r="CB29" s="460"/>
      <c r="CC29" s="460"/>
      <c r="CD29" s="460"/>
      <c r="CE29" s="460"/>
      <c r="CF29" s="460"/>
      <c r="CG29" s="460"/>
      <c r="CH29" s="460"/>
      <c r="CI29" s="460"/>
      <c r="CJ29" s="460"/>
      <c r="CK29" s="460"/>
      <c r="CL29" s="460"/>
      <c r="CM29" s="460"/>
      <c r="CN29" s="460"/>
      <c r="CO29" s="460"/>
      <c r="CP29" s="460"/>
      <c r="CQ29" s="460"/>
      <c r="CR29" s="460"/>
      <c r="CS29" s="460"/>
      <c r="CT29" s="460"/>
      <c r="CU29" s="460"/>
      <c r="CV29" s="460"/>
      <c r="CW29" s="460"/>
      <c r="CX29" s="460"/>
      <c r="CY29" s="460"/>
    </row>
    <row r="30" spans="1:103" s="350" customFormat="1" ht="12" customHeight="1">
      <c r="A30" s="269"/>
      <c r="B30" s="125" t="str">
        <f>UPPER(LEFT(TRIM(Data!B27),1)) &amp; MID(TRIM(Data!B27),2,50)</f>
        <v>Kiaušidžių</v>
      </c>
      <c r="C30" s="125" t="str">
        <f>Data!C27</f>
        <v>C56</v>
      </c>
      <c r="D30" s="126">
        <f>Lent02m!D28</f>
        <v>404</v>
      </c>
      <c r="E30" s="127">
        <f>Lent02m!E28</f>
        <v>25.549552535002569</v>
      </c>
      <c r="F30" s="128">
        <f>Lent02m!F28</f>
        <v>18.31537765793054</v>
      </c>
      <c r="G30" s="129">
        <f>Lent02m!G28</f>
        <v>13.695117413569003</v>
      </c>
      <c r="H30" s="274"/>
      <c r="I30" s="274"/>
      <c r="J30" s="274"/>
      <c r="K30" s="274"/>
      <c r="L30" s="274"/>
      <c r="M30" s="274"/>
      <c r="N30" s="274"/>
      <c r="O30" s="270"/>
      <c r="P30" s="359"/>
      <c r="Q30" s="474"/>
      <c r="R30" s="468"/>
      <c r="S30" s="468"/>
      <c r="T30" s="468"/>
      <c r="U30" s="468"/>
      <c r="V30" s="468"/>
      <c r="W30" s="468"/>
      <c r="X30" s="468"/>
      <c r="Y30" s="468"/>
      <c r="Z30" s="468"/>
      <c r="AA30" s="468"/>
      <c r="AB30" s="468"/>
      <c r="AC30" s="468"/>
      <c r="AD30" s="468"/>
      <c r="AE30" s="468"/>
      <c r="AF30" s="468"/>
      <c r="AG30" s="468"/>
      <c r="AH30" s="468"/>
      <c r="AI30" s="468"/>
      <c r="AJ30" s="468"/>
      <c r="AK30" s="474"/>
      <c r="AL30" s="468"/>
      <c r="AM30" s="468"/>
      <c r="AN30" s="468"/>
      <c r="AO30" s="468"/>
      <c r="AP30" s="468"/>
      <c r="AQ30" s="468"/>
      <c r="AR30" s="468"/>
      <c r="AS30" s="468"/>
      <c r="AT30" s="468"/>
      <c r="AU30" s="468"/>
      <c r="AV30" s="468"/>
      <c r="AW30" s="468"/>
      <c r="AX30" s="468"/>
      <c r="AY30" s="468"/>
      <c r="AZ30" s="468"/>
      <c r="BA30" s="468"/>
      <c r="BB30" s="468"/>
      <c r="BC30" s="468"/>
      <c r="BD30" s="468"/>
      <c r="BE30" s="460"/>
      <c r="BF30" s="460"/>
      <c r="BG30" s="460"/>
      <c r="BH30" s="460"/>
      <c r="BI30" s="460"/>
      <c r="BJ30" s="460"/>
      <c r="BK30" s="460"/>
      <c r="BL30" s="460"/>
      <c r="BM30" s="460"/>
      <c r="BN30" s="460"/>
      <c r="BO30" s="460"/>
      <c r="BP30" s="460"/>
      <c r="BQ30" s="460"/>
      <c r="BR30" s="460"/>
      <c r="BS30" s="460"/>
      <c r="BT30" s="460"/>
      <c r="BU30" s="460"/>
      <c r="BV30" s="460"/>
      <c r="BW30" s="460"/>
      <c r="BX30" s="460"/>
      <c r="BY30" s="460"/>
      <c r="BZ30" s="460"/>
      <c r="CA30" s="460"/>
      <c r="CB30" s="460"/>
      <c r="CC30" s="460"/>
      <c r="CD30" s="460"/>
      <c r="CE30" s="460"/>
      <c r="CF30" s="460"/>
      <c r="CG30" s="460"/>
      <c r="CH30" s="460"/>
      <c r="CI30" s="460"/>
      <c r="CJ30" s="460"/>
      <c r="CK30" s="460"/>
      <c r="CL30" s="460"/>
      <c r="CM30" s="460"/>
      <c r="CN30" s="460"/>
      <c r="CO30" s="460"/>
      <c r="CP30" s="460"/>
      <c r="CQ30" s="460"/>
      <c r="CR30" s="460"/>
      <c r="CS30" s="460"/>
      <c r="CT30" s="460"/>
      <c r="CU30" s="460"/>
      <c r="CV30" s="460"/>
      <c r="CW30" s="460"/>
      <c r="CX30" s="460"/>
      <c r="CY30" s="460"/>
    </row>
    <row r="31" spans="1:103" s="350" customFormat="1" ht="12" customHeight="1">
      <c r="A31" s="269"/>
      <c r="B31" s="276" t="str">
        <f>UPPER(LEFT(TRIM(Data!B28),1)) &amp; MID(TRIM(Data!B28),2,50)</f>
        <v>Priešinės liaukos</v>
      </c>
      <c r="C31" s="276" t="str">
        <f>Data!C28</f>
        <v>C61</v>
      </c>
      <c r="D31" s="277">
        <f>Lent02v!D25</f>
        <v>3230</v>
      </c>
      <c r="E31" s="278">
        <f>Lent02v!E25</f>
        <v>239.05986562319134</v>
      </c>
      <c r="F31" s="279">
        <f>Lent02v!F25</f>
        <v>205.37094050324191</v>
      </c>
      <c r="G31" s="279">
        <f>Lent02v!G25</f>
        <v>142.39634545116377</v>
      </c>
      <c r="H31" s="274"/>
      <c r="I31" s="274"/>
      <c r="J31" s="274"/>
      <c r="K31" s="274"/>
      <c r="L31" s="274"/>
      <c r="M31" s="274"/>
      <c r="N31" s="274"/>
      <c r="O31" s="270"/>
      <c r="P31" s="359"/>
      <c r="Q31" s="474"/>
      <c r="R31" s="468"/>
      <c r="S31" s="468"/>
      <c r="T31" s="468"/>
      <c r="U31" s="468"/>
      <c r="V31" s="468"/>
      <c r="W31" s="468"/>
      <c r="X31" s="468"/>
      <c r="Y31" s="468"/>
      <c r="Z31" s="468"/>
      <c r="AA31" s="468"/>
      <c r="AB31" s="468"/>
      <c r="AC31" s="468"/>
      <c r="AD31" s="468"/>
      <c r="AE31" s="468"/>
      <c r="AF31" s="468"/>
      <c r="AG31" s="468"/>
      <c r="AH31" s="468"/>
      <c r="AI31" s="468"/>
      <c r="AJ31" s="468"/>
      <c r="AK31" s="474"/>
      <c r="AL31" s="468"/>
      <c r="AM31" s="468"/>
      <c r="AN31" s="468"/>
      <c r="AO31" s="468"/>
      <c r="AP31" s="468"/>
      <c r="AQ31" s="468"/>
      <c r="AR31" s="468"/>
      <c r="AS31" s="468"/>
      <c r="AT31" s="468"/>
      <c r="AU31" s="468"/>
      <c r="AV31" s="468"/>
      <c r="AW31" s="468"/>
      <c r="AX31" s="468"/>
      <c r="AY31" s="468"/>
      <c r="AZ31" s="468"/>
      <c r="BA31" s="468"/>
      <c r="BB31" s="468"/>
      <c r="BC31" s="468"/>
      <c r="BD31" s="468"/>
      <c r="BE31" s="460"/>
      <c r="BF31" s="460"/>
      <c r="BG31" s="460"/>
      <c r="BH31" s="460"/>
      <c r="BI31" s="460"/>
      <c r="BJ31" s="460"/>
      <c r="BK31" s="460"/>
      <c r="BL31" s="460"/>
      <c r="BM31" s="460"/>
      <c r="BN31" s="460"/>
      <c r="BO31" s="460"/>
      <c r="BP31" s="460"/>
      <c r="BQ31" s="460"/>
      <c r="BR31" s="460"/>
      <c r="BS31" s="460"/>
      <c r="BT31" s="460"/>
      <c r="BU31" s="460"/>
      <c r="BV31" s="460"/>
      <c r="BW31" s="460"/>
      <c r="BX31" s="460"/>
      <c r="BY31" s="460"/>
      <c r="BZ31" s="460"/>
      <c r="CA31" s="460"/>
      <c r="CB31" s="460"/>
      <c r="CC31" s="460"/>
      <c r="CD31" s="460"/>
      <c r="CE31" s="460"/>
      <c r="CF31" s="460"/>
      <c r="CG31" s="460"/>
      <c r="CH31" s="460"/>
      <c r="CI31" s="460"/>
      <c r="CJ31" s="460"/>
      <c r="CK31" s="460"/>
      <c r="CL31" s="460"/>
      <c r="CM31" s="460"/>
      <c r="CN31" s="460"/>
      <c r="CO31" s="460"/>
      <c r="CP31" s="460"/>
      <c r="CQ31" s="460"/>
      <c r="CR31" s="460"/>
      <c r="CS31" s="460"/>
      <c r="CT31" s="460"/>
      <c r="CU31" s="460"/>
      <c r="CV31" s="460"/>
      <c r="CW31" s="460"/>
      <c r="CX31" s="460"/>
      <c r="CY31" s="460"/>
    </row>
    <row r="32" spans="1:103" s="350" customFormat="1" ht="12" customHeight="1">
      <c r="A32" s="269"/>
      <c r="B32" s="125" t="str">
        <f>UPPER(LEFT(TRIM(Data!B29),1)) &amp; MID(TRIM(Data!B29),2,50)</f>
        <v>Sėklidžių</v>
      </c>
      <c r="C32" s="125" t="str">
        <f>Data!C29</f>
        <v>C62</v>
      </c>
      <c r="D32" s="126">
        <f>Lent02v!D26</f>
        <v>31</v>
      </c>
      <c r="E32" s="127">
        <f>Lent02v!E26</f>
        <v>2.2943826112442514</v>
      </c>
      <c r="F32" s="128">
        <f>Lent02v!F26</f>
        <v>2.234892121767567</v>
      </c>
      <c r="G32" s="129">
        <f>Lent02v!G26</f>
        <v>2.2148254946921155</v>
      </c>
      <c r="H32" s="274"/>
      <c r="I32" s="274"/>
      <c r="J32" s="274"/>
      <c r="K32" s="274"/>
      <c r="L32" s="274"/>
      <c r="M32" s="274"/>
      <c r="N32" s="274"/>
      <c r="O32" s="270"/>
      <c r="P32" s="359"/>
      <c r="Q32" s="474"/>
      <c r="R32" s="468"/>
      <c r="S32" s="468"/>
      <c r="T32" s="468"/>
      <c r="U32" s="468"/>
      <c r="V32" s="468"/>
      <c r="W32" s="468"/>
      <c r="X32" s="468"/>
      <c r="Y32" s="468"/>
      <c r="Z32" s="468"/>
      <c r="AA32" s="468"/>
      <c r="AB32" s="468"/>
      <c r="AC32" s="468"/>
      <c r="AD32" s="468"/>
      <c r="AE32" s="468"/>
      <c r="AF32" s="468"/>
      <c r="AG32" s="468"/>
      <c r="AH32" s="468"/>
      <c r="AI32" s="468"/>
      <c r="AJ32" s="468"/>
      <c r="AK32" s="474"/>
      <c r="AL32" s="468"/>
      <c r="AM32" s="468"/>
      <c r="AN32" s="468"/>
      <c r="AO32" s="468"/>
      <c r="AP32" s="468"/>
      <c r="AQ32" s="468"/>
      <c r="AR32" s="468"/>
      <c r="AS32" s="468"/>
      <c r="AT32" s="468"/>
      <c r="AU32" s="468"/>
      <c r="AV32" s="468"/>
      <c r="AW32" s="468"/>
      <c r="AX32" s="468"/>
      <c r="AY32" s="468"/>
      <c r="AZ32" s="468"/>
      <c r="BA32" s="468"/>
      <c r="BB32" s="468"/>
      <c r="BC32" s="468"/>
      <c r="BD32" s="468"/>
      <c r="BE32" s="460"/>
      <c r="BF32" s="460"/>
      <c r="BG32" s="460"/>
      <c r="BH32" s="460"/>
      <c r="BI32" s="460"/>
      <c r="BJ32" s="460"/>
      <c r="BK32" s="460"/>
      <c r="BL32" s="460"/>
      <c r="BM32" s="460"/>
      <c r="BN32" s="460"/>
      <c r="BO32" s="460"/>
      <c r="BP32" s="460"/>
      <c r="BQ32" s="460"/>
      <c r="BR32" s="460"/>
      <c r="BS32" s="460"/>
      <c r="BT32" s="460"/>
      <c r="BU32" s="460"/>
      <c r="BV32" s="460"/>
      <c r="BW32" s="460"/>
      <c r="BX32" s="460"/>
      <c r="BY32" s="460"/>
      <c r="BZ32" s="460"/>
      <c r="CA32" s="460"/>
      <c r="CB32" s="460"/>
      <c r="CC32" s="460"/>
      <c r="CD32" s="460"/>
      <c r="CE32" s="460"/>
      <c r="CF32" s="460"/>
      <c r="CG32" s="460"/>
      <c r="CH32" s="460"/>
      <c r="CI32" s="460"/>
      <c r="CJ32" s="460"/>
      <c r="CK32" s="460"/>
      <c r="CL32" s="460"/>
      <c r="CM32" s="460"/>
      <c r="CN32" s="460"/>
      <c r="CO32" s="460"/>
      <c r="CP32" s="460"/>
      <c r="CQ32" s="460"/>
      <c r="CR32" s="460"/>
      <c r="CS32" s="460"/>
      <c r="CT32" s="460"/>
      <c r="CU32" s="460"/>
      <c r="CV32" s="460"/>
      <c r="CW32" s="460"/>
      <c r="CX32" s="460"/>
      <c r="CY32" s="460"/>
    </row>
    <row r="33" spans="1:103" s="350" customFormat="1" ht="12" customHeight="1">
      <c r="A33" s="269"/>
      <c r="B33" s="276" t="str">
        <f>UPPER(LEFT(TRIM(Data!B30),1)) &amp; MID(TRIM(Data!B30),2,50)</f>
        <v>Kitų lyties organų</v>
      </c>
      <c r="C33" s="276" t="str">
        <f>Data!C30</f>
        <v>C52, C57-C58, C60, C63</v>
      </c>
      <c r="D33" s="277">
        <f>Data!D30+Data!BQ30</f>
        <v>54</v>
      </c>
      <c r="E33" s="278">
        <f t="shared" si="5"/>
        <v>1.8415157447891071</v>
      </c>
      <c r="F33" s="279">
        <f t="shared" si="6"/>
        <v>1.2938760851045601</v>
      </c>
      <c r="G33" s="279">
        <f t="shared" si="7"/>
        <v>0.91888667180993622</v>
      </c>
      <c r="H33" s="274"/>
      <c r="I33" s="274"/>
      <c r="J33" s="274"/>
      <c r="K33" s="274"/>
      <c r="L33" s="274"/>
      <c r="M33" s="274"/>
      <c r="N33" s="274"/>
      <c r="O33" s="270"/>
      <c r="P33" s="359"/>
      <c r="Q33" s="474" t="s">
        <v>353</v>
      </c>
      <c r="R33" s="468">
        <f t="shared" si="3"/>
        <v>129387.60851045602</v>
      </c>
      <c r="S33" s="468">
        <f>(Data!Q30+Data!CD30)/S$6*100000*S$3</f>
        <v>0</v>
      </c>
      <c r="T33" s="468">
        <f>(Data!R30+Data!CE30)/T$6*100000*T$3</f>
        <v>0</v>
      </c>
      <c r="U33" s="468">
        <f>(Data!S30+Data!CF30)/U$6*100000*U$3</f>
        <v>0</v>
      </c>
      <c r="V33" s="468">
        <f>(Data!T30+Data!CG30)/V$6*100000*V$3</f>
        <v>0</v>
      </c>
      <c r="W33" s="468">
        <f>(Data!U30+Data!CH30)/W$6*100000*W$3</f>
        <v>0</v>
      </c>
      <c r="X33" s="468">
        <f>(Data!V30+Data!CI30)/X$6*100000*X$3</f>
        <v>3591.7512866166221</v>
      </c>
      <c r="Y33" s="468">
        <f>(Data!W30+Data!CJ30)/Y$6*100000*Y$3</f>
        <v>7927.8789526139344</v>
      </c>
      <c r="Z33" s="468">
        <f>(Data!X30+Data!CK30)/Z$6*100000*Z$3</f>
        <v>0</v>
      </c>
      <c r="AA33" s="468">
        <f>(Data!Y30+Data!CL30)/AA$6*100000*AA$3</f>
        <v>3429.9097933724343</v>
      </c>
      <c r="AB33" s="468">
        <f>(Data!Z30+Data!CM30)/AB$6*100000*AB$3</f>
        <v>6642.8788338900704</v>
      </c>
      <c r="AC33" s="468">
        <f>(Data!AA30+Data!CN30)/AC$6*100000*AC$3</f>
        <v>15095.316139049424</v>
      </c>
      <c r="AD33" s="468">
        <f>(Data!AB30+Data!CO30)/AD$6*100000*AD$3</f>
        <v>8761.2131359788946</v>
      </c>
      <c r="AE33" s="468">
        <f>(Data!AC30+Data!CP30)/AE$6*100000*AE$3</f>
        <v>14656.911026687303</v>
      </c>
      <c r="AF33" s="468">
        <f>(Data!AD30+Data!CQ30)/AF$6*100000*AF$3</f>
        <v>22785.206704547072</v>
      </c>
      <c r="AG33" s="468">
        <f>(Data!AE30+Data!CR30)/AG$6*100000*AG$3</f>
        <v>22012.693986865757</v>
      </c>
      <c r="AH33" s="468">
        <f>(Data!AF30+Data!CS30)/AH$6*100000*AH$3</f>
        <v>6639.8306843175496</v>
      </c>
      <c r="AI33" s="468">
        <f>(Data!AG30+Data!CT30)/AI$6*100000*AI$3</f>
        <v>8166.598611678236</v>
      </c>
      <c r="AJ33" s="468">
        <f>(Data!AH30+Data!CU30)/AJ$6*100000*AJ$3</f>
        <v>9677.4193548387102</v>
      </c>
      <c r="AK33" s="474" t="s">
        <v>353</v>
      </c>
      <c r="AL33" s="468">
        <f t="shared" si="4"/>
        <v>91888.667180993623</v>
      </c>
      <c r="AM33" s="468">
        <f>(Data!Q30+Data!CD30)/AM$6*100000*AM$3</f>
        <v>0</v>
      </c>
      <c r="AN33" s="468">
        <f>(Data!R30+Data!CE30)/AN$6*100000*AN$3</f>
        <v>0</v>
      </c>
      <c r="AO33" s="468">
        <f>(Data!S30+Data!CF30)/AO$6*100000*AO$3</f>
        <v>0</v>
      </c>
      <c r="AP33" s="468">
        <f>(Data!T30+Data!CG30)/AP$6*100000*AP$3</f>
        <v>0</v>
      </c>
      <c r="AQ33" s="468">
        <f>(Data!U30+Data!CH30)/AQ$6*100000*AQ$3</f>
        <v>0</v>
      </c>
      <c r="AR33" s="468">
        <f>(Data!V30+Data!CI30)/AR$6*100000*AR$3</f>
        <v>4104.8586132761393</v>
      </c>
      <c r="AS33" s="468">
        <f>(Data!W30+Data!CJ30)/AS$6*100000*AS$3</f>
        <v>6795.3248165262294</v>
      </c>
      <c r="AT33" s="468">
        <f>(Data!X30+Data!CK30)/AT$6*100000*AT$3</f>
        <v>0</v>
      </c>
      <c r="AU33" s="468">
        <f>(Data!Y30+Data!CL30)/AU$6*100000*AU$3</f>
        <v>2939.922680033515</v>
      </c>
      <c r="AV33" s="468">
        <f>(Data!Z30+Data!CM30)/AV$6*100000*AV$3</f>
        <v>5693.8961433343466</v>
      </c>
      <c r="AW33" s="468">
        <f>(Data!AA30+Data!CN30)/AW$6*100000*AW$3</f>
        <v>10782.368670749589</v>
      </c>
      <c r="AX33" s="468">
        <f>(Data!AB30+Data!CO30)/AX$6*100000*AX$3</f>
        <v>5840.8087573192633</v>
      </c>
      <c r="AY33" s="468">
        <f>(Data!AC30+Data!CP30)/AY$6*100000*AY$3</f>
        <v>11725.528821349842</v>
      </c>
      <c r="AZ33" s="468">
        <f>(Data!AD30+Data!CQ30)/AZ$6*100000*AZ$3</f>
        <v>17088.905028410303</v>
      </c>
      <c r="BA33" s="468">
        <f>(Data!AE30+Data!CR30)/BA$6*100000*BA$3</f>
        <v>14675.129324577172</v>
      </c>
      <c r="BB33" s="468">
        <f>(Data!AF30+Data!CS30)/BB$6*100000*BB$3</f>
        <v>3319.9153421587748</v>
      </c>
      <c r="BC33" s="468">
        <f>(Data!AG30+Data!CT30)/BC$6*100000*BC$3</f>
        <v>4083.299305839118</v>
      </c>
      <c r="BD33" s="468">
        <f>(Data!AH30+Data!CU30)/BD$6*100000*BD$3</f>
        <v>4838.7096774193551</v>
      </c>
      <c r="BE33" s="460"/>
      <c r="BF33" s="460"/>
      <c r="BG33" s="460"/>
      <c r="BH33" s="460"/>
      <c r="BI33" s="460"/>
      <c r="BJ33" s="460"/>
      <c r="BK33" s="460"/>
      <c r="BL33" s="460"/>
      <c r="BM33" s="460"/>
      <c r="BN33" s="460"/>
      <c r="BO33" s="460"/>
      <c r="BP33" s="460"/>
      <c r="BQ33" s="460"/>
      <c r="BR33" s="460"/>
      <c r="BS33" s="460"/>
      <c r="BT33" s="460"/>
      <c r="BU33" s="460"/>
      <c r="BV33" s="460"/>
      <c r="BW33" s="460"/>
      <c r="BX33" s="460"/>
      <c r="BY33" s="460"/>
      <c r="BZ33" s="460"/>
      <c r="CA33" s="460"/>
      <c r="CB33" s="460"/>
      <c r="CC33" s="460"/>
      <c r="CD33" s="460"/>
      <c r="CE33" s="460"/>
      <c r="CF33" s="460"/>
      <c r="CG33" s="460"/>
      <c r="CH33" s="460"/>
      <c r="CI33" s="460"/>
      <c r="CJ33" s="460"/>
      <c r="CK33" s="460"/>
      <c r="CL33" s="460"/>
      <c r="CM33" s="460"/>
      <c r="CN33" s="460"/>
      <c r="CO33" s="460"/>
      <c r="CP33" s="460"/>
      <c r="CQ33" s="460"/>
      <c r="CR33" s="460"/>
      <c r="CS33" s="460"/>
      <c r="CT33" s="460"/>
      <c r="CU33" s="460"/>
      <c r="CV33" s="460"/>
      <c r="CW33" s="460"/>
      <c r="CX33" s="460"/>
      <c r="CY33" s="460"/>
    </row>
    <row r="34" spans="1:103" s="350" customFormat="1" ht="12" customHeight="1">
      <c r="A34" s="269"/>
      <c r="B34" s="125" t="str">
        <f>UPPER(LEFT(TRIM(Data!B31),1)) &amp; MID(TRIM(Data!B31),2,50)</f>
        <v>Inkstų</v>
      </c>
      <c r="C34" s="125" t="str">
        <f>Data!C31</f>
        <v>C64</v>
      </c>
      <c r="D34" s="126">
        <f>Data!D31+Data!BQ31</f>
        <v>687</v>
      </c>
      <c r="E34" s="127">
        <f t="shared" ref="E34:E46" si="8">D34/$R$6*100000</f>
        <v>23.428172530928087</v>
      </c>
      <c r="F34" s="128">
        <f t="shared" ref="F34:F46" si="9">R34/$R$3</f>
        <v>17.067557417362462</v>
      </c>
      <c r="G34" s="129">
        <f t="shared" ref="G34:G46" si="10">AL34/$AL$3</f>
        <v>12.136410078122138</v>
      </c>
      <c r="H34" s="274"/>
      <c r="I34" s="274"/>
      <c r="J34" s="274"/>
      <c r="K34" s="274"/>
      <c r="L34" s="274"/>
      <c r="M34" s="274"/>
      <c r="N34" s="274"/>
      <c r="O34" s="270"/>
      <c r="P34" s="359"/>
      <c r="Q34" s="474" t="s">
        <v>353</v>
      </c>
      <c r="R34" s="468">
        <f t="shared" si="3"/>
        <v>1706755.741736246</v>
      </c>
      <c r="S34" s="468">
        <f>(Data!Q31+Data!CD31)/S$6*100000*S$3</f>
        <v>0</v>
      </c>
      <c r="T34" s="468">
        <f>(Data!R31+Data!CE31)/T$6*100000*T$3</f>
        <v>5115.6876214975809</v>
      </c>
      <c r="U34" s="468">
        <f>(Data!S31+Data!CF31)/U$6*100000*U$3</f>
        <v>0</v>
      </c>
      <c r="V34" s="468">
        <f>(Data!T31+Data!CG31)/V$6*100000*V$3</f>
        <v>0</v>
      </c>
      <c r="W34" s="468">
        <f>(Data!U31+Data!CH31)/W$6*100000*W$3</f>
        <v>3331.5406471755673</v>
      </c>
      <c r="X34" s="468">
        <f>(Data!V31+Data!CI31)/X$6*100000*X$3</f>
        <v>7183.5025732332442</v>
      </c>
      <c r="Y34" s="468">
        <f>(Data!W31+Data!CJ31)/Y$6*100000*Y$3</f>
        <v>23783.636857841804</v>
      </c>
      <c r="Z34" s="468">
        <f>(Data!X31+Data!CK31)/Z$6*100000*Z$3</f>
        <v>34700.419709838396</v>
      </c>
      <c r="AA34" s="468">
        <f>(Data!Y31+Data!CL31)/AA$6*100000*AA$3</f>
        <v>58308.466487331374</v>
      </c>
      <c r="AB34" s="468">
        <f>(Data!Z31+Data!CM31)/AB$6*100000*AB$3</f>
        <v>112928.94017613119</v>
      </c>
      <c r="AC34" s="468">
        <f>(Data!AA31+Data!CN31)/AC$6*100000*AC$3</f>
        <v>126800.65556801519</v>
      </c>
      <c r="AD34" s="468">
        <f>(Data!AB31+Data!CO31)/AD$6*100000*AD$3</f>
        <v>268677.20283668616</v>
      </c>
      <c r="AE34" s="468">
        <f>(Data!AC31+Data!CP31)/AE$6*100000*AE$3</f>
        <v>266755.78068570892</v>
      </c>
      <c r="AF34" s="468">
        <f>(Data!AD31+Data!CQ31)/AF$6*100000*AF$3</f>
        <v>301903.98883524875</v>
      </c>
      <c r="AG34" s="468">
        <f>(Data!AE31+Data!CR31)/AG$6*100000*AG$3</f>
        <v>235535.82565946362</v>
      </c>
      <c r="AH34" s="468">
        <f>(Data!AF31+Data!CS31)/AH$6*100000*AH$3</f>
        <v>134456.5713574304</v>
      </c>
      <c r="AI34" s="468">
        <f>(Data!AG31+Data!CT31)/AI$6*100000*AI$3</f>
        <v>80499.329172256912</v>
      </c>
      <c r="AJ34" s="468">
        <f>(Data!AH31+Data!CU31)/AJ$6*100000*AJ$3</f>
        <v>46774.193548387098</v>
      </c>
      <c r="AK34" s="474" t="s">
        <v>353</v>
      </c>
      <c r="AL34" s="468">
        <f t="shared" si="4"/>
        <v>1213641.0078122139</v>
      </c>
      <c r="AM34" s="468">
        <f>(Data!Q31+Data!CD31)/AM$6*100000*AM$3</f>
        <v>0</v>
      </c>
      <c r="AN34" s="468">
        <f>(Data!R31+Data!CE31)/AN$6*100000*AN$3</f>
        <v>7308.1251735679734</v>
      </c>
      <c r="AO34" s="468">
        <f>(Data!S31+Data!CF31)/AO$6*100000*AO$3</f>
        <v>0</v>
      </c>
      <c r="AP34" s="468">
        <f>(Data!T31+Data!CG31)/AP$6*100000*AP$3</f>
        <v>0</v>
      </c>
      <c r="AQ34" s="468">
        <f>(Data!U31+Data!CH31)/AQ$6*100000*AQ$3</f>
        <v>3807.4750253435059</v>
      </c>
      <c r="AR34" s="468">
        <f>(Data!V31+Data!CI31)/AR$6*100000*AR$3</f>
        <v>8209.7172265522786</v>
      </c>
      <c r="AS34" s="468">
        <f>(Data!W31+Data!CJ31)/AS$6*100000*AS$3</f>
        <v>20385.974449578687</v>
      </c>
      <c r="AT34" s="468">
        <f>(Data!X31+Data!CK31)/AT$6*100000*AT$3</f>
        <v>29743.216894147197</v>
      </c>
      <c r="AU34" s="468">
        <f>(Data!Y31+Data!CL31)/AU$6*100000*AU$3</f>
        <v>49978.685560569749</v>
      </c>
      <c r="AV34" s="468">
        <f>(Data!Z31+Data!CM31)/AV$6*100000*AV$3</f>
        <v>96796.234436683881</v>
      </c>
      <c r="AW34" s="468">
        <f>(Data!AA31+Data!CN31)/AW$6*100000*AW$3</f>
        <v>90571.896834296567</v>
      </c>
      <c r="AX34" s="468">
        <f>(Data!AB31+Data!CO31)/AX$6*100000*AX$3</f>
        <v>179118.13522445742</v>
      </c>
      <c r="AY34" s="468">
        <f>(Data!AC31+Data!CP31)/AY$6*100000*AY$3</f>
        <v>213404.62454856714</v>
      </c>
      <c r="AZ34" s="468">
        <f>(Data!AD31+Data!CQ31)/AZ$6*100000*AZ$3</f>
        <v>226427.99162643656</v>
      </c>
      <c r="BA34" s="468">
        <f>(Data!AE31+Data!CR31)/BA$6*100000*BA$3</f>
        <v>157023.88377297577</v>
      </c>
      <c r="BB34" s="468">
        <f>(Data!AF31+Data!CS31)/BB$6*100000*BB$3</f>
        <v>67228.285678715198</v>
      </c>
      <c r="BC34" s="468">
        <f>(Data!AG31+Data!CT31)/BC$6*100000*BC$3</f>
        <v>40249.664586128456</v>
      </c>
      <c r="BD34" s="468">
        <f>(Data!AH31+Data!CU31)/BD$6*100000*BD$3</f>
        <v>23387.096774193549</v>
      </c>
      <c r="BE34" s="460"/>
      <c r="BF34" s="460"/>
      <c r="BG34" s="460"/>
      <c r="BH34" s="460"/>
      <c r="BI34" s="460"/>
      <c r="BJ34" s="460"/>
      <c r="BK34" s="460"/>
      <c r="BL34" s="460"/>
      <c r="BM34" s="460"/>
      <c r="BN34" s="460"/>
      <c r="BO34" s="460"/>
      <c r="BP34" s="460"/>
      <c r="BQ34" s="460"/>
      <c r="BR34" s="460"/>
      <c r="BS34" s="460"/>
      <c r="BT34" s="460"/>
      <c r="BU34" s="460"/>
      <c r="BV34" s="460"/>
      <c r="BW34" s="460"/>
      <c r="BX34" s="460"/>
      <c r="BY34" s="460"/>
      <c r="BZ34" s="460"/>
      <c r="CA34" s="460"/>
      <c r="CB34" s="460"/>
      <c r="CC34" s="460"/>
      <c r="CD34" s="460"/>
      <c r="CE34" s="460"/>
      <c r="CF34" s="460"/>
      <c r="CG34" s="460"/>
      <c r="CH34" s="460"/>
      <c r="CI34" s="460"/>
      <c r="CJ34" s="460"/>
      <c r="CK34" s="460"/>
      <c r="CL34" s="460"/>
      <c r="CM34" s="460"/>
      <c r="CN34" s="460"/>
      <c r="CO34" s="460"/>
      <c r="CP34" s="460"/>
      <c r="CQ34" s="460"/>
      <c r="CR34" s="460"/>
      <c r="CS34" s="460"/>
      <c r="CT34" s="460"/>
      <c r="CU34" s="460"/>
      <c r="CV34" s="460"/>
      <c r="CW34" s="460"/>
      <c r="CX34" s="460"/>
      <c r="CY34" s="460"/>
    </row>
    <row r="35" spans="1:103" s="350" customFormat="1" ht="12" customHeight="1">
      <c r="A35" s="269"/>
      <c r="B35" s="276" t="str">
        <f>UPPER(LEFT(TRIM(Data!B32),1)) &amp; MID(TRIM(Data!B32),2,50)</f>
        <v>Šlapimo pūslės</v>
      </c>
      <c r="C35" s="276" t="str">
        <f>Data!C32</f>
        <v>C67</v>
      </c>
      <c r="D35" s="277">
        <f>Data!D32+Data!BQ32</f>
        <v>339</v>
      </c>
      <c r="E35" s="278">
        <f t="shared" si="8"/>
        <v>11.560626620064951</v>
      </c>
      <c r="F35" s="279">
        <f t="shared" si="9"/>
        <v>7.3816418445792387</v>
      </c>
      <c r="G35" s="279">
        <f t="shared" si="10"/>
        <v>4.9002806299352235</v>
      </c>
      <c r="H35" s="274"/>
      <c r="I35" s="274"/>
      <c r="J35" s="274"/>
      <c r="K35" s="274"/>
      <c r="L35" s="274"/>
      <c r="M35" s="274"/>
      <c r="N35" s="274"/>
      <c r="O35" s="270"/>
      <c r="P35" s="359"/>
      <c r="Q35" s="474" t="s">
        <v>353</v>
      </c>
      <c r="R35" s="468">
        <f t="shared" si="3"/>
        <v>738164.18445792387</v>
      </c>
      <c r="S35" s="468">
        <f>(Data!Q32+Data!CD32)/S$6*100000*S$3</f>
        <v>0</v>
      </c>
      <c r="T35" s="468">
        <f>(Data!R32+Data!CE32)/T$6*100000*T$3</f>
        <v>0</v>
      </c>
      <c r="U35" s="468">
        <f>(Data!S32+Data!CF32)/U$6*100000*U$3</f>
        <v>0</v>
      </c>
      <c r="V35" s="468">
        <f>(Data!T32+Data!CG32)/V$6*100000*V$3</f>
        <v>0</v>
      </c>
      <c r="W35" s="468">
        <f>(Data!U32+Data!CH32)/W$6*100000*W$3</f>
        <v>0</v>
      </c>
      <c r="X35" s="468">
        <f>(Data!V32+Data!CI32)/X$6*100000*X$3</f>
        <v>0</v>
      </c>
      <c r="Y35" s="468">
        <f>(Data!W32+Data!CJ32)/Y$6*100000*Y$3</f>
        <v>7927.8789526139344</v>
      </c>
      <c r="Z35" s="468">
        <f>(Data!X32+Data!CK32)/Z$6*100000*Z$3</f>
        <v>11566.806569946131</v>
      </c>
      <c r="AA35" s="468">
        <f>(Data!Y32+Data!CL32)/AA$6*100000*AA$3</f>
        <v>6859.8195867448685</v>
      </c>
      <c r="AB35" s="468">
        <f>(Data!Z32+Data!CM32)/AB$6*100000*AB$3</f>
        <v>26571.515335560282</v>
      </c>
      <c r="AC35" s="468">
        <f>(Data!AA32+Data!CN32)/AC$6*100000*AC$3</f>
        <v>42266.885189338391</v>
      </c>
      <c r="AD35" s="468">
        <f>(Data!AB32+Data!CO32)/AD$6*100000*AD$3</f>
        <v>58408.087573192635</v>
      </c>
      <c r="AE35" s="468">
        <f>(Data!AC32+Data!CP32)/AE$6*100000*AE$3</f>
        <v>82078.701749448897</v>
      </c>
      <c r="AF35" s="468">
        <f>(Data!AD32+Data!CQ32)/AF$6*100000*AF$3</f>
        <v>153800.14525569274</v>
      </c>
      <c r="AG35" s="468">
        <f>(Data!AE32+Data!CR32)/AG$6*100000*AG$3</f>
        <v>121069.81692776168</v>
      </c>
      <c r="AH35" s="468">
        <f>(Data!AF32+Data!CS32)/AH$6*100000*AH$3</f>
        <v>111217.16396231897</v>
      </c>
      <c r="AI35" s="468">
        <f>(Data!AG32+Data!CT32)/AI$6*100000*AI$3</f>
        <v>58332.847226273108</v>
      </c>
      <c r="AJ35" s="468">
        <f>(Data!AH32+Data!CU32)/AJ$6*100000*AJ$3</f>
        <v>58064.516129032258</v>
      </c>
      <c r="AK35" s="474" t="s">
        <v>353</v>
      </c>
      <c r="AL35" s="468">
        <f t="shared" si="4"/>
        <v>490028.06299352233</v>
      </c>
      <c r="AM35" s="468">
        <f>(Data!Q32+Data!CD32)/AM$6*100000*AM$3</f>
        <v>0</v>
      </c>
      <c r="AN35" s="468">
        <f>(Data!R32+Data!CE32)/AN$6*100000*AN$3</f>
        <v>0</v>
      </c>
      <c r="AO35" s="468">
        <f>(Data!S32+Data!CF32)/AO$6*100000*AO$3</f>
        <v>0</v>
      </c>
      <c r="AP35" s="468">
        <f>(Data!T32+Data!CG32)/AP$6*100000*AP$3</f>
        <v>0</v>
      </c>
      <c r="AQ35" s="468">
        <f>(Data!U32+Data!CH32)/AQ$6*100000*AQ$3</f>
        <v>0</v>
      </c>
      <c r="AR35" s="468">
        <f>(Data!V32+Data!CI32)/AR$6*100000*AR$3</f>
        <v>0</v>
      </c>
      <c r="AS35" s="468">
        <f>(Data!W32+Data!CJ32)/AS$6*100000*AS$3</f>
        <v>6795.3248165262294</v>
      </c>
      <c r="AT35" s="468">
        <f>(Data!X32+Data!CK32)/AT$6*100000*AT$3</f>
        <v>9914.4056313823985</v>
      </c>
      <c r="AU35" s="468">
        <f>(Data!Y32+Data!CL32)/AU$6*100000*AU$3</f>
        <v>5879.84536006703</v>
      </c>
      <c r="AV35" s="468">
        <f>(Data!Z32+Data!CM32)/AV$6*100000*AV$3</f>
        <v>22775.584573337386</v>
      </c>
      <c r="AW35" s="468">
        <f>(Data!AA32+Data!CN32)/AW$6*100000*AW$3</f>
        <v>30190.632278098852</v>
      </c>
      <c r="AX35" s="468">
        <f>(Data!AB32+Data!CO32)/AX$6*100000*AX$3</f>
        <v>38938.725048795095</v>
      </c>
      <c r="AY35" s="468">
        <f>(Data!AC32+Data!CP32)/AY$6*100000*AY$3</f>
        <v>65662.961399559121</v>
      </c>
      <c r="AZ35" s="468">
        <f>(Data!AD32+Data!CQ32)/AZ$6*100000*AZ$3</f>
        <v>115350.10894176956</v>
      </c>
      <c r="BA35" s="468">
        <f>(Data!AE32+Data!CR32)/BA$6*100000*BA$3</f>
        <v>80713.211285174446</v>
      </c>
      <c r="BB35" s="468">
        <f>(Data!AF32+Data!CS32)/BB$6*100000*BB$3</f>
        <v>55608.581981159485</v>
      </c>
      <c r="BC35" s="468">
        <f>(Data!AG32+Data!CT32)/BC$6*100000*BC$3</f>
        <v>29166.423613136554</v>
      </c>
      <c r="BD35" s="468">
        <f>(Data!AH32+Data!CU32)/BD$6*100000*BD$3</f>
        <v>29032.258064516129</v>
      </c>
      <c r="BE35" s="460"/>
      <c r="BF35" s="460"/>
      <c r="BG35" s="460"/>
      <c r="BH35" s="460"/>
      <c r="BI35" s="460"/>
      <c r="BJ35" s="460"/>
      <c r="BK35" s="460"/>
      <c r="BL35" s="460"/>
      <c r="BM35" s="460"/>
      <c r="BN35" s="460"/>
      <c r="BO35" s="460"/>
      <c r="BP35" s="460"/>
      <c r="BQ35" s="460"/>
      <c r="BR35" s="460"/>
      <c r="BS35" s="460"/>
      <c r="BT35" s="460"/>
      <c r="BU35" s="460"/>
      <c r="BV35" s="460"/>
      <c r="BW35" s="460"/>
      <c r="BX35" s="460"/>
      <c r="BY35" s="460"/>
      <c r="BZ35" s="460"/>
      <c r="CA35" s="460"/>
      <c r="CB35" s="460"/>
      <c r="CC35" s="460"/>
      <c r="CD35" s="460"/>
      <c r="CE35" s="460"/>
      <c r="CF35" s="460"/>
      <c r="CG35" s="460"/>
      <c r="CH35" s="460"/>
      <c r="CI35" s="460"/>
      <c r="CJ35" s="460"/>
      <c r="CK35" s="460"/>
      <c r="CL35" s="460"/>
      <c r="CM35" s="460"/>
      <c r="CN35" s="460"/>
      <c r="CO35" s="460"/>
      <c r="CP35" s="460"/>
      <c r="CQ35" s="460"/>
      <c r="CR35" s="460"/>
      <c r="CS35" s="460"/>
      <c r="CT35" s="460"/>
      <c r="CU35" s="460"/>
      <c r="CV35" s="460"/>
      <c r="CW35" s="460"/>
      <c r="CX35" s="460"/>
      <c r="CY35" s="460"/>
    </row>
    <row r="36" spans="1:103" s="350" customFormat="1" ht="12" customHeight="1">
      <c r="A36" s="269"/>
      <c r="B36" s="125" t="str">
        <f>UPPER(LEFT(TRIM(Data!B33),1)) &amp; MID(TRIM(Data!B33),2,50)</f>
        <v>Kitų šlapimą išskiriančių organų</v>
      </c>
      <c r="C36" s="125" t="str">
        <f>Data!C33</f>
        <v>C65, C66, C68</v>
      </c>
      <c r="D36" s="126">
        <f>Data!D33+Data!BQ33</f>
        <v>43</v>
      </c>
      <c r="E36" s="127">
        <f t="shared" si="8"/>
        <v>1.4663921671468818</v>
      </c>
      <c r="F36" s="128">
        <f t="shared" si="9"/>
        <v>0.9125935071447695</v>
      </c>
      <c r="G36" s="129">
        <f t="shared" si="10"/>
        <v>0.58248196001319819</v>
      </c>
      <c r="H36" s="274"/>
      <c r="I36" s="274"/>
      <c r="J36" s="274"/>
      <c r="K36" s="274"/>
      <c r="L36" s="274"/>
      <c r="M36" s="274"/>
      <c r="N36" s="274"/>
      <c r="O36" s="270"/>
      <c r="P36" s="359"/>
      <c r="Q36" s="474" t="s">
        <v>353</v>
      </c>
      <c r="R36" s="468">
        <f t="shared" si="3"/>
        <v>91259.350714476954</v>
      </c>
      <c r="S36" s="468">
        <f>(Data!Q33+Data!CD33)/S$6*100000*S$3</f>
        <v>0</v>
      </c>
      <c r="T36" s="468">
        <f>(Data!R33+Data!CE33)/T$6*100000*T$3</f>
        <v>0</v>
      </c>
      <c r="U36" s="468">
        <f>(Data!S33+Data!CF33)/U$6*100000*U$3</f>
        <v>0</v>
      </c>
      <c r="V36" s="468">
        <f>(Data!T33+Data!CG33)/V$6*100000*V$3</f>
        <v>0</v>
      </c>
      <c r="W36" s="468">
        <f>(Data!U33+Data!CH33)/W$6*100000*W$3</f>
        <v>0</v>
      </c>
      <c r="X36" s="468">
        <f>(Data!V33+Data!CI33)/X$6*100000*X$3</f>
        <v>0</v>
      </c>
      <c r="Y36" s="468">
        <f>(Data!W33+Data!CJ33)/Y$6*100000*Y$3</f>
        <v>0</v>
      </c>
      <c r="Z36" s="468">
        <f>(Data!X33+Data!CK33)/Z$6*100000*Z$3</f>
        <v>3855.6021899820444</v>
      </c>
      <c r="AA36" s="468">
        <f>(Data!Y33+Data!CL33)/AA$6*100000*AA$3</f>
        <v>0</v>
      </c>
      <c r="AB36" s="468">
        <f>(Data!Z33+Data!CM33)/AB$6*100000*AB$3</f>
        <v>0</v>
      </c>
      <c r="AC36" s="468">
        <f>(Data!AA33+Data!CN33)/AC$6*100000*AC$3</f>
        <v>6038.1264556197702</v>
      </c>
      <c r="AD36" s="468">
        <f>(Data!AB33+Data!CO33)/AD$6*100000*AD$3</f>
        <v>11681.617514638527</v>
      </c>
      <c r="AE36" s="468">
        <f>(Data!AC33+Data!CP33)/AE$6*100000*AE$3</f>
        <v>14656.911026687303</v>
      </c>
      <c r="AF36" s="468">
        <f>(Data!AD33+Data!CQ33)/AF$6*100000*AF$3</f>
        <v>8544.4525142051534</v>
      </c>
      <c r="AG36" s="468">
        <f>(Data!AE33+Data!CR33)/AG$6*100000*AG$3</f>
        <v>8805.0775947463026</v>
      </c>
      <c r="AH36" s="468">
        <f>(Data!AF33+Data!CS33)/AH$6*100000*AH$3</f>
        <v>26559.322737270199</v>
      </c>
      <c r="AI36" s="468">
        <f>(Data!AG33+Data!CT33)/AI$6*100000*AI$3</f>
        <v>4666.6277781018498</v>
      </c>
      <c r="AJ36" s="468">
        <f>(Data!AH33+Data!CU33)/AJ$6*100000*AJ$3</f>
        <v>6451.6129032258068</v>
      </c>
      <c r="AK36" s="474" t="s">
        <v>353</v>
      </c>
      <c r="AL36" s="468">
        <f t="shared" si="4"/>
        <v>58248.196001319819</v>
      </c>
      <c r="AM36" s="468">
        <f>(Data!Q33+Data!CD33)/AM$6*100000*AM$3</f>
        <v>0</v>
      </c>
      <c r="AN36" s="468">
        <f>(Data!R33+Data!CE33)/AN$6*100000*AN$3</f>
        <v>0</v>
      </c>
      <c r="AO36" s="468">
        <f>(Data!S33+Data!CF33)/AO$6*100000*AO$3</f>
        <v>0</v>
      </c>
      <c r="AP36" s="468">
        <f>(Data!T33+Data!CG33)/AP$6*100000*AP$3</f>
        <v>0</v>
      </c>
      <c r="AQ36" s="468">
        <f>(Data!U33+Data!CH33)/AQ$6*100000*AQ$3</f>
        <v>0</v>
      </c>
      <c r="AR36" s="468">
        <f>(Data!V33+Data!CI33)/AR$6*100000*AR$3</f>
        <v>0</v>
      </c>
      <c r="AS36" s="468">
        <f>(Data!W33+Data!CJ33)/AS$6*100000*AS$3</f>
        <v>0</v>
      </c>
      <c r="AT36" s="468">
        <f>(Data!X33+Data!CK33)/AT$6*100000*AT$3</f>
        <v>3304.8018771274665</v>
      </c>
      <c r="AU36" s="468">
        <f>(Data!Y33+Data!CL33)/AU$6*100000*AU$3</f>
        <v>0</v>
      </c>
      <c r="AV36" s="468">
        <f>(Data!Z33+Data!CM33)/AV$6*100000*AV$3</f>
        <v>0</v>
      </c>
      <c r="AW36" s="468">
        <f>(Data!AA33+Data!CN33)/AW$6*100000*AW$3</f>
        <v>4312.9474682998361</v>
      </c>
      <c r="AX36" s="468">
        <f>(Data!AB33+Data!CO33)/AX$6*100000*AX$3</f>
        <v>7787.7450097590181</v>
      </c>
      <c r="AY36" s="468">
        <f>(Data!AC33+Data!CP33)/AY$6*100000*AY$3</f>
        <v>11725.528821349842</v>
      </c>
      <c r="AZ36" s="468">
        <f>(Data!AD33+Data!CQ33)/AZ$6*100000*AZ$3</f>
        <v>6408.3393856538651</v>
      </c>
      <c r="BA36" s="468">
        <f>(Data!AE33+Data!CR33)/BA$6*100000*BA$3</f>
        <v>5870.0517298308687</v>
      </c>
      <c r="BB36" s="468">
        <f>(Data!AF33+Data!CS33)/BB$6*100000*BB$3</f>
        <v>13279.661368635099</v>
      </c>
      <c r="BC36" s="468">
        <f>(Data!AG33+Data!CT33)/BC$6*100000*BC$3</f>
        <v>2333.3138890509249</v>
      </c>
      <c r="BD36" s="468">
        <f>(Data!AH33+Data!CU33)/BD$6*100000*BD$3</f>
        <v>3225.8064516129034</v>
      </c>
      <c r="BE36" s="460"/>
      <c r="BF36" s="460"/>
      <c r="BG36" s="460"/>
      <c r="BH36" s="460"/>
      <c r="BI36" s="460"/>
      <c r="BJ36" s="460"/>
      <c r="BK36" s="460"/>
      <c r="BL36" s="460"/>
      <c r="BM36" s="460"/>
      <c r="BN36" s="460"/>
      <c r="BO36" s="460"/>
      <c r="BP36" s="460"/>
      <c r="BQ36" s="460"/>
      <c r="BR36" s="460"/>
      <c r="BS36" s="460"/>
      <c r="BT36" s="460"/>
      <c r="BU36" s="460"/>
      <c r="BV36" s="460"/>
      <c r="BW36" s="460"/>
      <c r="BX36" s="460"/>
      <c r="BY36" s="460"/>
      <c r="BZ36" s="460"/>
      <c r="CA36" s="460"/>
      <c r="CB36" s="460"/>
      <c r="CC36" s="460"/>
      <c r="CD36" s="460"/>
      <c r="CE36" s="460"/>
      <c r="CF36" s="460"/>
      <c r="CG36" s="460"/>
      <c r="CH36" s="460"/>
      <c r="CI36" s="460"/>
      <c r="CJ36" s="460"/>
      <c r="CK36" s="460"/>
      <c r="CL36" s="460"/>
      <c r="CM36" s="460"/>
      <c r="CN36" s="460"/>
      <c r="CO36" s="460"/>
      <c r="CP36" s="460"/>
      <c r="CQ36" s="460"/>
      <c r="CR36" s="460"/>
      <c r="CS36" s="460"/>
      <c r="CT36" s="460"/>
      <c r="CU36" s="460"/>
      <c r="CV36" s="460"/>
      <c r="CW36" s="460"/>
      <c r="CX36" s="460"/>
      <c r="CY36" s="460"/>
    </row>
    <row r="37" spans="1:103" s="350" customFormat="1" ht="12" customHeight="1">
      <c r="A37" s="269"/>
      <c r="B37" s="276" t="str">
        <f>UPPER(LEFT(TRIM(Data!B34),1)) &amp; MID(TRIM(Data!B34),2,50)</f>
        <v>Akių</v>
      </c>
      <c r="C37" s="276" t="str">
        <f>Data!C34</f>
        <v>C69</v>
      </c>
      <c r="D37" s="277">
        <f>Data!D34+Data!BQ34</f>
        <v>32</v>
      </c>
      <c r="E37" s="278">
        <f t="shared" si="8"/>
        <v>1.0912685895046561</v>
      </c>
      <c r="F37" s="279">
        <f t="shared" si="9"/>
        <v>0.84011316050622409</v>
      </c>
      <c r="G37" s="279">
        <f t="shared" si="10"/>
        <v>0.64797895505718184</v>
      </c>
      <c r="H37" s="274"/>
      <c r="I37" s="274"/>
      <c r="J37" s="274"/>
      <c r="K37" s="274"/>
      <c r="L37" s="274"/>
      <c r="M37" s="274"/>
      <c r="N37" s="274"/>
      <c r="O37" s="270"/>
      <c r="P37" s="359"/>
      <c r="Q37" s="474" t="s">
        <v>353</v>
      </c>
      <c r="R37" s="468">
        <f t="shared" si="3"/>
        <v>84011.316050622409</v>
      </c>
      <c r="S37" s="468">
        <f>(Data!Q34+Data!CD34)/S$6*100000*S$3</f>
        <v>5305.3916042177862</v>
      </c>
      <c r="T37" s="468">
        <f>(Data!R34+Data!CE34)/T$6*100000*T$3</f>
        <v>0</v>
      </c>
      <c r="U37" s="468">
        <f>(Data!S34+Data!CF34)/U$6*100000*U$3</f>
        <v>0</v>
      </c>
      <c r="V37" s="468">
        <f>(Data!T34+Data!CG34)/V$6*100000*V$3</f>
        <v>0</v>
      </c>
      <c r="W37" s="468">
        <f>(Data!U34+Data!CH34)/W$6*100000*W$3</f>
        <v>0</v>
      </c>
      <c r="X37" s="468">
        <f>(Data!V34+Data!CI34)/X$6*100000*X$3</f>
        <v>0</v>
      </c>
      <c r="Y37" s="468">
        <f>(Data!W34+Data!CJ34)/Y$6*100000*Y$3</f>
        <v>0</v>
      </c>
      <c r="Z37" s="468">
        <f>(Data!X34+Data!CK34)/Z$6*100000*Z$3</f>
        <v>11566.806569946131</v>
      </c>
      <c r="AA37" s="468">
        <f>(Data!Y34+Data!CL34)/AA$6*100000*AA$3</f>
        <v>0</v>
      </c>
      <c r="AB37" s="468">
        <f>(Data!Z34+Data!CM34)/AB$6*100000*AB$3</f>
        <v>6642.8788338900704</v>
      </c>
      <c r="AC37" s="468">
        <f>(Data!AA34+Data!CN34)/AC$6*100000*AC$3</f>
        <v>12076.25291123954</v>
      </c>
      <c r="AD37" s="468">
        <f>(Data!AB34+Data!CO34)/AD$6*100000*AD$3</f>
        <v>2920.4043786596317</v>
      </c>
      <c r="AE37" s="468">
        <f>(Data!AC34+Data!CP34)/AE$6*100000*AE$3</f>
        <v>5862.7644106749212</v>
      </c>
      <c r="AF37" s="468">
        <f>(Data!AD34+Data!CQ34)/AF$6*100000*AF$3</f>
        <v>11392.603352273536</v>
      </c>
      <c r="AG37" s="468">
        <f>(Data!AE34+Data!CR34)/AG$6*100000*AG$3</f>
        <v>19811.424588179183</v>
      </c>
      <c r="AH37" s="468">
        <f>(Data!AF34+Data!CS34)/AH$6*100000*AH$3</f>
        <v>3319.9153421587748</v>
      </c>
      <c r="AI37" s="468">
        <f>(Data!AG34+Data!CT34)/AI$6*100000*AI$3</f>
        <v>3499.9708335763862</v>
      </c>
      <c r="AJ37" s="468">
        <f>(Data!AH34+Data!CU34)/AJ$6*100000*AJ$3</f>
        <v>1612.9032258064517</v>
      </c>
      <c r="AK37" s="474" t="s">
        <v>353</v>
      </c>
      <c r="AL37" s="468">
        <f t="shared" si="4"/>
        <v>64797.895505718188</v>
      </c>
      <c r="AM37" s="468">
        <f>(Data!Q34+Data!CD34)/AM$6*100000*AM$3</f>
        <v>7958.0874063266792</v>
      </c>
      <c r="AN37" s="468">
        <f>(Data!R34+Data!CE34)/AN$6*100000*AN$3</f>
        <v>0</v>
      </c>
      <c r="AO37" s="468">
        <f>(Data!S34+Data!CF34)/AO$6*100000*AO$3</f>
        <v>0</v>
      </c>
      <c r="AP37" s="468">
        <f>(Data!T34+Data!CG34)/AP$6*100000*AP$3</f>
        <v>0</v>
      </c>
      <c r="AQ37" s="468">
        <f>(Data!U34+Data!CH34)/AQ$6*100000*AQ$3</f>
        <v>0</v>
      </c>
      <c r="AR37" s="468">
        <f>(Data!V34+Data!CI34)/AR$6*100000*AR$3</f>
        <v>0</v>
      </c>
      <c r="AS37" s="468">
        <f>(Data!W34+Data!CJ34)/AS$6*100000*AS$3</f>
        <v>0</v>
      </c>
      <c r="AT37" s="468">
        <f>(Data!X34+Data!CK34)/AT$6*100000*AT$3</f>
        <v>9914.4056313823985</v>
      </c>
      <c r="AU37" s="468">
        <f>(Data!Y34+Data!CL34)/AU$6*100000*AU$3</f>
        <v>0</v>
      </c>
      <c r="AV37" s="468">
        <f>(Data!Z34+Data!CM34)/AV$6*100000*AV$3</f>
        <v>5693.8961433343466</v>
      </c>
      <c r="AW37" s="468">
        <f>(Data!AA34+Data!CN34)/AW$6*100000*AW$3</f>
        <v>8625.8949365996723</v>
      </c>
      <c r="AX37" s="468">
        <f>(Data!AB34+Data!CO34)/AX$6*100000*AX$3</f>
        <v>1946.9362524397545</v>
      </c>
      <c r="AY37" s="468">
        <f>(Data!AC34+Data!CP34)/AY$6*100000*AY$3</f>
        <v>4690.2115285399368</v>
      </c>
      <c r="AZ37" s="468">
        <f>(Data!AD34+Data!CQ34)/AZ$6*100000*AZ$3</f>
        <v>8544.4525142051516</v>
      </c>
      <c r="BA37" s="468">
        <f>(Data!AE34+Data!CR34)/BA$6*100000*BA$3</f>
        <v>13207.616392119455</v>
      </c>
      <c r="BB37" s="468">
        <f>(Data!AF34+Data!CS34)/BB$6*100000*BB$3</f>
        <v>1659.9576710793874</v>
      </c>
      <c r="BC37" s="468">
        <f>(Data!AG34+Data!CT34)/BC$6*100000*BC$3</f>
        <v>1749.9854167881931</v>
      </c>
      <c r="BD37" s="468">
        <f>(Data!AH34+Data!CU34)/BD$6*100000*BD$3</f>
        <v>806.45161290322585</v>
      </c>
      <c r="BE37" s="460"/>
      <c r="BF37" s="460"/>
      <c r="BG37" s="460"/>
      <c r="BH37" s="460"/>
      <c r="BI37" s="460"/>
      <c r="BJ37" s="460"/>
      <c r="BK37" s="460"/>
      <c r="BL37" s="460"/>
      <c r="BM37" s="460"/>
      <c r="BN37" s="460"/>
      <c r="BO37" s="460"/>
      <c r="BP37" s="460"/>
      <c r="BQ37" s="460"/>
      <c r="BR37" s="460"/>
      <c r="BS37" s="460"/>
      <c r="BT37" s="460"/>
      <c r="BU37" s="460"/>
      <c r="BV37" s="460"/>
      <c r="BW37" s="460"/>
      <c r="BX37" s="460"/>
      <c r="BY37" s="460"/>
      <c r="BZ37" s="460"/>
      <c r="CA37" s="460"/>
      <c r="CB37" s="460"/>
      <c r="CC37" s="460"/>
      <c r="CD37" s="460"/>
      <c r="CE37" s="460"/>
      <c r="CF37" s="460"/>
      <c r="CG37" s="460"/>
      <c r="CH37" s="460"/>
      <c r="CI37" s="460"/>
      <c r="CJ37" s="460"/>
      <c r="CK37" s="460"/>
      <c r="CL37" s="460"/>
      <c r="CM37" s="460"/>
      <c r="CN37" s="460"/>
      <c r="CO37" s="460"/>
      <c r="CP37" s="460"/>
      <c r="CQ37" s="460"/>
      <c r="CR37" s="460"/>
      <c r="CS37" s="460"/>
      <c r="CT37" s="460"/>
      <c r="CU37" s="460"/>
      <c r="CV37" s="460"/>
      <c r="CW37" s="460"/>
      <c r="CX37" s="460"/>
      <c r="CY37" s="460"/>
    </row>
    <row r="38" spans="1:103" s="350" customFormat="1" ht="12" customHeight="1">
      <c r="A38" s="269"/>
      <c r="B38" s="125" t="str">
        <f>UPPER(LEFT(TRIM(Data!B35),1)) &amp; MID(TRIM(Data!B35),2,50)</f>
        <v>Smegenų</v>
      </c>
      <c r="C38" s="125" t="str">
        <f>Data!C35</f>
        <v>C70-C72</v>
      </c>
      <c r="D38" s="126">
        <f>Data!D35+Data!BQ35</f>
        <v>281</v>
      </c>
      <c r="E38" s="127">
        <f t="shared" si="8"/>
        <v>9.5827023015877622</v>
      </c>
      <c r="F38" s="128">
        <f t="shared" si="9"/>
        <v>7.612583797500327</v>
      </c>
      <c r="G38" s="129">
        <f t="shared" si="10"/>
        <v>6.117720713909975</v>
      </c>
      <c r="H38" s="274"/>
      <c r="I38" s="274"/>
      <c r="J38" s="274"/>
      <c r="K38" s="274"/>
      <c r="L38" s="274"/>
      <c r="M38" s="274"/>
      <c r="N38" s="274"/>
      <c r="O38" s="270"/>
      <c r="P38" s="359"/>
      <c r="Q38" s="474" t="s">
        <v>353</v>
      </c>
      <c r="R38" s="468">
        <f t="shared" si="3"/>
        <v>761258.37975003268</v>
      </c>
      <c r="S38" s="468">
        <f>(Data!Q35+Data!CD35)/S$6*100000*S$3</f>
        <v>15916.17481265336</v>
      </c>
      <c r="T38" s="468">
        <f>(Data!R35+Data!CE35)/T$6*100000*T$3</f>
        <v>15347.062864492742</v>
      </c>
      <c r="U38" s="468">
        <f>(Data!S35+Data!CF35)/U$6*100000*U$3</f>
        <v>39956.903625375482</v>
      </c>
      <c r="V38" s="468">
        <f>(Data!T35+Data!CG35)/V$6*100000*V$3</f>
        <v>20138.437372336692</v>
      </c>
      <c r="W38" s="468">
        <f>(Data!U35+Data!CH35)/W$6*100000*W$3</f>
        <v>16657.703235877838</v>
      </c>
      <c r="X38" s="468">
        <f>(Data!V35+Data!CI35)/X$6*100000*X$3</f>
        <v>10775.253859849865</v>
      </c>
      <c r="Y38" s="468">
        <f>(Data!W35+Data!CJ35)/Y$6*100000*Y$3</f>
        <v>23783.636857841804</v>
      </c>
      <c r="Z38" s="468">
        <f>(Data!X35+Data!CK35)/Z$6*100000*Z$3</f>
        <v>19278.010949910218</v>
      </c>
      <c r="AA38" s="468">
        <f>(Data!Y35+Data!CL35)/AA$6*100000*AA$3</f>
        <v>37729.007727096774</v>
      </c>
      <c r="AB38" s="468">
        <f>(Data!Z35+Data!CM35)/AB$6*100000*AB$3</f>
        <v>46500.151837230493</v>
      </c>
      <c r="AC38" s="468">
        <f>(Data!AA35+Data!CN35)/AC$6*100000*AC$3</f>
        <v>87552.833606486674</v>
      </c>
      <c r="AD38" s="468">
        <f>(Data!AB35+Data!CO35)/AD$6*100000*AD$3</f>
        <v>87612.131359788953</v>
      </c>
      <c r="AE38" s="468">
        <f>(Data!AC35+Data!CP35)/AE$6*100000*AE$3</f>
        <v>67421.790722761594</v>
      </c>
      <c r="AF38" s="468">
        <f>(Data!AD35+Data!CQ35)/AF$6*100000*AF$3</f>
        <v>93988.977656256669</v>
      </c>
      <c r="AG38" s="468">
        <f>(Data!AE35+Data!CR35)/AG$6*100000*AG$3</f>
        <v>81446.96775140331</v>
      </c>
      <c r="AH38" s="468">
        <f>(Data!AF35+Data!CS35)/AH$6*100000*AH$3</f>
        <v>49798.730132381621</v>
      </c>
      <c r="AI38" s="468">
        <f>(Data!AG35+Data!CT35)/AI$6*100000*AI$3</f>
        <v>27999.76666861109</v>
      </c>
      <c r="AJ38" s="468">
        <f>(Data!AH35+Data!CU35)/AJ$6*100000*AJ$3</f>
        <v>19354.83870967742</v>
      </c>
      <c r="AK38" s="474" t="s">
        <v>353</v>
      </c>
      <c r="AL38" s="468">
        <f t="shared" si="4"/>
        <v>611772.0713909975</v>
      </c>
      <c r="AM38" s="468">
        <f>(Data!Q35+Data!CD35)/AM$6*100000*AM$3</f>
        <v>23874.262218980039</v>
      </c>
      <c r="AN38" s="468">
        <f>(Data!R35+Data!CE35)/AN$6*100000*AN$3</f>
        <v>21924.375520703918</v>
      </c>
      <c r="AO38" s="468">
        <f>(Data!S35+Data!CF35)/AO$6*100000*AO$3</f>
        <v>51373.161804054194</v>
      </c>
      <c r="AP38" s="468">
        <f>(Data!T35+Data!CG35)/AP$6*100000*AP$3</f>
        <v>25892.276621575744</v>
      </c>
      <c r="AQ38" s="468">
        <f>(Data!U35+Data!CH35)/AQ$6*100000*AQ$3</f>
        <v>19037.375126717528</v>
      </c>
      <c r="AR38" s="468">
        <f>(Data!V35+Data!CI35)/AR$6*100000*AR$3</f>
        <v>12314.575839828416</v>
      </c>
      <c r="AS38" s="468">
        <f>(Data!W35+Data!CJ35)/AS$6*100000*AS$3</f>
        <v>20385.974449578687</v>
      </c>
      <c r="AT38" s="468">
        <f>(Data!X35+Data!CK35)/AT$6*100000*AT$3</f>
        <v>16524.009385637331</v>
      </c>
      <c r="AU38" s="468">
        <f>(Data!Y35+Data!CL35)/AU$6*100000*AU$3</f>
        <v>32339.149480368666</v>
      </c>
      <c r="AV38" s="468">
        <f>(Data!Z35+Data!CM35)/AV$6*100000*AV$3</f>
        <v>39857.273003340422</v>
      </c>
      <c r="AW38" s="468">
        <f>(Data!AA35+Data!CN35)/AW$6*100000*AW$3</f>
        <v>62537.738290347625</v>
      </c>
      <c r="AX38" s="468">
        <f>(Data!AB35+Data!CO35)/AX$6*100000*AX$3</f>
        <v>58408.087573192635</v>
      </c>
      <c r="AY38" s="468">
        <f>(Data!AC35+Data!CP35)/AY$6*100000*AY$3</f>
        <v>53937.432578209278</v>
      </c>
      <c r="AZ38" s="468">
        <f>(Data!AD35+Data!CQ35)/AZ$6*100000*AZ$3</f>
        <v>70491.733242192495</v>
      </c>
      <c r="BA38" s="468">
        <f>(Data!AE35+Data!CR35)/BA$6*100000*BA$3</f>
        <v>54297.97850093554</v>
      </c>
      <c r="BB38" s="468">
        <f>(Data!AF35+Data!CS35)/BB$6*100000*BB$3</f>
        <v>24899.36506619081</v>
      </c>
      <c r="BC38" s="468">
        <f>(Data!AG35+Data!CT35)/BC$6*100000*BC$3</f>
        <v>13999.883334305545</v>
      </c>
      <c r="BD38" s="468">
        <f>(Data!AH35+Data!CU35)/BD$6*100000*BD$3</f>
        <v>9677.4193548387102</v>
      </c>
      <c r="BE38" s="460"/>
      <c r="BF38" s="460"/>
      <c r="BG38" s="460"/>
      <c r="BH38" s="460"/>
      <c r="BI38" s="460"/>
      <c r="BJ38" s="460"/>
      <c r="BK38" s="460"/>
      <c r="BL38" s="460"/>
      <c r="BM38" s="460"/>
      <c r="BN38" s="460"/>
      <c r="BO38" s="460"/>
      <c r="BP38" s="460"/>
      <c r="BQ38" s="460"/>
      <c r="BR38" s="460"/>
      <c r="BS38" s="460"/>
      <c r="BT38" s="460"/>
      <c r="BU38" s="460"/>
      <c r="BV38" s="460"/>
      <c r="BW38" s="460"/>
      <c r="BX38" s="460"/>
      <c r="BY38" s="460"/>
      <c r="BZ38" s="460"/>
      <c r="CA38" s="460"/>
      <c r="CB38" s="460"/>
      <c r="CC38" s="460"/>
      <c r="CD38" s="460"/>
      <c r="CE38" s="460"/>
      <c r="CF38" s="460"/>
      <c r="CG38" s="460"/>
      <c r="CH38" s="460"/>
      <c r="CI38" s="460"/>
      <c r="CJ38" s="460"/>
      <c r="CK38" s="460"/>
      <c r="CL38" s="460"/>
      <c r="CM38" s="460"/>
      <c r="CN38" s="460"/>
      <c r="CO38" s="460"/>
      <c r="CP38" s="460"/>
      <c r="CQ38" s="460"/>
      <c r="CR38" s="460"/>
      <c r="CS38" s="460"/>
      <c r="CT38" s="460"/>
      <c r="CU38" s="460"/>
      <c r="CV38" s="460"/>
      <c r="CW38" s="460"/>
      <c r="CX38" s="460"/>
      <c r="CY38" s="460"/>
    </row>
    <row r="39" spans="1:103" s="350" customFormat="1" ht="12" customHeight="1">
      <c r="A39" s="269"/>
      <c r="B39" s="276" t="str">
        <f>UPPER(LEFT(TRIM(Data!B36),1)) &amp; MID(TRIM(Data!B36),2,50)</f>
        <v>Skydliaukės</v>
      </c>
      <c r="C39" s="276" t="str">
        <f>Data!C36</f>
        <v>C73</v>
      </c>
      <c r="D39" s="277">
        <f>Data!D36+Data!BQ36</f>
        <v>347</v>
      </c>
      <c r="E39" s="278">
        <f t="shared" si="8"/>
        <v>11.833443767441116</v>
      </c>
      <c r="F39" s="279">
        <f t="shared" si="9"/>
        <v>10.365255698717572</v>
      </c>
      <c r="G39" s="279">
        <f t="shared" si="10"/>
        <v>8.3342244700837771</v>
      </c>
      <c r="H39" s="274"/>
      <c r="I39" s="274"/>
      <c r="J39" s="274"/>
      <c r="K39" s="274"/>
      <c r="L39" s="274"/>
      <c r="M39" s="274"/>
      <c r="N39" s="274"/>
      <c r="O39" s="270"/>
      <c r="P39" s="359"/>
      <c r="Q39" s="474" t="s">
        <v>353</v>
      </c>
      <c r="R39" s="468">
        <f t="shared" si="3"/>
        <v>1036525.5698717573</v>
      </c>
      <c r="S39" s="468">
        <f>(Data!Q36+Data!CD36)/S$6*100000*S$3</f>
        <v>0</v>
      </c>
      <c r="T39" s="468">
        <f>(Data!R36+Data!CE36)/T$6*100000*T$3</f>
        <v>0</v>
      </c>
      <c r="U39" s="468">
        <f>(Data!S36+Data!CF36)/U$6*100000*U$3</f>
        <v>4994.6129531719353</v>
      </c>
      <c r="V39" s="468">
        <f>(Data!T36+Data!CG36)/V$6*100000*V$3</f>
        <v>24166.124846804032</v>
      </c>
      <c r="W39" s="468">
        <f>(Data!U36+Data!CH36)/W$6*100000*W$3</f>
        <v>26652.325177404538</v>
      </c>
      <c r="X39" s="468">
        <f>(Data!V36+Data!CI36)/X$6*100000*X$3</f>
        <v>46692.766726016082</v>
      </c>
      <c r="Y39" s="468">
        <f>(Data!W36+Data!CJ36)/Y$6*100000*Y$3</f>
        <v>87206.668478753287</v>
      </c>
      <c r="Z39" s="468">
        <f>(Data!X36+Data!CK36)/Z$6*100000*Z$3</f>
        <v>69400.839419676791</v>
      </c>
      <c r="AA39" s="468">
        <f>(Data!Y36+Data!CL36)/AA$6*100000*AA$3</f>
        <v>82317.835040938429</v>
      </c>
      <c r="AB39" s="468">
        <f>(Data!Z36+Data!CM36)/AB$6*100000*AB$3</f>
        <v>126214.69784391133</v>
      </c>
      <c r="AC39" s="468">
        <f>(Data!AA36+Data!CN36)/AC$6*100000*AC$3</f>
        <v>123781.59234020532</v>
      </c>
      <c r="AD39" s="468">
        <f>(Data!AB36+Data!CO36)/AD$6*100000*AD$3</f>
        <v>137259.0057970027</v>
      </c>
      <c r="AE39" s="468">
        <f>(Data!AC36+Data!CP36)/AE$6*100000*AE$3</f>
        <v>123118.05262417336</v>
      </c>
      <c r="AF39" s="468">
        <f>(Data!AD36+Data!CQ36)/AF$6*100000*AF$3</f>
        <v>82596.374303983146</v>
      </c>
      <c r="AG39" s="468">
        <f>(Data!AE36+Data!CR36)/AG$6*100000*AG$3</f>
        <v>46226.657372418093</v>
      </c>
      <c r="AH39" s="468">
        <f>(Data!AF36+Data!CS36)/AH$6*100000*AH$3</f>
        <v>39838.9841059053</v>
      </c>
      <c r="AI39" s="468">
        <f>(Data!AG36+Data!CT36)/AI$6*100000*AI$3</f>
        <v>12833.226389780086</v>
      </c>
      <c r="AJ39" s="468">
        <f>(Data!AH36+Data!CU36)/AJ$6*100000*AJ$3</f>
        <v>3225.8064516129034</v>
      </c>
      <c r="AK39" s="474" t="s">
        <v>353</v>
      </c>
      <c r="AL39" s="468">
        <f t="shared" si="4"/>
        <v>833422.44700837764</v>
      </c>
      <c r="AM39" s="468">
        <f>(Data!Q36+Data!CD36)/AM$6*100000*AM$3</f>
        <v>0</v>
      </c>
      <c r="AN39" s="468">
        <f>(Data!R36+Data!CE36)/AN$6*100000*AN$3</f>
        <v>0</v>
      </c>
      <c r="AO39" s="468">
        <f>(Data!S36+Data!CF36)/AO$6*100000*AO$3</f>
        <v>6421.6452255067743</v>
      </c>
      <c r="AP39" s="468">
        <f>(Data!T36+Data!CG36)/AP$6*100000*AP$3</f>
        <v>31070.731945890897</v>
      </c>
      <c r="AQ39" s="468">
        <f>(Data!U36+Data!CH36)/AQ$6*100000*AQ$3</f>
        <v>30459.800202748047</v>
      </c>
      <c r="AR39" s="468">
        <f>(Data!V36+Data!CI36)/AR$6*100000*AR$3</f>
        <v>53363.161972589805</v>
      </c>
      <c r="AS39" s="468">
        <f>(Data!W36+Data!CJ36)/AS$6*100000*AS$3</f>
        <v>74748.572981788529</v>
      </c>
      <c r="AT39" s="468">
        <f>(Data!X36+Data!CK36)/AT$6*100000*AT$3</f>
        <v>59486.433788294395</v>
      </c>
      <c r="AU39" s="468">
        <f>(Data!Y36+Data!CL36)/AU$6*100000*AU$3</f>
        <v>70558.144320804364</v>
      </c>
      <c r="AV39" s="468">
        <f>(Data!Z36+Data!CM36)/AV$6*100000*AV$3</f>
        <v>108184.02672335257</v>
      </c>
      <c r="AW39" s="468">
        <f>(Data!AA36+Data!CN36)/AW$6*100000*AW$3</f>
        <v>88415.423100146654</v>
      </c>
      <c r="AX39" s="468">
        <f>(Data!AB36+Data!CO36)/AX$6*100000*AX$3</f>
        <v>91506.003864668455</v>
      </c>
      <c r="AY39" s="468">
        <f>(Data!AC36+Data!CP36)/AY$6*100000*AY$3</f>
        <v>98494.442099338688</v>
      </c>
      <c r="AZ39" s="468">
        <f>(Data!AD36+Data!CQ36)/AZ$6*100000*AZ$3</f>
        <v>61947.280727987352</v>
      </c>
      <c r="BA39" s="468">
        <f>(Data!AE36+Data!CR36)/BA$6*100000*BA$3</f>
        <v>30817.771581612065</v>
      </c>
      <c r="BB39" s="468">
        <f>(Data!AF36+Data!CS36)/BB$6*100000*BB$3</f>
        <v>19919.49205295265</v>
      </c>
      <c r="BC39" s="468">
        <f>(Data!AG36+Data!CT36)/BC$6*100000*BC$3</f>
        <v>6416.6131948900429</v>
      </c>
      <c r="BD39" s="468">
        <f>(Data!AH36+Data!CU36)/BD$6*100000*BD$3</f>
        <v>1612.9032258064517</v>
      </c>
      <c r="BE39" s="460"/>
      <c r="BF39" s="460"/>
      <c r="BG39" s="460"/>
      <c r="BH39" s="460"/>
      <c r="BI39" s="460"/>
      <c r="BJ39" s="460"/>
      <c r="BK39" s="460"/>
      <c r="BL39" s="460"/>
      <c r="BM39" s="460"/>
      <c r="BN39" s="460"/>
      <c r="BO39" s="460"/>
      <c r="BP39" s="460"/>
      <c r="BQ39" s="460"/>
      <c r="BR39" s="460"/>
      <c r="BS39" s="460"/>
      <c r="BT39" s="460"/>
      <c r="BU39" s="460"/>
      <c r="BV39" s="460"/>
      <c r="BW39" s="460"/>
      <c r="BX39" s="460"/>
      <c r="BY39" s="460"/>
      <c r="BZ39" s="460"/>
      <c r="CA39" s="460"/>
      <c r="CB39" s="460"/>
      <c r="CC39" s="460"/>
      <c r="CD39" s="460"/>
      <c r="CE39" s="460"/>
      <c r="CF39" s="460"/>
      <c r="CG39" s="460"/>
      <c r="CH39" s="460"/>
      <c r="CI39" s="460"/>
      <c r="CJ39" s="460"/>
      <c r="CK39" s="460"/>
      <c r="CL39" s="460"/>
      <c r="CM39" s="460"/>
      <c r="CN39" s="460"/>
      <c r="CO39" s="460"/>
      <c r="CP39" s="460"/>
      <c r="CQ39" s="460"/>
      <c r="CR39" s="460"/>
      <c r="CS39" s="460"/>
      <c r="CT39" s="460"/>
      <c r="CU39" s="460"/>
      <c r="CV39" s="460"/>
      <c r="CW39" s="460"/>
      <c r="CX39" s="460"/>
      <c r="CY39" s="460"/>
    </row>
    <row r="40" spans="1:103" s="350" customFormat="1" ht="12" customHeight="1">
      <c r="A40" s="269"/>
      <c r="B40" s="125" t="str">
        <f>UPPER(LEFT(TRIM(Data!B37),1)) &amp; MID(TRIM(Data!B37),2,50)</f>
        <v>Kitų endokrininių liaukų</v>
      </c>
      <c r="C40" s="125" t="str">
        <f>Data!C37</f>
        <v>C74-C75</v>
      </c>
      <c r="D40" s="126">
        <f>Data!D37+Data!BQ37</f>
        <v>18</v>
      </c>
      <c r="E40" s="127">
        <f t="shared" si="8"/>
        <v>0.61383858159636906</v>
      </c>
      <c r="F40" s="128">
        <f t="shared" si="9"/>
        <v>0.56052319253976268</v>
      </c>
      <c r="G40" s="129">
        <f t="shared" si="10"/>
        <v>0.57496956143053268</v>
      </c>
      <c r="H40" s="274"/>
      <c r="I40" s="274"/>
      <c r="J40" s="274"/>
      <c r="K40" s="274"/>
      <c r="L40" s="274"/>
      <c r="M40" s="274"/>
      <c r="N40" s="274"/>
      <c r="O40" s="270"/>
      <c r="P40" s="359"/>
      <c r="Q40" s="474" t="s">
        <v>353</v>
      </c>
      <c r="R40" s="468">
        <f t="shared" si="3"/>
        <v>56052.319253976268</v>
      </c>
      <c r="S40" s="468">
        <f>(Data!Q37+Data!CD37)/S$6*100000*S$3</f>
        <v>15916.17481265336</v>
      </c>
      <c r="T40" s="468">
        <f>(Data!R37+Data!CE37)/T$6*100000*T$3</f>
        <v>5115.6876214975809</v>
      </c>
      <c r="U40" s="468">
        <f>(Data!S37+Data!CF37)/U$6*100000*U$3</f>
        <v>0</v>
      </c>
      <c r="V40" s="468">
        <f>(Data!T37+Data!CG37)/V$6*100000*V$3</f>
        <v>0</v>
      </c>
      <c r="W40" s="468">
        <f>(Data!U37+Data!CH37)/W$6*100000*W$3</f>
        <v>0</v>
      </c>
      <c r="X40" s="468">
        <f>(Data!V37+Data!CI37)/X$6*100000*X$3</f>
        <v>3591.7512866166221</v>
      </c>
      <c r="Y40" s="468">
        <f>(Data!W37+Data!CJ37)/Y$6*100000*Y$3</f>
        <v>0</v>
      </c>
      <c r="Z40" s="468">
        <f>(Data!X37+Data!CK37)/Z$6*100000*Z$3</f>
        <v>3855.6021899820444</v>
      </c>
      <c r="AA40" s="468">
        <f>(Data!Y37+Data!CL37)/AA$6*100000*AA$3</f>
        <v>0</v>
      </c>
      <c r="AB40" s="468">
        <f>(Data!Z37+Data!CM37)/AB$6*100000*AB$3</f>
        <v>3321.4394169450352</v>
      </c>
      <c r="AC40" s="468">
        <f>(Data!AA37+Data!CN37)/AC$6*100000*AC$3</f>
        <v>6038.1264556197702</v>
      </c>
      <c r="AD40" s="468">
        <f>(Data!AB37+Data!CO37)/AD$6*100000*AD$3</f>
        <v>0</v>
      </c>
      <c r="AE40" s="468">
        <f>(Data!AC37+Data!CP37)/AE$6*100000*AE$3</f>
        <v>8794.1466160123819</v>
      </c>
      <c r="AF40" s="468">
        <f>(Data!AD37+Data!CQ37)/AF$6*100000*AF$3</f>
        <v>0</v>
      </c>
      <c r="AG40" s="468">
        <f>(Data!AE37+Data!CR37)/AG$6*100000*AG$3</f>
        <v>0</v>
      </c>
      <c r="AH40" s="468">
        <f>(Data!AF37+Data!CS37)/AH$6*100000*AH$3</f>
        <v>6639.8306843175496</v>
      </c>
      <c r="AI40" s="468">
        <f>(Data!AG37+Data!CT37)/AI$6*100000*AI$3</f>
        <v>1166.6569445254624</v>
      </c>
      <c r="AJ40" s="468">
        <f>(Data!AH37+Data!CU37)/AJ$6*100000*AJ$3</f>
        <v>1612.9032258064517</v>
      </c>
      <c r="AK40" s="474" t="s">
        <v>353</v>
      </c>
      <c r="AL40" s="468">
        <f t="shared" si="4"/>
        <v>57496.956143053263</v>
      </c>
      <c r="AM40" s="468">
        <f>(Data!Q37+Data!CD37)/AM$6*100000*AM$3</f>
        <v>23874.262218980039</v>
      </c>
      <c r="AN40" s="468">
        <f>(Data!R37+Data!CE37)/AN$6*100000*AN$3</f>
        <v>7308.1251735679734</v>
      </c>
      <c r="AO40" s="468">
        <f>(Data!S37+Data!CF37)/AO$6*100000*AO$3</f>
        <v>0</v>
      </c>
      <c r="AP40" s="468">
        <f>(Data!T37+Data!CG37)/AP$6*100000*AP$3</f>
        <v>0</v>
      </c>
      <c r="AQ40" s="468">
        <f>(Data!U37+Data!CH37)/AQ$6*100000*AQ$3</f>
        <v>0</v>
      </c>
      <c r="AR40" s="468">
        <f>(Data!V37+Data!CI37)/AR$6*100000*AR$3</f>
        <v>4104.8586132761393</v>
      </c>
      <c r="AS40" s="468">
        <f>(Data!W37+Data!CJ37)/AS$6*100000*AS$3</f>
        <v>0</v>
      </c>
      <c r="AT40" s="468">
        <f>(Data!X37+Data!CK37)/AT$6*100000*AT$3</f>
        <v>3304.8018771274665</v>
      </c>
      <c r="AU40" s="468">
        <f>(Data!Y37+Data!CL37)/AU$6*100000*AU$3</f>
        <v>0</v>
      </c>
      <c r="AV40" s="468">
        <f>(Data!Z37+Data!CM37)/AV$6*100000*AV$3</f>
        <v>2846.9480716671733</v>
      </c>
      <c r="AW40" s="468">
        <f>(Data!AA37+Data!CN37)/AW$6*100000*AW$3</f>
        <v>4312.9474682998361</v>
      </c>
      <c r="AX40" s="468">
        <f>(Data!AB37+Data!CO37)/AX$6*100000*AX$3</f>
        <v>0</v>
      </c>
      <c r="AY40" s="468">
        <f>(Data!AC37+Data!CP37)/AY$6*100000*AY$3</f>
        <v>7035.3172928099057</v>
      </c>
      <c r="AZ40" s="468">
        <f>(Data!AD37+Data!CQ37)/AZ$6*100000*AZ$3</f>
        <v>0</v>
      </c>
      <c r="BA40" s="468">
        <f>(Data!AE37+Data!CR37)/BA$6*100000*BA$3</f>
        <v>0</v>
      </c>
      <c r="BB40" s="468">
        <f>(Data!AF37+Data!CS37)/BB$6*100000*BB$3</f>
        <v>3319.9153421587748</v>
      </c>
      <c r="BC40" s="468">
        <f>(Data!AG37+Data!CT37)/BC$6*100000*BC$3</f>
        <v>583.32847226273122</v>
      </c>
      <c r="BD40" s="468">
        <f>(Data!AH37+Data!CU37)/BD$6*100000*BD$3</f>
        <v>806.45161290322585</v>
      </c>
      <c r="BE40" s="460"/>
      <c r="BF40" s="460"/>
      <c r="BG40" s="460"/>
      <c r="BH40" s="460"/>
      <c r="BI40" s="460"/>
      <c r="BJ40" s="460"/>
      <c r="BK40" s="460"/>
      <c r="BL40" s="460"/>
      <c r="BM40" s="460"/>
      <c r="BN40" s="460"/>
      <c r="BO40" s="460"/>
      <c r="BP40" s="460"/>
      <c r="BQ40" s="460"/>
      <c r="BR40" s="460"/>
      <c r="BS40" s="460"/>
      <c r="BT40" s="460"/>
      <c r="BU40" s="460"/>
      <c r="BV40" s="460"/>
      <c r="BW40" s="460"/>
      <c r="BX40" s="460"/>
      <c r="BY40" s="460"/>
      <c r="BZ40" s="460"/>
      <c r="CA40" s="460"/>
      <c r="CB40" s="460"/>
      <c r="CC40" s="460"/>
      <c r="CD40" s="460"/>
      <c r="CE40" s="460"/>
      <c r="CF40" s="460"/>
      <c r="CG40" s="460"/>
      <c r="CH40" s="460"/>
      <c r="CI40" s="460"/>
      <c r="CJ40" s="460"/>
      <c r="CK40" s="460"/>
      <c r="CL40" s="460"/>
      <c r="CM40" s="460"/>
      <c r="CN40" s="460"/>
      <c r="CO40" s="460"/>
      <c r="CP40" s="460"/>
      <c r="CQ40" s="460"/>
      <c r="CR40" s="460"/>
      <c r="CS40" s="460"/>
      <c r="CT40" s="460"/>
      <c r="CU40" s="460"/>
      <c r="CV40" s="460"/>
      <c r="CW40" s="460"/>
      <c r="CX40" s="460"/>
      <c r="CY40" s="460"/>
    </row>
    <row r="41" spans="1:103" s="350" customFormat="1" ht="12" customHeight="1">
      <c r="A41" s="269"/>
      <c r="B41" s="276" t="str">
        <f>UPPER(LEFT(TRIM(Data!B38),1)) &amp; MID(TRIM(Data!B38),2,50)</f>
        <v>Nepatikslintos lokalizacijos</v>
      </c>
      <c r="C41" s="276" t="str">
        <f>Data!C38</f>
        <v>C76-C80</v>
      </c>
      <c r="D41" s="277">
        <f>Data!D38+Data!BQ38</f>
        <v>400</v>
      </c>
      <c r="E41" s="278">
        <f t="shared" si="8"/>
        <v>13.6408573688082</v>
      </c>
      <c r="F41" s="279">
        <f t="shared" si="9"/>
        <v>8.4367888366271195</v>
      </c>
      <c r="G41" s="279">
        <f t="shared" si="10"/>
        <v>5.5314963154764598</v>
      </c>
      <c r="H41" s="274"/>
      <c r="I41" s="274"/>
      <c r="J41" s="274"/>
      <c r="K41" s="274"/>
      <c r="L41" s="274"/>
      <c r="M41" s="274"/>
      <c r="N41" s="274"/>
      <c r="O41" s="270"/>
      <c r="P41" s="359"/>
      <c r="Q41" s="474" t="s">
        <v>353</v>
      </c>
      <c r="R41" s="468">
        <f t="shared" si="3"/>
        <v>843678.88366271195</v>
      </c>
      <c r="S41" s="468">
        <f>(Data!Q38+Data!CD38)/S$6*100000*S$3</f>
        <v>0</v>
      </c>
      <c r="T41" s="468">
        <f>(Data!R38+Data!CE38)/T$6*100000*T$3</f>
        <v>0</v>
      </c>
      <c r="U41" s="468">
        <f>(Data!S38+Data!CF38)/U$6*100000*U$3</f>
        <v>0</v>
      </c>
      <c r="V41" s="468">
        <f>(Data!T38+Data!CG38)/V$6*100000*V$3</f>
        <v>0</v>
      </c>
      <c r="W41" s="468">
        <f>(Data!U38+Data!CH38)/W$6*100000*W$3</f>
        <v>3331.5406471755673</v>
      </c>
      <c r="X41" s="468">
        <f>(Data!V38+Data!CI38)/X$6*100000*X$3</f>
        <v>0</v>
      </c>
      <c r="Y41" s="468">
        <f>(Data!W38+Data!CJ38)/Y$6*100000*Y$3</f>
        <v>0</v>
      </c>
      <c r="Z41" s="468">
        <f>(Data!X38+Data!CK38)/Z$6*100000*Z$3</f>
        <v>3855.6021899820444</v>
      </c>
      <c r="AA41" s="468">
        <f>(Data!Y38+Data!CL38)/AA$6*100000*AA$3</f>
        <v>10289.729380117304</v>
      </c>
      <c r="AB41" s="468">
        <f>(Data!Z38+Data!CM38)/AB$6*100000*AB$3</f>
        <v>46500.151837230493</v>
      </c>
      <c r="AC41" s="468">
        <f>(Data!AA38+Data!CN38)/AC$6*100000*AC$3</f>
        <v>45285.948417148284</v>
      </c>
      <c r="AD41" s="468">
        <f>(Data!AB38+Data!CO38)/AD$6*100000*AD$3</f>
        <v>70089.705087831157</v>
      </c>
      <c r="AE41" s="468">
        <f>(Data!AC38+Data!CP38)/AE$6*100000*AE$3</f>
        <v>105529.75939214858</v>
      </c>
      <c r="AF41" s="468">
        <f>(Data!AD38+Data!CQ38)/AF$6*100000*AF$3</f>
        <v>122470.48603694051</v>
      </c>
      <c r="AG41" s="468">
        <f>(Data!AE38+Data!CR38)/AG$6*100000*AG$3</f>
        <v>143082.51091462743</v>
      </c>
      <c r="AH41" s="468">
        <f>(Data!AF38+Data!CS38)/AH$6*100000*AH$3</f>
        <v>117856.99464663651</v>
      </c>
      <c r="AI41" s="468">
        <f>(Data!AG38+Data!CT38)/AI$6*100000*AI$3</f>
        <v>76999.358338680511</v>
      </c>
      <c r="AJ41" s="468">
        <f>(Data!AH38+Data!CU38)/AJ$6*100000*AJ$3</f>
        <v>98387.096774193531</v>
      </c>
      <c r="AK41" s="474" t="s">
        <v>353</v>
      </c>
      <c r="AL41" s="468">
        <f t="shared" si="4"/>
        <v>553149.63154764601</v>
      </c>
      <c r="AM41" s="468">
        <f>(Data!Q38+Data!CD38)/AM$6*100000*AM$3</f>
        <v>0</v>
      </c>
      <c r="AN41" s="468">
        <f>(Data!R38+Data!CE38)/AN$6*100000*AN$3</f>
        <v>0</v>
      </c>
      <c r="AO41" s="468">
        <f>(Data!S38+Data!CF38)/AO$6*100000*AO$3</f>
        <v>0</v>
      </c>
      <c r="AP41" s="468">
        <f>(Data!T38+Data!CG38)/AP$6*100000*AP$3</f>
        <v>0</v>
      </c>
      <c r="AQ41" s="468">
        <f>(Data!U38+Data!CH38)/AQ$6*100000*AQ$3</f>
        <v>3807.4750253435059</v>
      </c>
      <c r="AR41" s="468">
        <f>(Data!V38+Data!CI38)/AR$6*100000*AR$3</f>
        <v>0</v>
      </c>
      <c r="AS41" s="468">
        <f>(Data!W38+Data!CJ38)/AS$6*100000*AS$3</f>
        <v>0</v>
      </c>
      <c r="AT41" s="468">
        <f>(Data!X38+Data!CK38)/AT$6*100000*AT$3</f>
        <v>3304.8018771274665</v>
      </c>
      <c r="AU41" s="468">
        <f>(Data!Y38+Data!CL38)/AU$6*100000*AU$3</f>
        <v>8819.7680401005455</v>
      </c>
      <c r="AV41" s="468">
        <f>(Data!Z38+Data!CM38)/AV$6*100000*AV$3</f>
        <v>39857.273003340422</v>
      </c>
      <c r="AW41" s="468">
        <f>(Data!AA38+Data!CN38)/AW$6*100000*AW$3</f>
        <v>32347.106012248772</v>
      </c>
      <c r="AX41" s="468">
        <f>(Data!AB38+Data!CO38)/AX$6*100000*AX$3</f>
        <v>46726.470058554107</v>
      </c>
      <c r="AY41" s="468">
        <f>(Data!AC38+Data!CP38)/AY$6*100000*AY$3</f>
        <v>84423.807513718872</v>
      </c>
      <c r="AZ41" s="468">
        <f>(Data!AD38+Data!CQ38)/AZ$6*100000*AZ$3</f>
        <v>91852.864527705387</v>
      </c>
      <c r="BA41" s="468">
        <f>(Data!AE38+Data!CR38)/BA$6*100000*BA$3</f>
        <v>95388.340609751627</v>
      </c>
      <c r="BB41" s="468">
        <f>(Data!AF38+Data!CS38)/BB$6*100000*BB$3</f>
        <v>58928.497323318254</v>
      </c>
      <c r="BC41" s="468">
        <f>(Data!AG38+Data!CT38)/BC$6*100000*BC$3</f>
        <v>38499.679169340256</v>
      </c>
      <c r="BD41" s="468">
        <f>(Data!AH38+Data!CU38)/BD$6*100000*BD$3</f>
        <v>49193.548387096766</v>
      </c>
      <c r="BE41" s="460"/>
      <c r="BF41" s="460"/>
      <c r="BG41" s="460"/>
      <c r="BH41" s="460"/>
      <c r="BI41" s="460"/>
      <c r="BJ41" s="460"/>
      <c r="BK41" s="460"/>
      <c r="BL41" s="460"/>
      <c r="BM41" s="460"/>
      <c r="BN41" s="460"/>
      <c r="BO41" s="460"/>
      <c r="BP41" s="460"/>
      <c r="BQ41" s="460"/>
      <c r="BR41" s="460"/>
      <c r="BS41" s="460"/>
      <c r="BT41" s="460"/>
      <c r="BU41" s="460"/>
      <c r="BV41" s="460"/>
      <c r="BW41" s="460"/>
      <c r="BX41" s="460"/>
      <c r="BY41" s="460"/>
      <c r="BZ41" s="460"/>
      <c r="CA41" s="460"/>
      <c r="CB41" s="460"/>
      <c r="CC41" s="460"/>
      <c r="CD41" s="460"/>
      <c r="CE41" s="460"/>
      <c r="CF41" s="460"/>
      <c r="CG41" s="460"/>
      <c r="CH41" s="460"/>
      <c r="CI41" s="460"/>
      <c r="CJ41" s="460"/>
      <c r="CK41" s="460"/>
      <c r="CL41" s="460"/>
      <c r="CM41" s="460"/>
      <c r="CN41" s="460"/>
      <c r="CO41" s="460"/>
      <c r="CP41" s="460"/>
      <c r="CQ41" s="460"/>
      <c r="CR41" s="460"/>
      <c r="CS41" s="460"/>
      <c r="CT41" s="460"/>
      <c r="CU41" s="460"/>
      <c r="CV41" s="460"/>
      <c r="CW41" s="460"/>
      <c r="CX41" s="460"/>
      <c r="CY41" s="460"/>
    </row>
    <row r="42" spans="1:103" s="350" customFormat="1" ht="12" customHeight="1">
      <c r="A42" s="269"/>
      <c r="B42" s="125" t="str">
        <f>UPPER(LEFT(TRIM(Data!B39),1)) &amp; MID(TRIM(Data!B39),2,50)</f>
        <v>Hodžkino limfomos</v>
      </c>
      <c r="C42" s="125" t="str">
        <f>Data!C39</f>
        <v>C81</v>
      </c>
      <c r="D42" s="126">
        <f>Data!D39+Data!BQ39</f>
        <v>48</v>
      </c>
      <c r="E42" s="127">
        <f t="shared" si="8"/>
        <v>1.6369028842569842</v>
      </c>
      <c r="F42" s="128">
        <f t="shared" si="9"/>
        <v>1.6889077415928315</v>
      </c>
      <c r="G42" s="129">
        <f t="shared" si="10"/>
        <v>1.7101978828673079</v>
      </c>
      <c r="H42" s="274"/>
      <c r="I42" s="274"/>
      <c r="J42" s="274"/>
      <c r="K42" s="274"/>
      <c r="L42" s="274"/>
      <c r="M42" s="274"/>
      <c r="N42" s="274"/>
      <c r="O42" s="270"/>
      <c r="P42" s="359"/>
      <c r="Q42" s="474" t="s">
        <v>353</v>
      </c>
      <c r="R42" s="468">
        <f t="shared" si="3"/>
        <v>168890.77415928314</v>
      </c>
      <c r="S42" s="468">
        <f>(Data!Q39+Data!CD39)/S$6*100000*S$3</f>
        <v>0</v>
      </c>
      <c r="T42" s="468">
        <f>(Data!R39+Data!CE39)/T$6*100000*T$3</f>
        <v>0</v>
      </c>
      <c r="U42" s="468">
        <f>(Data!S39+Data!CF39)/U$6*100000*U$3</f>
        <v>4994.6129531719353</v>
      </c>
      <c r="V42" s="468">
        <f>(Data!T39+Data!CG39)/V$6*100000*V$3</f>
        <v>28193.812321271369</v>
      </c>
      <c r="W42" s="468">
        <f>(Data!U39+Data!CH39)/W$6*100000*W$3</f>
        <v>29983.865824580105</v>
      </c>
      <c r="X42" s="468">
        <f>(Data!V39+Data!CI39)/X$6*100000*X$3</f>
        <v>25142.259006316352</v>
      </c>
      <c r="Y42" s="468">
        <f>(Data!W39+Data!CJ39)/Y$6*100000*Y$3</f>
        <v>19819.697381534839</v>
      </c>
      <c r="Z42" s="468">
        <f>(Data!X39+Data!CK39)/Z$6*100000*Z$3</f>
        <v>15422.408759928177</v>
      </c>
      <c r="AA42" s="468">
        <f>(Data!Y39+Data!CL39)/AA$6*100000*AA$3</f>
        <v>10289.729380117304</v>
      </c>
      <c r="AB42" s="468">
        <f>(Data!Z39+Data!CM39)/AB$6*100000*AB$3</f>
        <v>9964.3182508351056</v>
      </c>
      <c r="AC42" s="468">
        <f>(Data!AA39+Data!CN39)/AC$6*100000*AC$3</f>
        <v>9057.1896834296567</v>
      </c>
      <c r="AD42" s="468">
        <f>(Data!AB39+Data!CO39)/AD$6*100000*AD$3</f>
        <v>5840.8087573192633</v>
      </c>
      <c r="AE42" s="468">
        <f>(Data!AC39+Data!CP39)/AE$6*100000*AE$3</f>
        <v>2931.3822053374606</v>
      </c>
      <c r="AF42" s="468">
        <f>(Data!AD39+Data!CQ39)/AF$6*100000*AF$3</f>
        <v>2848.150838068384</v>
      </c>
      <c r="AG42" s="468">
        <f>(Data!AE39+Data!CR39)/AG$6*100000*AG$3</f>
        <v>4402.5387973731513</v>
      </c>
      <c r="AH42" s="468">
        <f>(Data!AF39+Data!CS39)/AH$6*100000*AH$3</f>
        <v>0</v>
      </c>
      <c r="AI42" s="468">
        <f>(Data!AG39+Data!CT39)/AI$6*100000*AI$3</f>
        <v>0</v>
      </c>
      <c r="AJ42" s="468">
        <f>(Data!AH39+Data!CU39)/AJ$6*100000*AJ$3</f>
        <v>0</v>
      </c>
      <c r="AK42" s="474" t="s">
        <v>353</v>
      </c>
      <c r="AL42" s="468">
        <f t="shared" si="4"/>
        <v>171019.78828673079</v>
      </c>
      <c r="AM42" s="468">
        <f>(Data!Q39+Data!CD39)/AM$6*100000*AM$3</f>
        <v>0</v>
      </c>
      <c r="AN42" s="468">
        <f>(Data!R39+Data!CE39)/AN$6*100000*AN$3</f>
        <v>0</v>
      </c>
      <c r="AO42" s="468">
        <f>(Data!S39+Data!CF39)/AO$6*100000*AO$3</f>
        <v>6421.6452255067743</v>
      </c>
      <c r="AP42" s="468">
        <f>(Data!T39+Data!CG39)/AP$6*100000*AP$3</f>
        <v>36249.18727020605</v>
      </c>
      <c r="AQ42" s="468">
        <f>(Data!U39+Data!CH39)/AQ$6*100000*AQ$3</f>
        <v>34267.275228091552</v>
      </c>
      <c r="AR42" s="468">
        <f>(Data!V39+Data!CI39)/AR$6*100000*AR$3</f>
        <v>28734.010292932977</v>
      </c>
      <c r="AS42" s="468">
        <f>(Data!W39+Data!CJ39)/AS$6*100000*AS$3</f>
        <v>16988.312041315574</v>
      </c>
      <c r="AT42" s="468">
        <f>(Data!X39+Data!CK39)/AT$6*100000*AT$3</f>
        <v>13219.207508509866</v>
      </c>
      <c r="AU42" s="468">
        <f>(Data!Y39+Data!CL39)/AU$6*100000*AU$3</f>
        <v>8819.7680401005455</v>
      </c>
      <c r="AV42" s="468">
        <f>(Data!Z39+Data!CM39)/AV$6*100000*AV$3</f>
        <v>8540.844215001518</v>
      </c>
      <c r="AW42" s="468">
        <f>(Data!AA39+Data!CN39)/AW$6*100000*AW$3</f>
        <v>6469.4212024497547</v>
      </c>
      <c r="AX42" s="468">
        <f>(Data!AB39+Data!CO39)/AX$6*100000*AX$3</f>
        <v>3893.8725048795091</v>
      </c>
      <c r="AY42" s="468">
        <f>(Data!AC39+Data!CP39)/AY$6*100000*AY$3</f>
        <v>2345.1057642699684</v>
      </c>
      <c r="AZ42" s="468">
        <f>(Data!AD39+Data!CQ39)/AZ$6*100000*AZ$3</f>
        <v>2136.1131285512879</v>
      </c>
      <c r="BA42" s="468">
        <f>(Data!AE39+Data!CR39)/BA$6*100000*BA$3</f>
        <v>2935.0258649154343</v>
      </c>
      <c r="BB42" s="468">
        <f>(Data!AF39+Data!CS39)/BB$6*100000*BB$3</f>
        <v>0</v>
      </c>
      <c r="BC42" s="468">
        <f>(Data!AG39+Data!CT39)/BC$6*100000*BC$3</f>
        <v>0</v>
      </c>
      <c r="BD42" s="468">
        <f>(Data!AH39+Data!CU39)/BD$6*100000*BD$3</f>
        <v>0</v>
      </c>
      <c r="BE42" s="460"/>
      <c r="BF42" s="460"/>
      <c r="BG42" s="460"/>
      <c r="BH42" s="460"/>
      <c r="BI42" s="460"/>
      <c r="BJ42" s="460"/>
      <c r="BK42" s="460"/>
      <c r="BL42" s="460"/>
      <c r="BM42" s="460"/>
      <c r="BN42" s="460"/>
      <c r="BO42" s="460"/>
      <c r="BP42" s="460"/>
      <c r="BQ42" s="460"/>
      <c r="BR42" s="460"/>
      <c r="BS42" s="460"/>
      <c r="BT42" s="460"/>
      <c r="BU42" s="460"/>
      <c r="BV42" s="460"/>
      <c r="BW42" s="460"/>
      <c r="BX42" s="460"/>
      <c r="BY42" s="460"/>
      <c r="BZ42" s="460"/>
      <c r="CA42" s="460"/>
      <c r="CB42" s="460"/>
      <c r="CC42" s="460"/>
      <c r="CD42" s="460"/>
      <c r="CE42" s="460"/>
      <c r="CF42" s="460"/>
      <c r="CG42" s="460"/>
      <c r="CH42" s="460"/>
      <c r="CI42" s="460"/>
      <c r="CJ42" s="460"/>
      <c r="CK42" s="460"/>
      <c r="CL42" s="460"/>
      <c r="CM42" s="460"/>
      <c r="CN42" s="460"/>
      <c r="CO42" s="460"/>
      <c r="CP42" s="460"/>
      <c r="CQ42" s="460"/>
      <c r="CR42" s="460"/>
      <c r="CS42" s="460"/>
      <c r="CT42" s="460"/>
      <c r="CU42" s="460"/>
      <c r="CV42" s="460"/>
      <c r="CW42" s="460"/>
      <c r="CX42" s="460"/>
      <c r="CY42" s="460"/>
    </row>
    <row r="43" spans="1:103" s="350" customFormat="1" ht="12" customHeight="1">
      <c r="A43" s="269"/>
      <c r="B43" s="276" t="str">
        <f>UPPER(LEFT(TRIM(Data!B40),1)) &amp; MID(TRIM(Data!B40),2,50)</f>
        <v>Ne Hodžkino limfomos</v>
      </c>
      <c r="C43" s="276" t="str">
        <f>Data!C40</f>
        <v>C82-C85</v>
      </c>
      <c r="D43" s="277">
        <f>Data!D40+Data!BQ40</f>
        <v>331</v>
      </c>
      <c r="E43" s="278">
        <f t="shared" si="8"/>
        <v>11.287809472688787</v>
      </c>
      <c r="F43" s="279">
        <f t="shared" si="9"/>
        <v>8.0988876820315294</v>
      </c>
      <c r="G43" s="279">
        <f t="shared" si="10"/>
        <v>5.8883866730863907</v>
      </c>
      <c r="H43" s="274"/>
      <c r="I43" s="274"/>
      <c r="J43" s="274"/>
      <c r="K43" s="274"/>
      <c r="L43" s="274"/>
      <c r="M43" s="274"/>
      <c r="N43" s="274"/>
      <c r="O43" s="270"/>
      <c r="P43" s="359"/>
      <c r="Q43" s="474" t="s">
        <v>353</v>
      </c>
      <c r="R43" s="468">
        <f t="shared" si="3"/>
        <v>809888.76820315293</v>
      </c>
      <c r="S43" s="468">
        <f>(Data!Q40+Data!CD40)/S$6*100000*S$3</f>
        <v>5305.3916042177862</v>
      </c>
      <c r="T43" s="468">
        <f>(Data!R40+Data!CE40)/T$6*100000*T$3</f>
        <v>5115.6876214975809</v>
      </c>
      <c r="U43" s="468">
        <f>(Data!S40+Data!CF40)/U$6*100000*U$3</f>
        <v>4994.6129531719353</v>
      </c>
      <c r="V43" s="468">
        <f>(Data!T40+Data!CG40)/V$6*100000*V$3</f>
        <v>12083.062423402016</v>
      </c>
      <c r="W43" s="468">
        <f>(Data!U40+Data!CH40)/W$6*100000*W$3</f>
        <v>6663.0812943511346</v>
      </c>
      <c r="X43" s="468">
        <f>(Data!V40+Data!CI40)/X$6*100000*X$3</f>
        <v>10775.253859849865</v>
      </c>
      <c r="Y43" s="468">
        <f>(Data!W40+Data!CJ40)/Y$6*100000*Y$3</f>
        <v>27747.576334148773</v>
      </c>
      <c r="Z43" s="468">
        <f>(Data!X40+Data!CK40)/Z$6*100000*Z$3</f>
        <v>23133.613139892263</v>
      </c>
      <c r="AA43" s="468">
        <f>(Data!Y40+Data!CL40)/AA$6*100000*AA$3</f>
        <v>24009.368553607037</v>
      </c>
      <c r="AB43" s="468">
        <f>(Data!Z40+Data!CM40)/AB$6*100000*AB$3</f>
        <v>29892.954752505317</v>
      </c>
      <c r="AC43" s="468">
        <f>(Data!AA40+Data!CN40)/AC$6*100000*AC$3</f>
        <v>78495.64392305701</v>
      </c>
      <c r="AD43" s="468">
        <f>(Data!AB40+Data!CO40)/AD$6*100000*AD$3</f>
        <v>81771.322602469678</v>
      </c>
      <c r="AE43" s="468">
        <f>(Data!AC40+Data!CP40)/AE$6*100000*AE$3</f>
        <v>126049.43482951082</v>
      </c>
      <c r="AF43" s="468">
        <f>(Data!AD40+Data!CQ40)/AF$6*100000*AF$3</f>
        <v>113926.03352273536</v>
      </c>
      <c r="AG43" s="468">
        <f>(Data!AE40+Data!CR40)/AG$6*100000*AG$3</f>
        <v>90252.045346149622</v>
      </c>
      <c r="AH43" s="468">
        <f>(Data!AF40+Data!CS40)/AH$6*100000*AH$3</f>
        <v>91297.671909366312</v>
      </c>
      <c r="AI43" s="468">
        <f>(Data!AG40+Data!CT40)/AI$6*100000*AI$3</f>
        <v>39666.33611386572</v>
      </c>
      <c r="AJ43" s="468">
        <f>(Data!AH40+Data!CU40)/AJ$6*100000*AJ$3</f>
        <v>38709.677419354841</v>
      </c>
      <c r="AK43" s="474" t="s">
        <v>353</v>
      </c>
      <c r="AL43" s="468">
        <f t="shared" si="4"/>
        <v>588838.66730863904</v>
      </c>
      <c r="AM43" s="468">
        <f>(Data!Q40+Data!CD40)/AM$6*100000*AM$3</f>
        <v>7958.0874063266792</v>
      </c>
      <c r="AN43" s="468">
        <f>(Data!R40+Data!CE40)/AN$6*100000*AN$3</f>
        <v>7308.1251735679734</v>
      </c>
      <c r="AO43" s="468">
        <f>(Data!S40+Data!CF40)/AO$6*100000*AO$3</f>
        <v>6421.6452255067743</v>
      </c>
      <c r="AP43" s="468">
        <f>(Data!T40+Data!CG40)/AP$6*100000*AP$3</f>
        <v>15535.365972945448</v>
      </c>
      <c r="AQ43" s="468">
        <f>(Data!U40+Data!CH40)/AQ$6*100000*AQ$3</f>
        <v>7614.9500506870118</v>
      </c>
      <c r="AR43" s="468">
        <f>(Data!V40+Data!CI40)/AR$6*100000*AR$3</f>
        <v>12314.575839828416</v>
      </c>
      <c r="AS43" s="468">
        <f>(Data!W40+Data!CJ40)/AS$6*100000*AS$3</f>
        <v>23783.636857841804</v>
      </c>
      <c r="AT43" s="468">
        <f>(Data!X40+Data!CK40)/AT$6*100000*AT$3</f>
        <v>19828.811262764797</v>
      </c>
      <c r="AU43" s="468">
        <f>(Data!Y40+Data!CL40)/AU$6*100000*AU$3</f>
        <v>20579.458760234604</v>
      </c>
      <c r="AV43" s="468">
        <f>(Data!Z40+Data!CM40)/AV$6*100000*AV$3</f>
        <v>25622.532645004558</v>
      </c>
      <c r="AW43" s="468">
        <f>(Data!AA40+Data!CN40)/AW$6*100000*AW$3</f>
        <v>56068.317087897864</v>
      </c>
      <c r="AX43" s="468">
        <f>(Data!AB40+Data!CO40)/AX$6*100000*AX$3</f>
        <v>54514.215068313119</v>
      </c>
      <c r="AY43" s="468">
        <f>(Data!AC40+Data!CP40)/AY$6*100000*AY$3</f>
        <v>100839.54786360866</v>
      </c>
      <c r="AZ43" s="468">
        <f>(Data!AD40+Data!CQ40)/AZ$6*100000*AZ$3</f>
        <v>85444.525142051527</v>
      </c>
      <c r="BA43" s="468">
        <f>(Data!AE40+Data!CR40)/BA$6*100000*BA$3</f>
        <v>60168.03023076641</v>
      </c>
      <c r="BB43" s="468">
        <f>(Data!AF40+Data!CS40)/BB$6*100000*BB$3</f>
        <v>45648.835954683156</v>
      </c>
      <c r="BC43" s="468">
        <f>(Data!AG40+Data!CT40)/BC$6*100000*BC$3</f>
        <v>19833.16805693286</v>
      </c>
      <c r="BD43" s="468">
        <f>(Data!AH40+Data!CU40)/BD$6*100000*BD$3</f>
        <v>19354.83870967742</v>
      </c>
      <c r="BE43" s="460"/>
      <c r="BF43" s="460"/>
      <c r="BG43" s="460"/>
      <c r="BH43" s="460"/>
      <c r="BI43" s="460"/>
      <c r="BJ43" s="460"/>
      <c r="BK43" s="460"/>
      <c r="BL43" s="460"/>
      <c r="BM43" s="460"/>
      <c r="BN43" s="460"/>
      <c r="BO43" s="460"/>
      <c r="BP43" s="460"/>
      <c r="BQ43" s="460"/>
      <c r="BR43" s="460"/>
      <c r="BS43" s="460"/>
      <c r="BT43" s="460"/>
      <c r="BU43" s="460"/>
      <c r="BV43" s="460"/>
      <c r="BW43" s="460"/>
      <c r="BX43" s="460"/>
      <c r="BY43" s="460"/>
      <c r="BZ43" s="460"/>
      <c r="CA43" s="460"/>
      <c r="CB43" s="460"/>
      <c r="CC43" s="460"/>
      <c r="CD43" s="460"/>
      <c r="CE43" s="460"/>
      <c r="CF43" s="460"/>
      <c r="CG43" s="460"/>
      <c r="CH43" s="460"/>
      <c r="CI43" s="460"/>
      <c r="CJ43" s="460"/>
      <c r="CK43" s="460"/>
      <c r="CL43" s="460"/>
      <c r="CM43" s="460"/>
      <c r="CN43" s="460"/>
      <c r="CO43" s="460"/>
      <c r="CP43" s="460"/>
      <c r="CQ43" s="460"/>
      <c r="CR43" s="460"/>
      <c r="CS43" s="460"/>
      <c r="CT43" s="460"/>
      <c r="CU43" s="460"/>
      <c r="CV43" s="460"/>
      <c r="CW43" s="460"/>
      <c r="CX43" s="460"/>
      <c r="CY43" s="460"/>
    </row>
    <row r="44" spans="1:103" s="350" customFormat="1" ht="12" customHeight="1">
      <c r="A44" s="269"/>
      <c r="B44" s="125" t="str">
        <f>UPPER(LEFT(TRIM(Data!B41),1)) &amp; MID(TRIM(Data!B41),2,50)</f>
        <v>Mielominės ligos</v>
      </c>
      <c r="C44" s="125" t="str">
        <f>Data!C41</f>
        <v>C90</v>
      </c>
      <c r="D44" s="126">
        <f>Data!D41+Data!BQ41</f>
        <v>163</v>
      </c>
      <c r="E44" s="127">
        <f t="shared" si="8"/>
        <v>5.558649377789342</v>
      </c>
      <c r="F44" s="128">
        <f t="shared" si="9"/>
        <v>3.8547661938386022</v>
      </c>
      <c r="G44" s="129">
        <f t="shared" si="10"/>
        <v>2.6507513790016883</v>
      </c>
      <c r="H44" s="274"/>
      <c r="I44" s="274"/>
      <c r="J44" s="274"/>
      <c r="K44" s="274"/>
      <c r="L44" s="274"/>
      <c r="M44" s="274"/>
      <c r="N44" s="274"/>
      <c r="O44" s="270"/>
      <c r="P44" s="359"/>
      <c r="Q44" s="474" t="s">
        <v>353</v>
      </c>
      <c r="R44" s="468">
        <f t="shared" si="3"/>
        <v>385476.6193838602</v>
      </c>
      <c r="S44" s="468">
        <f>(Data!Q41+Data!CD41)/S$6*100000*S$3</f>
        <v>0</v>
      </c>
      <c r="T44" s="468">
        <f>(Data!R41+Data!CE41)/T$6*100000*T$3</f>
        <v>0</v>
      </c>
      <c r="U44" s="468">
        <f>(Data!S41+Data!CF41)/U$6*100000*U$3</f>
        <v>0</v>
      </c>
      <c r="V44" s="468">
        <f>(Data!T41+Data!CG41)/V$6*100000*V$3</f>
        <v>0</v>
      </c>
      <c r="W44" s="468">
        <f>(Data!U41+Data!CH41)/W$6*100000*W$3</f>
        <v>0</v>
      </c>
      <c r="X44" s="468">
        <f>(Data!V41+Data!CI41)/X$6*100000*X$3</f>
        <v>3591.7512866166221</v>
      </c>
      <c r="Y44" s="468">
        <f>(Data!W41+Data!CJ41)/Y$6*100000*Y$3</f>
        <v>0</v>
      </c>
      <c r="Z44" s="468">
        <f>(Data!X41+Data!CK41)/Z$6*100000*Z$3</f>
        <v>3855.6021899820444</v>
      </c>
      <c r="AA44" s="468">
        <f>(Data!Y41+Data!CL41)/AA$6*100000*AA$3</f>
        <v>10289.729380117304</v>
      </c>
      <c r="AB44" s="468">
        <f>(Data!Z41+Data!CM41)/AB$6*100000*AB$3</f>
        <v>19928.636501670211</v>
      </c>
      <c r="AC44" s="468">
        <f>(Data!AA41+Data!CN41)/AC$6*100000*AC$3</f>
        <v>48305.011644958162</v>
      </c>
      <c r="AD44" s="468">
        <f>(Data!AB41+Data!CO41)/AD$6*100000*AD$3</f>
        <v>67169.300709171541</v>
      </c>
      <c r="AE44" s="468">
        <f>(Data!AC41+Data!CP41)/AE$6*100000*AE$3</f>
        <v>38107.968669386995</v>
      </c>
      <c r="AF44" s="468">
        <f>(Data!AD41+Data!CQ41)/AF$6*100000*AF$3</f>
        <v>56963.016761367682</v>
      </c>
      <c r="AG44" s="468">
        <f>(Data!AE41+Data!CR41)/AG$6*100000*AG$3</f>
        <v>63836.812561910694</v>
      </c>
      <c r="AH44" s="468">
        <f>(Data!AF41+Data!CS41)/AH$6*100000*AH$3</f>
        <v>34859.111092667132</v>
      </c>
      <c r="AI44" s="468">
        <f>(Data!AG41+Data!CT41)/AI$6*100000*AI$3</f>
        <v>25666.452779560172</v>
      </c>
      <c r="AJ44" s="468">
        <f>(Data!AH41+Data!CU41)/AJ$6*100000*AJ$3</f>
        <v>12903.225806451614</v>
      </c>
      <c r="AK44" s="474" t="s">
        <v>353</v>
      </c>
      <c r="AL44" s="468">
        <f t="shared" si="4"/>
        <v>265075.13790016883</v>
      </c>
      <c r="AM44" s="468">
        <f>(Data!Q41+Data!CD41)/AM$6*100000*AM$3</f>
        <v>0</v>
      </c>
      <c r="AN44" s="468">
        <f>(Data!R41+Data!CE41)/AN$6*100000*AN$3</f>
        <v>0</v>
      </c>
      <c r="AO44" s="468">
        <f>(Data!S41+Data!CF41)/AO$6*100000*AO$3</f>
        <v>0</v>
      </c>
      <c r="AP44" s="468">
        <f>(Data!T41+Data!CG41)/AP$6*100000*AP$3</f>
        <v>0</v>
      </c>
      <c r="AQ44" s="468">
        <f>(Data!U41+Data!CH41)/AQ$6*100000*AQ$3</f>
        <v>0</v>
      </c>
      <c r="AR44" s="468">
        <f>(Data!V41+Data!CI41)/AR$6*100000*AR$3</f>
        <v>4104.8586132761393</v>
      </c>
      <c r="AS44" s="468">
        <f>(Data!W41+Data!CJ41)/AS$6*100000*AS$3</f>
        <v>0</v>
      </c>
      <c r="AT44" s="468">
        <f>(Data!X41+Data!CK41)/AT$6*100000*AT$3</f>
        <v>3304.8018771274665</v>
      </c>
      <c r="AU44" s="468">
        <f>(Data!Y41+Data!CL41)/AU$6*100000*AU$3</f>
        <v>8819.7680401005455</v>
      </c>
      <c r="AV44" s="468">
        <f>(Data!Z41+Data!CM41)/AV$6*100000*AV$3</f>
        <v>17081.688430003036</v>
      </c>
      <c r="AW44" s="468">
        <f>(Data!AA41+Data!CN41)/AW$6*100000*AW$3</f>
        <v>34503.579746398689</v>
      </c>
      <c r="AX44" s="468">
        <f>(Data!AB41+Data!CO41)/AX$6*100000*AX$3</f>
        <v>44779.533806114356</v>
      </c>
      <c r="AY44" s="468">
        <f>(Data!AC41+Data!CP41)/AY$6*100000*AY$3</f>
        <v>30486.374935509593</v>
      </c>
      <c r="AZ44" s="468">
        <f>(Data!AD41+Data!CQ41)/AZ$6*100000*AZ$3</f>
        <v>42722.262571025763</v>
      </c>
      <c r="BA44" s="468">
        <f>(Data!AE41+Data!CR41)/BA$6*100000*BA$3</f>
        <v>42557.875041273794</v>
      </c>
      <c r="BB44" s="468">
        <f>(Data!AF41+Data!CS41)/BB$6*100000*BB$3</f>
        <v>17429.555546333566</v>
      </c>
      <c r="BC44" s="468">
        <f>(Data!AG41+Data!CT41)/BC$6*100000*BC$3</f>
        <v>12833.226389780086</v>
      </c>
      <c r="BD44" s="468">
        <f>(Data!AH41+Data!CU41)/BD$6*100000*BD$3</f>
        <v>6451.6129032258068</v>
      </c>
      <c r="BE44" s="460"/>
      <c r="BF44" s="460"/>
      <c r="BG44" s="460"/>
      <c r="BH44" s="460"/>
      <c r="BI44" s="460"/>
      <c r="BJ44" s="460"/>
      <c r="BK44" s="460"/>
      <c r="BL44" s="460"/>
      <c r="BM44" s="460"/>
      <c r="BN44" s="460"/>
      <c r="BO44" s="460"/>
      <c r="BP44" s="460"/>
      <c r="BQ44" s="460"/>
      <c r="BR44" s="460"/>
      <c r="BS44" s="460"/>
      <c r="BT44" s="460"/>
      <c r="BU44" s="460"/>
      <c r="BV44" s="460"/>
      <c r="BW44" s="460"/>
      <c r="BX44" s="460"/>
      <c r="BY44" s="460"/>
      <c r="BZ44" s="460"/>
      <c r="CA44" s="460"/>
      <c r="CB44" s="460"/>
      <c r="CC44" s="460"/>
      <c r="CD44" s="460"/>
      <c r="CE44" s="460"/>
      <c r="CF44" s="460"/>
      <c r="CG44" s="460"/>
      <c r="CH44" s="460"/>
      <c r="CI44" s="460"/>
      <c r="CJ44" s="460"/>
      <c r="CK44" s="460"/>
      <c r="CL44" s="460"/>
      <c r="CM44" s="460"/>
      <c r="CN44" s="460"/>
      <c r="CO44" s="460"/>
      <c r="CP44" s="460"/>
      <c r="CQ44" s="460"/>
      <c r="CR44" s="460"/>
      <c r="CS44" s="460"/>
      <c r="CT44" s="460"/>
      <c r="CU44" s="460"/>
      <c r="CV44" s="460"/>
      <c r="CW44" s="460"/>
      <c r="CX44" s="460"/>
      <c r="CY44" s="460"/>
    </row>
    <row r="45" spans="1:103" s="350" customFormat="1" ht="12" customHeight="1">
      <c r="A45" s="269"/>
      <c r="B45" s="276" t="str">
        <f>UPPER(LEFT(TRIM(Data!B42),1)) &amp; MID(TRIM(Data!B42),2,50)</f>
        <v>Leukemijos</v>
      </c>
      <c r="C45" s="276" t="str">
        <f>Data!C42</f>
        <v>C91-C95</v>
      </c>
      <c r="D45" s="277">
        <f>Data!D42+Data!BQ42</f>
        <v>473</v>
      </c>
      <c r="E45" s="278">
        <f t="shared" si="8"/>
        <v>16.130313838615699</v>
      </c>
      <c r="F45" s="279">
        <f t="shared" si="9"/>
        <v>11.509359698793595</v>
      </c>
      <c r="G45" s="279">
        <f t="shared" si="10"/>
        <v>9.0396801722380911</v>
      </c>
      <c r="H45" s="274"/>
      <c r="I45" s="274"/>
      <c r="J45" s="274"/>
      <c r="K45" s="274"/>
      <c r="L45" s="274"/>
      <c r="M45" s="274"/>
      <c r="N45" s="274"/>
      <c r="O45" s="270"/>
      <c r="P45" s="359"/>
      <c r="Q45" s="474" t="s">
        <v>353</v>
      </c>
      <c r="R45" s="468">
        <f t="shared" si="3"/>
        <v>1150935.9698793595</v>
      </c>
      <c r="S45" s="468">
        <f>(Data!Q42+Data!CD42)/S$6*100000*S$3</f>
        <v>106107.83208435572</v>
      </c>
      <c r="T45" s="468">
        <f>(Data!R42+Data!CE42)/T$6*100000*T$3</f>
        <v>15347.062864492742</v>
      </c>
      <c r="U45" s="468">
        <f>(Data!S42+Data!CF42)/U$6*100000*U$3</f>
        <v>14983.838859515807</v>
      </c>
      <c r="V45" s="468">
        <f>(Data!T42+Data!CG42)/V$6*100000*V$3</f>
        <v>12083.062423402016</v>
      </c>
      <c r="W45" s="468">
        <f>(Data!U42+Data!CH42)/W$6*100000*W$3</f>
        <v>16657.703235877838</v>
      </c>
      <c r="X45" s="468">
        <f>(Data!V42+Data!CI42)/X$6*100000*X$3</f>
        <v>17958.756433083105</v>
      </c>
      <c r="Y45" s="468">
        <f>(Data!W42+Data!CJ42)/Y$6*100000*Y$3</f>
        <v>23783.636857841804</v>
      </c>
      <c r="Z45" s="468">
        <f>(Data!X42+Data!CK42)/Z$6*100000*Z$3</f>
        <v>11566.806569946131</v>
      </c>
      <c r="AA45" s="468">
        <f>(Data!Y42+Data!CL42)/AA$6*100000*AA$3</f>
        <v>37729.007727096774</v>
      </c>
      <c r="AB45" s="468">
        <f>(Data!Z42+Data!CM42)/AB$6*100000*AB$3</f>
        <v>29892.954752505317</v>
      </c>
      <c r="AC45" s="468">
        <f>(Data!AA42+Data!CN42)/AC$6*100000*AC$3</f>
        <v>102648.14974553609</v>
      </c>
      <c r="AD45" s="468">
        <f>(Data!AB42+Data!CO42)/AD$6*100000*AD$3</f>
        <v>96373.344495767844</v>
      </c>
      <c r="AE45" s="468">
        <f>(Data!AC42+Data!CP42)/AE$6*100000*AE$3</f>
        <v>120186.67041883589</v>
      </c>
      <c r="AF45" s="468">
        <f>(Data!AD42+Data!CQ42)/AF$6*100000*AF$3</f>
        <v>122470.48603694051</v>
      </c>
      <c r="AG45" s="468">
        <f>(Data!AE42+Data!CR42)/AG$6*100000*AG$3</f>
        <v>138679.97211725428</v>
      </c>
      <c r="AH45" s="468">
        <f>(Data!AF42+Data!CS42)/AH$6*100000*AH$3</f>
        <v>127816.74067311283</v>
      </c>
      <c r="AI45" s="468">
        <f>(Data!AG42+Data!CT42)/AI$6*100000*AI$3</f>
        <v>71166.073616053196</v>
      </c>
      <c r="AJ45" s="468">
        <f>(Data!AH42+Data!CU42)/AJ$6*100000*AJ$3</f>
        <v>85483.870967741939</v>
      </c>
      <c r="AK45" s="474" t="s">
        <v>353</v>
      </c>
      <c r="AL45" s="468">
        <f t="shared" si="4"/>
        <v>903968.01722380915</v>
      </c>
      <c r="AM45" s="468">
        <f>(Data!Q42+Data!CD42)/AM$6*100000*AM$3</f>
        <v>159161.74812653358</v>
      </c>
      <c r="AN45" s="468">
        <f>(Data!R42+Data!CE42)/AN$6*100000*AN$3</f>
        <v>21924.375520703918</v>
      </c>
      <c r="AO45" s="468">
        <f>(Data!S42+Data!CF42)/AO$6*100000*AO$3</f>
        <v>19264.935676520323</v>
      </c>
      <c r="AP45" s="468">
        <f>(Data!T42+Data!CG42)/AP$6*100000*AP$3</f>
        <v>15535.365972945448</v>
      </c>
      <c r="AQ45" s="468">
        <f>(Data!U42+Data!CH42)/AQ$6*100000*AQ$3</f>
        <v>19037.375126717528</v>
      </c>
      <c r="AR45" s="468">
        <f>(Data!V42+Data!CI42)/AR$6*100000*AR$3</f>
        <v>20524.293066380695</v>
      </c>
      <c r="AS45" s="468">
        <f>(Data!W42+Data!CJ42)/AS$6*100000*AS$3</f>
        <v>20385.974449578687</v>
      </c>
      <c r="AT45" s="468">
        <f>(Data!X42+Data!CK42)/AT$6*100000*AT$3</f>
        <v>9914.4056313823985</v>
      </c>
      <c r="AU45" s="468">
        <f>(Data!Y42+Data!CL42)/AU$6*100000*AU$3</f>
        <v>32339.149480368666</v>
      </c>
      <c r="AV45" s="468">
        <f>(Data!Z42+Data!CM42)/AV$6*100000*AV$3</f>
        <v>25622.532645004558</v>
      </c>
      <c r="AW45" s="468">
        <f>(Data!AA42+Data!CN42)/AW$6*100000*AW$3</f>
        <v>73320.106961097219</v>
      </c>
      <c r="AX45" s="468">
        <f>(Data!AB42+Data!CO42)/AX$6*100000*AX$3</f>
        <v>64248.896330511896</v>
      </c>
      <c r="AY45" s="468">
        <f>(Data!AC42+Data!CP42)/AY$6*100000*AY$3</f>
        <v>96149.336335068714</v>
      </c>
      <c r="AZ45" s="468">
        <f>(Data!AD42+Data!CQ42)/AZ$6*100000*AZ$3</f>
        <v>91852.864527705387</v>
      </c>
      <c r="BA45" s="468">
        <f>(Data!AE42+Data!CR42)/BA$6*100000*BA$3</f>
        <v>92453.314744836185</v>
      </c>
      <c r="BB45" s="468">
        <f>(Data!AF42+Data!CS42)/BB$6*100000*BB$3</f>
        <v>63908.370336556414</v>
      </c>
      <c r="BC45" s="468">
        <f>(Data!AG42+Data!CT42)/BC$6*100000*BC$3</f>
        <v>35583.036808026598</v>
      </c>
      <c r="BD45" s="468">
        <f>(Data!AH42+Data!CU42)/BD$6*100000*BD$3</f>
        <v>42741.93548387097</v>
      </c>
      <c r="BE45" s="460"/>
      <c r="BF45" s="460"/>
      <c r="BG45" s="460"/>
      <c r="BH45" s="460"/>
      <c r="BI45" s="460"/>
      <c r="BJ45" s="460"/>
      <c r="BK45" s="460"/>
      <c r="BL45" s="460"/>
      <c r="BM45" s="460"/>
      <c r="BN45" s="460"/>
      <c r="BO45" s="460"/>
      <c r="BP45" s="460"/>
      <c r="BQ45" s="460"/>
      <c r="BR45" s="460"/>
      <c r="BS45" s="460"/>
      <c r="BT45" s="460"/>
      <c r="BU45" s="460"/>
      <c r="BV45" s="460"/>
      <c r="BW45" s="460"/>
      <c r="BX45" s="460"/>
      <c r="BY45" s="460"/>
      <c r="BZ45" s="460"/>
      <c r="CA45" s="460"/>
      <c r="CB45" s="460"/>
      <c r="CC45" s="460"/>
      <c r="CD45" s="460"/>
      <c r="CE45" s="460"/>
      <c r="CF45" s="460"/>
      <c r="CG45" s="460"/>
      <c r="CH45" s="460"/>
      <c r="CI45" s="460"/>
      <c r="CJ45" s="460"/>
      <c r="CK45" s="460"/>
      <c r="CL45" s="460"/>
      <c r="CM45" s="460"/>
      <c r="CN45" s="460"/>
      <c r="CO45" s="460"/>
      <c r="CP45" s="460"/>
      <c r="CQ45" s="460"/>
      <c r="CR45" s="460"/>
      <c r="CS45" s="460"/>
      <c r="CT45" s="460"/>
      <c r="CU45" s="460"/>
      <c r="CV45" s="460"/>
      <c r="CW45" s="460"/>
      <c r="CX45" s="460"/>
      <c r="CY45" s="460"/>
    </row>
    <row r="46" spans="1:103" s="350" customFormat="1" ht="12" customHeight="1">
      <c r="A46" s="269"/>
      <c r="B46" s="125" t="str">
        <f>UPPER(LEFT(TRIM(Data!B43),1)) &amp; MID(TRIM(Data!B43),2,50)</f>
        <v>Kiti limfinio, kraujodaros audinių</v>
      </c>
      <c r="C46" s="125" t="str">
        <f>Data!C43</f>
        <v>C88, C96</v>
      </c>
      <c r="D46" s="126">
        <f>Data!D43+Data!BQ43</f>
        <v>13</v>
      </c>
      <c r="E46" s="127">
        <f t="shared" si="8"/>
        <v>0.44332786448626654</v>
      </c>
      <c r="F46" s="128">
        <f t="shared" si="9"/>
        <v>0.36350242479679373</v>
      </c>
      <c r="G46" s="129">
        <f t="shared" si="10"/>
        <v>0.30090870846714168</v>
      </c>
      <c r="H46" s="274"/>
      <c r="I46" s="274"/>
      <c r="J46" s="274"/>
      <c r="K46" s="274"/>
      <c r="L46" s="274"/>
      <c r="M46" s="274"/>
      <c r="N46" s="274"/>
      <c r="O46" s="270"/>
      <c r="P46" s="359"/>
      <c r="Q46" s="474" t="s">
        <v>353</v>
      </c>
      <c r="R46" s="468">
        <f t="shared" si="3"/>
        <v>36350.242479679371</v>
      </c>
      <c r="S46" s="468">
        <f>(Data!Q43+Data!CD43)/S$6*100000*S$3</f>
        <v>0</v>
      </c>
      <c r="T46" s="468">
        <f>(Data!R43+Data!CE43)/T$6*100000*T$3</f>
        <v>0</v>
      </c>
      <c r="U46" s="468">
        <f>(Data!S43+Data!CF43)/U$6*100000*U$3</f>
        <v>4994.6129531719353</v>
      </c>
      <c r="V46" s="468">
        <f>(Data!T43+Data!CG43)/V$6*100000*V$3</f>
        <v>0</v>
      </c>
      <c r="W46" s="468">
        <f>(Data!U43+Data!CH43)/W$6*100000*W$3</f>
        <v>3331.5406471755673</v>
      </c>
      <c r="X46" s="468">
        <f>(Data!V43+Data!CI43)/X$6*100000*X$3</f>
        <v>0</v>
      </c>
      <c r="Y46" s="468">
        <f>(Data!W43+Data!CJ43)/Y$6*100000*Y$3</f>
        <v>0</v>
      </c>
      <c r="Z46" s="468">
        <f>(Data!X43+Data!CK43)/Z$6*100000*Z$3</f>
        <v>3855.6021899820444</v>
      </c>
      <c r="AA46" s="468">
        <f>(Data!Y43+Data!CL43)/AA$6*100000*AA$3</f>
        <v>0</v>
      </c>
      <c r="AB46" s="468">
        <f>(Data!Z43+Data!CM43)/AB$6*100000*AB$3</f>
        <v>0</v>
      </c>
      <c r="AC46" s="468">
        <f>(Data!AA43+Data!CN43)/AC$6*100000*AC$3</f>
        <v>6038.1264556197702</v>
      </c>
      <c r="AD46" s="468">
        <f>(Data!AB43+Data!CO43)/AD$6*100000*AD$3</f>
        <v>2920.4043786596317</v>
      </c>
      <c r="AE46" s="468">
        <f>(Data!AC43+Data!CP43)/AE$6*100000*AE$3</f>
        <v>2931.3822053374606</v>
      </c>
      <c r="AF46" s="468">
        <f>(Data!AD43+Data!CQ43)/AF$6*100000*AF$3</f>
        <v>2848.150838068384</v>
      </c>
      <c r="AG46" s="468">
        <f>(Data!AE43+Data!CR43)/AG$6*100000*AG$3</f>
        <v>6603.8081960597274</v>
      </c>
      <c r="AH46" s="468">
        <f>(Data!AF43+Data!CS43)/AH$6*100000*AH$3</f>
        <v>1659.9576710793874</v>
      </c>
      <c r="AI46" s="468">
        <f>(Data!AG43+Data!CT43)/AI$6*100000*AI$3</f>
        <v>1166.6569445254624</v>
      </c>
      <c r="AJ46" s="468">
        <f>(Data!AH43+Data!CU43)/AJ$6*100000*AJ$3</f>
        <v>0</v>
      </c>
      <c r="AK46" s="474" t="s">
        <v>353</v>
      </c>
      <c r="AL46" s="468">
        <f t="shared" si="4"/>
        <v>30090.87084671417</v>
      </c>
      <c r="AM46" s="468">
        <f>(Data!Q43+Data!CD43)/AM$6*100000*AM$3</f>
        <v>0</v>
      </c>
      <c r="AN46" s="468">
        <f>(Data!R43+Data!CE43)/AN$6*100000*AN$3</f>
        <v>0</v>
      </c>
      <c r="AO46" s="468">
        <f>(Data!S43+Data!CF43)/AO$6*100000*AO$3</f>
        <v>6421.6452255067743</v>
      </c>
      <c r="AP46" s="468">
        <f>(Data!T43+Data!CG43)/AP$6*100000*AP$3</f>
        <v>0</v>
      </c>
      <c r="AQ46" s="468">
        <f>(Data!U43+Data!CH43)/AQ$6*100000*AQ$3</f>
        <v>3807.4750253435059</v>
      </c>
      <c r="AR46" s="468">
        <f>(Data!V43+Data!CI43)/AR$6*100000*AR$3</f>
        <v>0</v>
      </c>
      <c r="AS46" s="468">
        <f>(Data!W43+Data!CJ43)/AS$6*100000*AS$3</f>
        <v>0</v>
      </c>
      <c r="AT46" s="468">
        <f>(Data!X43+Data!CK43)/AT$6*100000*AT$3</f>
        <v>3304.8018771274665</v>
      </c>
      <c r="AU46" s="468">
        <f>(Data!Y43+Data!CL43)/AU$6*100000*AU$3</f>
        <v>0</v>
      </c>
      <c r="AV46" s="468">
        <f>(Data!Z43+Data!CM43)/AV$6*100000*AV$3</f>
        <v>0</v>
      </c>
      <c r="AW46" s="468">
        <f>(Data!AA43+Data!CN43)/AW$6*100000*AW$3</f>
        <v>4312.9474682998361</v>
      </c>
      <c r="AX46" s="468">
        <f>(Data!AB43+Data!CO43)/AX$6*100000*AX$3</f>
        <v>1946.9362524397545</v>
      </c>
      <c r="AY46" s="468">
        <f>(Data!AC43+Data!CP43)/AY$6*100000*AY$3</f>
        <v>2345.1057642699684</v>
      </c>
      <c r="AZ46" s="468">
        <f>(Data!AD43+Data!CQ43)/AZ$6*100000*AZ$3</f>
        <v>2136.1131285512879</v>
      </c>
      <c r="BA46" s="468">
        <f>(Data!AE43+Data!CR43)/BA$6*100000*BA$3</f>
        <v>4402.5387973731513</v>
      </c>
      <c r="BB46" s="468">
        <f>(Data!AF43+Data!CS43)/BB$6*100000*BB$3</f>
        <v>829.9788355396937</v>
      </c>
      <c r="BC46" s="468">
        <f>(Data!AG43+Data!CT43)/BC$6*100000*BC$3</f>
        <v>583.32847226273122</v>
      </c>
      <c r="BD46" s="468">
        <f>(Data!AH43+Data!CU43)/BD$6*100000*BD$3</f>
        <v>0</v>
      </c>
      <c r="BE46" s="460"/>
      <c r="BF46" s="460"/>
      <c r="BG46" s="460"/>
      <c r="BH46" s="460"/>
      <c r="BI46" s="460"/>
      <c r="BJ46" s="460"/>
      <c r="BK46" s="460"/>
      <c r="BL46" s="460"/>
      <c r="BM46" s="460"/>
      <c r="BN46" s="460"/>
      <c r="BO46" s="460"/>
      <c r="BP46" s="460"/>
      <c r="BQ46" s="460"/>
      <c r="BR46" s="460"/>
      <c r="BS46" s="460"/>
      <c r="BT46" s="460"/>
      <c r="BU46" s="460"/>
      <c r="BV46" s="460"/>
      <c r="BW46" s="460"/>
      <c r="BX46" s="460"/>
      <c r="BY46" s="460"/>
      <c r="BZ46" s="460"/>
      <c r="CA46" s="460"/>
      <c r="CB46" s="460"/>
      <c r="CC46" s="460"/>
      <c r="CD46" s="460"/>
      <c r="CE46" s="460"/>
      <c r="CF46" s="460"/>
      <c r="CG46" s="460"/>
      <c r="CH46" s="460"/>
      <c r="CI46" s="460"/>
      <c r="CJ46" s="460"/>
      <c r="CK46" s="460"/>
      <c r="CL46" s="460"/>
      <c r="CM46" s="460"/>
      <c r="CN46" s="460"/>
      <c r="CO46" s="460"/>
      <c r="CP46" s="460"/>
      <c r="CQ46" s="460"/>
      <c r="CR46" s="460"/>
      <c r="CS46" s="460"/>
      <c r="CT46" s="460"/>
      <c r="CU46" s="460"/>
      <c r="CV46" s="460"/>
      <c r="CW46" s="460"/>
      <c r="CX46" s="460"/>
      <c r="CY46" s="460"/>
    </row>
    <row r="47" spans="1:103" s="350" customFormat="1" ht="24" customHeight="1">
      <c r="A47" s="269"/>
      <c r="B47" s="282"/>
      <c r="C47" s="282"/>
      <c r="D47" s="283"/>
      <c r="E47" s="284"/>
      <c r="F47" s="285"/>
      <c r="G47" s="285"/>
      <c r="H47" s="274"/>
      <c r="I47" s="274"/>
      <c r="J47" s="274"/>
      <c r="K47" s="274"/>
      <c r="L47" s="274"/>
      <c r="M47" s="274"/>
      <c r="N47" s="274"/>
      <c r="O47" s="270"/>
      <c r="P47" s="359"/>
      <c r="Q47" s="474"/>
      <c r="R47" s="468"/>
      <c r="S47" s="468"/>
      <c r="T47" s="468"/>
      <c r="U47" s="468"/>
      <c r="V47" s="468"/>
      <c r="W47" s="468"/>
      <c r="X47" s="468"/>
      <c r="Y47" s="468"/>
      <c r="Z47" s="468"/>
      <c r="AA47" s="468"/>
      <c r="AB47" s="468"/>
      <c r="AC47" s="468"/>
      <c r="AD47" s="468"/>
      <c r="AE47" s="468"/>
      <c r="AF47" s="468"/>
      <c r="AG47" s="468"/>
      <c r="AH47" s="468"/>
      <c r="AI47" s="468"/>
      <c r="AJ47" s="468"/>
      <c r="AK47" s="474"/>
      <c r="AL47" s="468"/>
      <c r="AM47" s="468"/>
      <c r="AN47" s="468"/>
      <c r="AO47" s="468"/>
      <c r="AP47" s="468"/>
      <c r="AQ47" s="468"/>
      <c r="AR47" s="468"/>
      <c r="AS47" s="468"/>
      <c r="AT47" s="468"/>
      <c r="AU47" s="468"/>
      <c r="AV47" s="468"/>
      <c r="AW47" s="468"/>
      <c r="AX47" s="468"/>
      <c r="AY47" s="468"/>
      <c r="AZ47" s="468"/>
      <c r="BA47" s="468"/>
      <c r="BB47" s="468"/>
      <c r="BC47" s="468"/>
      <c r="BD47" s="468"/>
      <c r="BE47" s="460"/>
      <c r="BF47" s="460"/>
      <c r="BG47" s="460"/>
      <c r="BH47" s="460"/>
      <c r="BI47" s="460"/>
      <c r="BJ47" s="460"/>
      <c r="BK47" s="460"/>
      <c r="BL47" s="460"/>
      <c r="BM47" s="460"/>
      <c r="BN47" s="460"/>
      <c r="BO47" s="460"/>
      <c r="BP47" s="460"/>
      <c r="BQ47" s="460"/>
      <c r="BR47" s="460"/>
      <c r="BS47" s="460"/>
      <c r="BT47" s="460"/>
      <c r="BU47" s="460"/>
      <c r="BV47" s="460"/>
      <c r="BW47" s="460"/>
      <c r="BX47" s="460"/>
      <c r="BY47" s="460"/>
      <c r="BZ47" s="460"/>
      <c r="CA47" s="460"/>
      <c r="CB47" s="460"/>
      <c r="CC47" s="460"/>
      <c r="CD47" s="460"/>
      <c r="CE47" s="460"/>
      <c r="CF47" s="460"/>
      <c r="CG47" s="460"/>
      <c r="CH47" s="460"/>
      <c r="CI47" s="460"/>
      <c r="CJ47" s="460"/>
      <c r="CK47" s="460"/>
      <c r="CL47" s="460"/>
      <c r="CM47" s="460"/>
      <c r="CN47" s="460"/>
      <c r="CO47" s="460"/>
      <c r="CP47" s="460"/>
      <c r="CQ47" s="460"/>
      <c r="CR47" s="460"/>
      <c r="CS47" s="460"/>
      <c r="CT47" s="460"/>
      <c r="CU47" s="460"/>
      <c r="CV47" s="460"/>
      <c r="CW47" s="460"/>
      <c r="CX47" s="460"/>
      <c r="CY47" s="460"/>
    </row>
    <row r="48" spans="1:103" s="350" customFormat="1" ht="12" customHeight="1">
      <c r="A48" s="269"/>
      <c r="B48" s="125" t="str">
        <f>UPPER(LEFT(TRIM(Data!B44),1)) &amp; MID(TRIM(Data!B44),2,50)</f>
        <v>Melanoma in situ</v>
      </c>
      <c r="C48" s="125" t="str">
        <f>UPPER(LEFT(TRIM(Data!C44),1)) &amp; MID(TRIM(Data!C44),2,50)</f>
        <v>D03</v>
      </c>
      <c r="D48" s="126">
        <f>Data!D44+Data!BQ44</f>
        <v>34</v>
      </c>
      <c r="E48" s="127">
        <f t="shared" si="5"/>
        <v>1.1594728763486972</v>
      </c>
      <c r="F48" s="128">
        <f t="shared" si="6"/>
        <v>0.83149537210430846</v>
      </c>
      <c r="G48" s="129">
        <f t="shared" si="7"/>
        <v>0.57903008569225412</v>
      </c>
      <c r="H48" s="274"/>
      <c r="I48" s="274"/>
      <c r="J48" s="274"/>
      <c r="K48" s="274"/>
      <c r="L48" s="274"/>
      <c r="M48" s="274"/>
      <c r="N48" s="274"/>
      <c r="O48" s="270"/>
      <c r="P48" s="359"/>
      <c r="Q48" s="474" t="s">
        <v>353</v>
      </c>
      <c r="R48" s="468">
        <f t="shared" ref="R48" si="11">SUM(S48:AJ48)</f>
        <v>83149.537210430848</v>
      </c>
      <c r="S48" s="468">
        <f>(Data!Q44+Data!CD44)/S$6*100000*S$3</f>
        <v>0</v>
      </c>
      <c r="T48" s="468">
        <f>(Data!R44+Data!CE44)/T$6*100000*T$3</f>
        <v>0</v>
      </c>
      <c r="U48" s="468">
        <f>(Data!S44+Data!CF44)/U$6*100000*U$3</f>
        <v>0</v>
      </c>
      <c r="V48" s="468">
        <f>(Data!T44+Data!CG44)/V$6*100000*V$3</f>
        <v>0</v>
      </c>
      <c r="W48" s="468">
        <f>(Data!U44+Data!CH44)/W$6*100000*W$3</f>
        <v>0</v>
      </c>
      <c r="X48" s="468">
        <f>(Data!V44+Data!CI44)/X$6*100000*X$3</f>
        <v>0</v>
      </c>
      <c r="Y48" s="468">
        <f>(Data!W44+Data!CJ44)/Y$6*100000*Y$3</f>
        <v>0</v>
      </c>
      <c r="Z48" s="468">
        <f>(Data!X44+Data!CK44)/Z$6*100000*Z$3</f>
        <v>3855.6021899820444</v>
      </c>
      <c r="AA48" s="468">
        <f>(Data!Y44+Data!CL44)/AA$6*100000*AA$3</f>
        <v>6859.8195867448685</v>
      </c>
      <c r="AB48" s="468">
        <f>(Data!Z44+Data!CM44)/AB$6*100000*AB$3</f>
        <v>0</v>
      </c>
      <c r="AC48" s="468">
        <f>(Data!AA44+Data!CN44)/AC$6*100000*AC$3</f>
        <v>3019.0632278098851</v>
      </c>
      <c r="AD48" s="468">
        <f>(Data!AB44+Data!CO44)/AD$6*100000*AD$3</f>
        <v>17522.426271957789</v>
      </c>
      <c r="AE48" s="468">
        <f>(Data!AC44+Data!CP44)/AE$6*100000*AE$3</f>
        <v>11725.528821349842</v>
      </c>
      <c r="AF48" s="468">
        <f>(Data!AD44+Data!CQ44)/AF$6*100000*AF$3</f>
        <v>11392.603352273536</v>
      </c>
      <c r="AG48" s="468">
        <f>(Data!AE44+Data!CR44)/AG$6*100000*AG$3</f>
        <v>15408.885790806031</v>
      </c>
      <c r="AH48" s="468">
        <f>(Data!AF44+Data!CS44)/AH$6*100000*AH$3</f>
        <v>6639.8306843175496</v>
      </c>
      <c r="AI48" s="468">
        <f>(Data!AG44+Data!CT44)/AI$6*100000*AI$3</f>
        <v>3499.9708335763862</v>
      </c>
      <c r="AJ48" s="468">
        <f>(Data!AH44+Data!CU44)/AJ$6*100000*AJ$3</f>
        <v>3225.8064516129034</v>
      </c>
      <c r="AK48" s="474" t="s">
        <v>353</v>
      </c>
      <c r="AL48" s="468">
        <f t="shared" si="4"/>
        <v>57903.008569225407</v>
      </c>
      <c r="AM48" s="468">
        <f>(Data!Q44+Data!CD44)/AM$6*100000*AM$3</f>
        <v>0</v>
      </c>
      <c r="AN48" s="468">
        <f>(Data!R44+Data!CE44)/AN$6*100000*AN$3</f>
        <v>0</v>
      </c>
      <c r="AO48" s="468">
        <f>(Data!S44+Data!CF44)/AO$6*100000*AO$3</f>
        <v>0</v>
      </c>
      <c r="AP48" s="468">
        <f>(Data!T44+Data!CG44)/AP$6*100000*AP$3</f>
        <v>0</v>
      </c>
      <c r="AQ48" s="468">
        <f>(Data!U44+Data!CH44)/AQ$6*100000*AQ$3</f>
        <v>0</v>
      </c>
      <c r="AR48" s="468">
        <f>(Data!V44+Data!CI44)/AR$6*100000*AR$3</f>
        <v>0</v>
      </c>
      <c r="AS48" s="468">
        <f>(Data!W44+Data!CJ44)/AS$6*100000*AS$3</f>
        <v>0</v>
      </c>
      <c r="AT48" s="468">
        <f>(Data!X44+Data!CK44)/AT$6*100000*AT$3</f>
        <v>3304.8018771274665</v>
      </c>
      <c r="AU48" s="468">
        <f>(Data!Y44+Data!CL44)/AU$6*100000*AU$3</f>
        <v>5879.84536006703</v>
      </c>
      <c r="AV48" s="468">
        <f>(Data!Z44+Data!CM44)/AV$6*100000*AV$3</f>
        <v>0</v>
      </c>
      <c r="AW48" s="468">
        <f>(Data!AA44+Data!CN44)/AW$6*100000*AW$3</f>
        <v>2156.4737341499181</v>
      </c>
      <c r="AX48" s="468">
        <f>(Data!AB44+Data!CO44)/AX$6*100000*AX$3</f>
        <v>11681.617514638527</v>
      </c>
      <c r="AY48" s="468">
        <f>(Data!AC44+Data!CP44)/AY$6*100000*AY$3</f>
        <v>9380.4230570798736</v>
      </c>
      <c r="AZ48" s="468">
        <f>(Data!AD44+Data!CQ44)/AZ$6*100000*AZ$3</f>
        <v>8544.4525142051516</v>
      </c>
      <c r="BA48" s="468">
        <f>(Data!AE44+Data!CR44)/BA$6*100000*BA$3</f>
        <v>10272.59052720402</v>
      </c>
      <c r="BB48" s="468">
        <f>(Data!AF44+Data!CS44)/BB$6*100000*BB$3</f>
        <v>3319.9153421587748</v>
      </c>
      <c r="BC48" s="468">
        <f>(Data!AG44+Data!CT44)/BC$6*100000*BC$3</f>
        <v>1749.9854167881931</v>
      </c>
      <c r="BD48" s="468">
        <f>(Data!AH44+Data!CU44)/BD$6*100000*BD$3</f>
        <v>1612.9032258064517</v>
      </c>
      <c r="BE48" s="460"/>
      <c r="BF48" s="460"/>
      <c r="BG48" s="460"/>
      <c r="BH48" s="460"/>
      <c r="BI48" s="460"/>
      <c r="BJ48" s="460"/>
      <c r="BK48" s="460"/>
      <c r="BL48" s="460"/>
      <c r="BM48" s="460"/>
      <c r="BN48" s="460"/>
      <c r="BO48" s="460"/>
      <c r="BP48" s="460"/>
      <c r="BQ48" s="460"/>
      <c r="BR48" s="460"/>
      <c r="BS48" s="460"/>
      <c r="BT48" s="460"/>
      <c r="BU48" s="460"/>
      <c r="BV48" s="460"/>
      <c r="BW48" s="460"/>
      <c r="BX48" s="460"/>
      <c r="BY48" s="460"/>
      <c r="BZ48" s="460"/>
      <c r="CA48" s="460"/>
      <c r="CB48" s="460"/>
      <c r="CC48" s="460"/>
      <c r="CD48" s="460"/>
      <c r="CE48" s="460"/>
      <c r="CF48" s="460"/>
      <c r="CG48" s="460"/>
      <c r="CH48" s="460"/>
      <c r="CI48" s="460"/>
      <c r="CJ48" s="460"/>
      <c r="CK48" s="460"/>
      <c r="CL48" s="460"/>
      <c r="CM48" s="460"/>
      <c r="CN48" s="460"/>
      <c r="CO48" s="460"/>
      <c r="CP48" s="460"/>
      <c r="CQ48" s="460"/>
      <c r="CR48" s="460"/>
      <c r="CS48" s="460"/>
      <c r="CT48" s="460"/>
      <c r="CU48" s="460"/>
      <c r="CV48" s="460"/>
      <c r="CW48" s="460"/>
      <c r="CX48" s="460"/>
      <c r="CY48" s="460"/>
    </row>
    <row r="49" spans="1:103" s="350" customFormat="1" ht="12" customHeight="1">
      <c r="A49" s="269"/>
      <c r="B49" s="276" t="str">
        <f>UPPER(LEFT(TRIM(Data!B45),1)) &amp; MID(TRIM(Data!B45),2,50)</f>
        <v>Krūties navikai in situ</v>
      </c>
      <c r="C49" s="276" t="str">
        <f>UPPER(LEFT(TRIM(Data!C45),1)) &amp; MID(TRIM(Data!C45),2,50)</f>
        <v>D05</v>
      </c>
      <c r="D49" s="277">
        <f>Data!D45+Data!BQ45</f>
        <v>96</v>
      </c>
      <c r="E49" s="280">
        <f t="shared" si="5"/>
        <v>3.2738057685139683</v>
      </c>
      <c r="F49" s="281">
        <f t="shared" si="6"/>
        <v>2.8272672737861844</v>
      </c>
      <c r="G49" s="279">
        <f t="shared" si="7"/>
        <v>2.1699070135103593</v>
      </c>
      <c r="H49" s="274"/>
      <c r="I49" s="274"/>
      <c r="J49" s="274"/>
      <c r="K49" s="274"/>
      <c r="L49" s="274"/>
      <c r="M49" s="274"/>
      <c r="N49" s="274"/>
      <c r="O49" s="270"/>
      <c r="P49" s="359"/>
      <c r="Q49" s="474" t="s">
        <v>353</v>
      </c>
      <c r="R49" s="468">
        <f t="shared" ref="R49:R55" si="12">SUM(S49:AJ49)</f>
        <v>282726.72737861844</v>
      </c>
      <c r="S49" s="468">
        <f>(Data!Q45+Data!CD45)/S$6*100000*S$3</f>
        <v>0</v>
      </c>
      <c r="T49" s="468">
        <f>(Data!R45+Data!CE45)/T$6*100000*T$3</f>
        <v>0</v>
      </c>
      <c r="U49" s="468">
        <f>(Data!S45+Data!CF45)/U$6*100000*U$3</f>
        <v>0</v>
      </c>
      <c r="V49" s="468">
        <f>(Data!T45+Data!CG45)/V$6*100000*V$3</f>
        <v>0</v>
      </c>
      <c r="W49" s="468">
        <f>(Data!U45+Data!CH45)/W$6*100000*W$3</f>
        <v>3331.5406471755673</v>
      </c>
      <c r="X49" s="468">
        <f>(Data!V45+Data!CI45)/X$6*100000*X$3</f>
        <v>7183.5025732332442</v>
      </c>
      <c r="Y49" s="468">
        <f>(Data!W45+Data!CJ45)/Y$6*100000*Y$3</f>
        <v>3963.9394763069672</v>
      </c>
      <c r="Z49" s="468">
        <f>(Data!X45+Data!CK45)/Z$6*100000*Z$3</f>
        <v>19278.010949910218</v>
      </c>
      <c r="AA49" s="468">
        <f>(Data!Y45+Data!CL45)/AA$6*100000*AA$3</f>
        <v>13719.639173489737</v>
      </c>
      <c r="AB49" s="468">
        <f>(Data!Z45+Data!CM45)/AB$6*100000*AB$3</f>
        <v>29892.954752505317</v>
      </c>
      <c r="AC49" s="468">
        <f>(Data!AA45+Data!CN45)/AC$6*100000*AC$3</f>
        <v>57362.201328387826</v>
      </c>
      <c r="AD49" s="468">
        <f>(Data!AB45+Data!CO45)/AD$6*100000*AD$3</f>
        <v>40885.661301234839</v>
      </c>
      <c r="AE49" s="468">
        <f>(Data!AC45+Data!CP45)/AE$6*100000*AE$3</f>
        <v>52764.879696074291</v>
      </c>
      <c r="AF49" s="468">
        <f>(Data!AD45+Data!CQ45)/AF$6*100000*AF$3</f>
        <v>28481.508380683841</v>
      </c>
      <c r="AG49" s="468">
        <f>(Data!AE45+Data!CR45)/AG$6*100000*AG$3</f>
        <v>17610.155189492605</v>
      </c>
      <c r="AH49" s="468">
        <f>(Data!AF45+Data!CS45)/AH$6*100000*AH$3</f>
        <v>6639.8306843175496</v>
      </c>
      <c r="AI49" s="468">
        <f>(Data!AG45+Data!CT45)/AI$6*100000*AI$3</f>
        <v>0</v>
      </c>
      <c r="AJ49" s="468">
        <f>(Data!AH45+Data!CU45)/AJ$6*100000*AJ$3</f>
        <v>1612.9032258064517</v>
      </c>
      <c r="AK49" s="474" t="s">
        <v>353</v>
      </c>
      <c r="AL49" s="468">
        <f t="shared" si="4"/>
        <v>216990.70135103591</v>
      </c>
      <c r="AM49" s="468">
        <f>(Data!Q45+Data!CD45)/AM$6*100000*AM$3</f>
        <v>0</v>
      </c>
      <c r="AN49" s="468">
        <f>(Data!R45+Data!CE45)/AN$6*100000*AN$3</f>
        <v>0</v>
      </c>
      <c r="AO49" s="468">
        <f>(Data!S45+Data!CF45)/AO$6*100000*AO$3</f>
        <v>0</v>
      </c>
      <c r="AP49" s="468">
        <f>(Data!T45+Data!CG45)/AP$6*100000*AP$3</f>
        <v>0</v>
      </c>
      <c r="AQ49" s="468">
        <f>(Data!U45+Data!CH45)/AQ$6*100000*AQ$3</f>
        <v>3807.4750253435059</v>
      </c>
      <c r="AR49" s="468">
        <f>(Data!V45+Data!CI45)/AR$6*100000*AR$3</f>
        <v>8209.7172265522786</v>
      </c>
      <c r="AS49" s="468">
        <f>(Data!W45+Data!CJ45)/AS$6*100000*AS$3</f>
        <v>3397.6624082631147</v>
      </c>
      <c r="AT49" s="468">
        <f>(Data!X45+Data!CK45)/AT$6*100000*AT$3</f>
        <v>16524.009385637331</v>
      </c>
      <c r="AU49" s="468">
        <f>(Data!Y45+Data!CL45)/AU$6*100000*AU$3</f>
        <v>11759.69072013406</v>
      </c>
      <c r="AV49" s="468">
        <f>(Data!Z45+Data!CM45)/AV$6*100000*AV$3</f>
        <v>25622.532645004558</v>
      </c>
      <c r="AW49" s="468">
        <f>(Data!AA45+Data!CN45)/AW$6*100000*AW$3</f>
        <v>40973.000948848443</v>
      </c>
      <c r="AX49" s="468">
        <f>(Data!AB45+Data!CO45)/AX$6*100000*AX$3</f>
        <v>27257.107534156559</v>
      </c>
      <c r="AY49" s="468">
        <f>(Data!AC45+Data!CP45)/AY$6*100000*AY$3</f>
        <v>42211.903756859436</v>
      </c>
      <c r="AZ49" s="468">
        <f>(Data!AD45+Data!CQ45)/AZ$6*100000*AZ$3</f>
        <v>21361.131285512882</v>
      </c>
      <c r="BA49" s="468">
        <f>(Data!AE45+Data!CR45)/BA$6*100000*BA$3</f>
        <v>11740.103459661737</v>
      </c>
      <c r="BB49" s="468">
        <f>(Data!AF45+Data!CS45)/BB$6*100000*BB$3</f>
        <v>3319.9153421587748</v>
      </c>
      <c r="BC49" s="468">
        <f>(Data!AG45+Data!CT45)/BC$6*100000*BC$3</f>
        <v>0</v>
      </c>
      <c r="BD49" s="468">
        <f>(Data!AH45+Data!CU45)/BD$6*100000*BD$3</f>
        <v>806.45161290322585</v>
      </c>
      <c r="BE49" s="460"/>
      <c r="BF49" s="460"/>
      <c r="BG49" s="460"/>
      <c r="BH49" s="460"/>
      <c r="BI49" s="460"/>
      <c r="BJ49" s="460"/>
      <c r="BK49" s="460"/>
      <c r="BL49" s="460"/>
      <c r="BM49" s="460"/>
      <c r="BN49" s="460"/>
      <c r="BO49" s="460"/>
      <c r="BP49" s="460"/>
      <c r="BQ49" s="460"/>
      <c r="BR49" s="460"/>
      <c r="BS49" s="460"/>
      <c r="BT49" s="460"/>
      <c r="BU49" s="460"/>
      <c r="BV49" s="460"/>
      <c r="BW49" s="460"/>
      <c r="BX49" s="460"/>
      <c r="BY49" s="460"/>
      <c r="BZ49" s="460"/>
      <c r="CA49" s="460"/>
      <c r="CB49" s="460"/>
      <c r="CC49" s="460"/>
      <c r="CD49" s="460"/>
      <c r="CE49" s="460"/>
      <c r="CF49" s="460"/>
      <c r="CG49" s="460"/>
      <c r="CH49" s="460"/>
      <c r="CI49" s="460"/>
      <c r="CJ49" s="460"/>
      <c r="CK49" s="460"/>
      <c r="CL49" s="460"/>
      <c r="CM49" s="460"/>
      <c r="CN49" s="460"/>
      <c r="CO49" s="460"/>
      <c r="CP49" s="460"/>
      <c r="CQ49" s="460"/>
      <c r="CR49" s="460"/>
      <c r="CS49" s="460"/>
      <c r="CT49" s="460"/>
      <c r="CU49" s="460"/>
      <c r="CV49" s="460"/>
      <c r="CW49" s="460"/>
      <c r="CX49" s="460"/>
      <c r="CY49" s="460"/>
    </row>
    <row r="50" spans="1:103" s="350" customFormat="1" ht="12" customHeight="1">
      <c r="A50" s="269"/>
      <c r="B50" s="125" t="str">
        <f>UPPER(LEFT(TRIM(Data!B46),1)) &amp; MID(TRIM(Data!B46),2,50)</f>
        <v>Gimdos kaklelio in situ</v>
      </c>
      <c r="C50" s="125" t="str">
        <f>UPPER(LEFT(TRIM(Data!C46),1)) &amp; MID(TRIM(Data!C46),2,50)</f>
        <v>D06</v>
      </c>
      <c r="D50" s="126">
        <f>Lent02m!D46</f>
        <v>588</v>
      </c>
      <c r="E50" s="127">
        <f>Lent02m!E46</f>
        <v>37.185982402429488</v>
      </c>
      <c r="F50" s="128">
        <f>Lent02m!F46</f>
        <v>41.634669545933789</v>
      </c>
      <c r="G50" s="129">
        <f>Lent02m!G46</f>
        <v>37.487905249228291</v>
      </c>
      <c r="H50" s="274"/>
      <c r="I50" s="274"/>
      <c r="J50" s="274"/>
      <c r="K50" s="274"/>
      <c r="L50" s="274"/>
      <c r="M50" s="274"/>
      <c r="N50" s="274"/>
      <c r="O50" s="270"/>
      <c r="P50" s="261"/>
      <c r="Q50" s="474"/>
      <c r="R50" s="468"/>
      <c r="S50" s="468"/>
      <c r="T50" s="468"/>
      <c r="U50" s="468"/>
      <c r="V50" s="468"/>
      <c r="W50" s="468"/>
      <c r="X50" s="468"/>
      <c r="Y50" s="468"/>
      <c r="Z50" s="468"/>
      <c r="AA50" s="468"/>
      <c r="AB50" s="468"/>
      <c r="AC50" s="468"/>
      <c r="AD50" s="468"/>
      <c r="AE50" s="468"/>
      <c r="AF50" s="468"/>
      <c r="AG50" s="468"/>
      <c r="AH50" s="468"/>
      <c r="AI50" s="468"/>
      <c r="AJ50" s="468"/>
      <c r="AK50" s="474"/>
      <c r="AL50" s="468"/>
      <c r="AM50" s="468"/>
      <c r="AN50" s="468"/>
      <c r="AO50" s="468"/>
      <c r="AP50" s="468"/>
      <c r="AQ50" s="468"/>
      <c r="AR50" s="468"/>
      <c r="AS50" s="468"/>
      <c r="AT50" s="468"/>
      <c r="AU50" s="468"/>
      <c r="AV50" s="468"/>
      <c r="AW50" s="468"/>
      <c r="AX50" s="468"/>
      <c r="AY50" s="468"/>
      <c r="AZ50" s="468"/>
      <c r="BA50" s="468"/>
      <c r="BB50" s="468"/>
      <c r="BC50" s="468"/>
      <c r="BD50" s="468"/>
      <c r="BE50" s="460"/>
      <c r="BF50" s="460"/>
      <c r="BG50" s="460"/>
      <c r="BH50" s="460"/>
      <c r="BI50" s="460"/>
      <c r="BJ50" s="460"/>
      <c r="BK50" s="460"/>
      <c r="BL50" s="460"/>
      <c r="BM50" s="460"/>
      <c r="BN50" s="460"/>
      <c r="BO50" s="460"/>
      <c r="BP50" s="460"/>
      <c r="BQ50" s="460"/>
      <c r="BR50" s="460"/>
      <c r="BS50" s="460"/>
      <c r="BT50" s="460"/>
      <c r="BU50" s="460"/>
      <c r="BV50" s="460"/>
      <c r="BW50" s="460"/>
      <c r="BX50" s="460"/>
      <c r="BY50" s="460"/>
      <c r="BZ50" s="460"/>
      <c r="CA50" s="460"/>
      <c r="CB50" s="460"/>
      <c r="CC50" s="460"/>
      <c r="CD50" s="460"/>
      <c r="CE50" s="460"/>
      <c r="CF50" s="460"/>
      <c r="CG50" s="460"/>
      <c r="CH50" s="460"/>
      <c r="CI50" s="460"/>
      <c r="CJ50" s="460"/>
      <c r="CK50" s="460"/>
      <c r="CL50" s="460"/>
      <c r="CM50" s="460"/>
      <c r="CN50" s="460"/>
      <c r="CO50" s="460"/>
      <c r="CP50" s="460"/>
      <c r="CQ50" s="460"/>
      <c r="CR50" s="460"/>
      <c r="CS50" s="460"/>
      <c r="CT50" s="460"/>
      <c r="CU50" s="460"/>
      <c r="CV50" s="460"/>
      <c r="CW50" s="460"/>
      <c r="CX50" s="460"/>
      <c r="CY50" s="460"/>
    </row>
    <row r="51" spans="1:103" s="350" customFormat="1" ht="12" customHeight="1">
      <c r="A51" s="269"/>
      <c r="B51" s="276" t="str">
        <f>UPPER(LEFT(TRIM(Data!B47),1)) &amp; MID(TRIM(Data!B47),2,50)</f>
        <v>Šlapimo pūslės in situ</v>
      </c>
      <c r="C51" s="276" t="str">
        <f>UPPER(LEFT(TRIM(Data!C47),1)) &amp; MID(TRIM(Data!C47),2,50)</f>
        <v>D09.0</v>
      </c>
      <c r="D51" s="277">
        <f>Data!D47+Data!BQ47</f>
        <v>145</v>
      </c>
      <c r="E51" s="280">
        <f t="shared" si="5"/>
        <v>4.9448107961929733</v>
      </c>
      <c r="F51" s="281">
        <f t="shared" si="6"/>
        <v>3.4646298685792445</v>
      </c>
      <c r="G51" s="279">
        <f t="shared" si="7"/>
        <v>2.4151760247292096</v>
      </c>
      <c r="H51" s="274"/>
      <c r="I51" s="274"/>
      <c r="J51" s="274"/>
      <c r="K51" s="274"/>
      <c r="L51" s="274"/>
      <c r="M51" s="274"/>
      <c r="N51" s="274"/>
      <c r="O51" s="270"/>
      <c r="P51" s="261"/>
      <c r="Q51" s="474" t="s">
        <v>353</v>
      </c>
      <c r="R51" s="468">
        <f t="shared" si="12"/>
        <v>346462.98685792444</v>
      </c>
      <c r="S51" s="468">
        <f>(Data!Q47+Data!CD47)/S$6*100000*S$3</f>
        <v>0</v>
      </c>
      <c r="T51" s="468">
        <f>(Data!R47+Data!CE47)/T$6*100000*T$3</f>
        <v>0</v>
      </c>
      <c r="U51" s="468">
        <f>(Data!S47+Data!CF47)/U$6*100000*U$3</f>
        <v>0</v>
      </c>
      <c r="V51" s="468">
        <f>(Data!T47+Data!CG47)/V$6*100000*V$3</f>
        <v>0</v>
      </c>
      <c r="W51" s="468">
        <f>(Data!U47+Data!CH47)/W$6*100000*W$3</f>
        <v>0</v>
      </c>
      <c r="X51" s="468">
        <f>(Data!V47+Data!CI47)/X$6*100000*X$3</f>
        <v>0</v>
      </c>
      <c r="Y51" s="468">
        <f>(Data!W47+Data!CJ47)/Y$6*100000*Y$3</f>
        <v>0</v>
      </c>
      <c r="Z51" s="468">
        <f>(Data!X47+Data!CK47)/Z$6*100000*Z$3</f>
        <v>3855.6021899820444</v>
      </c>
      <c r="AA51" s="468">
        <f>(Data!Y47+Data!CL47)/AA$6*100000*AA$3</f>
        <v>6859.8195867448685</v>
      </c>
      <c r="AB51" s="468">
        <f>(Data!Z47+Data!CM47)/AB$6*100000*AB$3</f>
        <v>9964.3182508351056</v>
      </c>
      <c r="AC51" s="468">
        <f>(Data!AA47+Data!CN47)/AC$6*100000*AC$3</f>
        <v>18114.379366859313</v>
      </c>
      <c r="AD51" s="468">
        <f>(Data!AB47+Data!CO47)/AD$6*100000*AD$3</f>
        <v>40885.661301234839</v>
      </c>
      <c r="AE51" s="468">
        <f>(Data!AC47+Data!CP47)/AE$6*100000*AE$3</f>
        <v>76215.937338773991</v>
      </c>
      <c r="AF51" s="468">
        <f>(Data!AD47+Data!CQ47)/AF$6*100000*AF$3</f>
        <v>71203.770951709594</v>
      </c>
      <c r="AG51" s="468">
        <f>(Data!AE47+Data!CR47)/AG$6*100000*AG$3</f>
        <v>57233.004365850975</v>
      </c>
      <c r="AH51" s="468">
        <f>(Data!AF47+Data!CS47)/AH$6*100000*AH$3</f>
        <v>38179.026434825915</v>
      </c>
      <c r="AI51" s="468">
        <f>(Data!AG47+Data!CT47)/AI$6*100000*AI$3</f>
        <v>17499.854167881935</v>
      </c>
      <c r="AJ51" s="468">
        <f>(Data!AH47+Data!CU47)/AJ$6*100000*AJ$3</f>
        <v>6451.6129032258068</v>
      </c>
      <c r="AK51" s="474" t="s">
        <v>353</v>
      </c>
      <c r="AL51" s="468">
        <f t="shared" si="4"/>
        <v>241517.60247292096</v>
      </c>
      <c r="AM51" s="468">
        <f>(Data!Q47+Data!CD47)/AM$6*100000*AM$3</f>
        <v>0</v>
      </c>
      <c r="AN51" s="468">
        <f>(Data!R47+Data!CE47)/AN$6*100000*AN$3</f>
        <v>0</v>
      </c>
      <c r="AO51" s="468">
        <f>(Data!S47+Data!CF47)/AO$6*100000*AO$3</f>
        <v>0</v>
      </c>
      <c r="AP51" s="468">
        <f>(Data!T47+Data!CG47)/AP$6*100000*AP$3</f>
        <v>0</v>
      </c>
      <c r="AQ51" s="468">
        <f>(Data!U47+Data!CH47)/AQ$6*100000*AQ$3</f>
        <v>0</v>
      </c>
      <c r="AR51" s="468">
        <f>(Data!V47+Data!CI47)/AR$6*100000*AR$3</f>
        <v>0</v>
      </c>
      <c r="AS51" s="468">
        <f>(Data!W47+Data!CJ47)/AS$6*100000*AS$3</f>
        <v>0</v>
      </c>
      <c r="AT51" s="468">
        <f>(Data!X47+Data!CK47)/AT$6*100000*AT$3</f>
        <v>3304.8018771274665</v>
      </c>
      <c r="AU51" s="468">
        <f>(Data!Y47+Data!CL47)/AU$6*100000*AU$3</f>
        <v>5879.84536006703</v>
      </c>
      <c r="AV51" s="468">
        <f>(Data!Z47+Data!CM47)/AV$6*100000*AV$3</f>
        <v>8540.844215001518</v>
      </c>
      <c r="AW51" s="468">
        <f>(Data!AA47+Data!CN47)/AW$6*100000*AW$3</f>
        <v>12938.842404899509</v>
      </c>
      <c r="AX51" s="468">
        <f>(Data!AB47+Data!CO47)/AX$6*100000*AX$3</f>
        <v>27257.107534156559</v>
      </c>
      <c r="AY51" s="468">
        <f>(Data!AC47+Data!CP47)/AY$6*100000*AY$3</f>
        <v>60972.749871019187</v>
      </c>
      <c r="AZ51" s="468">
        <f>(Data!AD47+Data!CQ47)/AZ$6*100000*AZ$3</f>
        <v>53402.828213782203</v>
      </c>
      <c r="BA51" s="468">
        <f>(Data!AE47+Data!CR47)/BA$6*100000*BA$3</f>
        <v>38155.336243900652</v>
      </c>
      <c r="BB51" s="468">
        <f>(Data!AF47+Data!CS47)/BB$6*100000*BB$3</f>
        <v>19089.513217412958</v>
      </c>
      <c r="BC51" s="468">
        <f>(Data!AG47+Data!CT47)/BC$6*100000*BC$3</f>
        <v>8749.9270839409673</v>
      </c>
      <c r="BD51" s="468">
        <f>(Data!AH47+Data!CU47)/BD$6*100000*BD$3</f>
        <v>3225.8064516129034</v>
      </c>
      <c r="BE51" s="460"/>
      <c r="BF51" s="460"/>
      <c r="BG51" s="460"/>
      <c r="BH51" s="460"/>
      <c r="BI51" s="460"/>
      <c r="BJ51" s="460"/>
      <c r="BK51" s="460"/>
      <c r="BL51" s="460"/>
      <c r="BM51" s="460"/>
      <c r="BN51" s="460"/>
      <c r="BO51" s="460"/>
      <c r="BP51" s="460"/>
      <c r="BQ51" s="460"/>
      <c r="BR51" s="460"/>
      <c r="BS51" s="460"/>
      <c r="BT51" s="460"/>
      <c r="BU51" s="460"/>
      <c r="BV51" s="460"/>
      <c r="BW51" s="460"/>
      <c r="BX51" s="460"/>
      <c r="BY51" s="460"/>
      <c r="BZ51" s="460"/>
      <c r="CA51" s="460"/>
      <c r="CB51" s="460"/>
      <c r="CC51" s="460"/>
      <c r="CD51" s="460"/>
      <c r="CE51" s="460"/>
      <c r="CF51" s="460"/>
      <c r="CG51" s="460"/>
      <c r="CH51" s="460"/>
      <c r="CI51" s="460"/>
      <c r="CJ51" s="460"/>
      <c r="CK51" s="460"/>
      <c r="CL51" s="460"/>
      <c r="CM51" s="460"/>
      <c r="CN51" s="460"/>
      <c r="CO51" s="460"/>
      <c r="CP51" s="460"/>
      <c r="CQ51" s="460"/>
      <c r="CR51" s="460"/>
      <c r="CS51" s="460"/>
      <c r="CT51" s="460"/>
      <c r="CU51" s="460"/>
      <c r="CV51" s="460"/>
      <c r="CW51" s="460"/>
      <c r="CX51" s="460"/>
      <c r="CY51" s="460"/>
    </row>
    <row r="52" spans="1:103" s="350" customFormat="1" ht="12" customHeight="1">
      <c r="A52" s="269"/>
      <c r="B52" s="125" t="str">
        <f>UPPER(LEFT(TRIM(Data!B48),1)) &amp; MID(TRIM(Data!B48),2,50)</f>
        <v>Nervų sistemos gerybiniai navikai</v>
      </c>
      <c r="C52" s="125" t="str">
        <f>UPPER(LEFT(TRIM(Data!C48),1)) &amp; MID(TRIM(Data!C48),2,50)</f>
        <v>D32, D33</v>
      </c>
      <c r="D52" s="126">
        <f>Data!D48+Data!BQ48</f>
        <v>187</v>
      </c>
      <c r="E52" s="127">
        <f t="shared" si="5"/>
        <v>6.3771008199178336</v>
      </c>
      <c r="F52" s="128">
        <f t="shared" si="6"/>
        <v>4.6202315086397672</v>
      </c>
      <c r="G52" s="129">
        <f t="shared" si="7"/>
        <v>3.4195907347263939</v>
      </c>
      <c r="H52" s="274"/>
      <c r="I52" s="274"/>
      <c r="J52" s="274"/>
      <c r="K52" s="274"/>
      <c r="L52" s="274"/>
      <c r="M52" s="274"/>
      <c r="N52" s="274"/>
      <c r="O52" s="270"/>
      <c r="P52" s="261"/>
      <c r="Q52" s="474" t="s">
        <v>353</v>
      </c>
      <c r="R52" s="468">
        <f t="shared" si="12"/>
        <v>462023.15086397674</v>
      </c>
      <c r="S52" s="468">
        <f>(Data!Q48+Data!CD48)/S$6*100000*S$3</f>
        <v>5305.3916042177862</v>
      </c>
      <c r="T52" s="468">
        <f>(Data!R48+Data!CE48)/T$6*100000*T$3</f>
        <v>0</v>
      </c>
      <c r="U52" s="468">
        <f>(Data!S48+Data!CF48)/U$6*100000*U$3</f>
        <v>4994.6129531719353</v>
      </c>
      <c r="V52" s="468">
        <f>(Data!T48+Data!CG48)/V$6*100000*V$3</f>
        <v>4027.6874744673382</v>
      </c>
      <c r="W52" s="468">
        <f>(Data!U48+Data!CH48)/W$6*100000*W$3</f>
        <v>6663.0812943511346</v>
      </c>
      <c r="X52" s="468">
        <f>(Data!V48+Data!CI48)/X$6*100000*X$3</f>
        <v>14367.005146466488</v>
      </c>
      <c r="Y52" s="468">
        <f>(Data!W48+Data!CJ48)/Y$6*100000*Y$3</f>
        <v>7927.8789526139344</v>
      </c>
      <c r="Z52" s="468">
        <f>(Data!X48+Data!CK48)/Z$6*100000*Z$3</f>
        <v>11566.806569946131</v>
      </c>
      <c r="AA52" s="468">
        <f>(Data!Y48+Data!CL48)/AA$6*100000*AA$3</f>
        <v>24009.368553607037</v>
      </c>
      <c r="AB52" s="468">
        <f>(Data!Z48+Data!CM48)/AB$6*100000*AB$3</f>
        <v>29892.954752505317</v>
      </c>
      <c r="AC52" s="468">
        <f>(Data!AA48+Data!CN48)/AC$6*100000*AC$3</f>
        <v>48305.011644958162</v>
      </c>
      <c r="AD52" s="468">
        <f>(Data!AB48+Data!CO48)/AD$6*100000*AD$3</f>
        <v>29204.043786596318</v>
      </c>
      <c r="AE52" s="468">
        <f>(Data!AC48+Data!CP48)/AE$6*100000*AE$3</f>
        <v>64490.408517424134</v>
      </c>
      <c r="AF52" s="468">
        <f>(Data!AD48+Data!CQ48)/AF$6*100000*AF$3</f>
        <v>42722.262571025763</v>
      </c>
      <c r="AG52" s="468">
        <f>(Data!AE48+Data!CR48)/AG$6*100000*AG$3</f>
        <v>81446.96775140331</v>
      </c>
      <c r="AH52" s="468">
        <f>(Data!AF48+Data!CS48)/AH$6*100000*AH$3</f>
        <v>49798.730132381621</v>
      </c>
      <c r="AI52" s="468">
        <f>(Data!AG48+Data!CT48)/AI$6*100000*AI$3</f>
        <v>16333.197223356472</v>
      </c>
      <c r="AJ52" s="468">
        <f>(Data!AH48+Data!CU48)/AJ$6*100000*AJ$3</f>
        <v>20967.741935483871</v>
      </c>
      <c r="AK52" s="474" t="s">
        <v>353</v>
      </c>
      <c r="AL52" s="468">
        <f t="shared" si="4"/>
        <v>341959.07347263937</v>
      </c>
      <c r="AM52" s="468">
        <f>(Data!Q48+Data!CD48)/AM$6*100000*AM$3</f>
        <v>7958.0874063266792</v>
      </c>
      <c r="AN52" s="468">
        <f>(Data!R48+Data!CE48)/AN$6*100000*AN$3</f>
        <v>0</v>
      </c>
      <c r="AO52" s="468">
        <f>(Data!S48+Data!CF48)/AO$6*100000*AO$3</f>
        <v>6421.6452255067743</v>
      </c>
      <c r="AP52" s="468">
        <f>(Data!T48+Data!CG48)/AP$6*100000*AP$3</f>
        <v>5178.4553243151486</v>
      </c>
      <c r="AQ52" s="468">
        <f>(Data!U48+Data!CH48)/AQ$6*100000*AQ$3</f>
        <v>7614.9500506870118</v>
      </c>
      <c r="AR52" s="468">
        <f>(Data!V48+Data!CI48)/AR$6*100000*AR$3</f>
        <v>16419.434453104557</v>
      </c>
      <c r="AS52" s="468">
        <f>(Data!W48+Data!CJ48)/AS$6*100000*AS$3</f>
        <v>6795.3248165262294</v>
      </c>
      <c r="AT52" s="468">
        <f>(Data!X48+Data!CK48)/AT$6*100000*AT$3</f>
        <v>9914.4056313823985</v>
      </c>
      <c r="AU52" s="468">
        <f>(Data!Y48+Data!CL48)/AU$6*100000*AU$3</f>
        <v>20579.458760234604</v>
      </c>
      <c r="AV52" s="468">
        <f>(Data!Z48+Data!CM48)/AV$6*100000*AV$3</f>
        <v>25622.532645004558</v>
      </c>
      <c r="AW52" s="468">
        <f>(Data!AA48+Data!CN48)/AW$6*100000*AW$3</f>
        <v>34503.579746398689</v>
      </c>
      <c r="AX52" s="468">
        <f>(Data!AB48+Data!CO48)/AX$6*100000*AX$3</f>
        <v>19469.362524397548</v>
      </c>
      <c r="AY52" s="468">
        <f>(Data!AC48+Data!CP48)/AY$6*100000*AY$3</f>
        <v>51592.326813939311</v>
      </c>
      <c r="AZ52" s="468">
        <f>(Data!AD48+Data!CQ48)/AZ$6*100000*AZ$3</f>
        <v>32041.696928269324</v>
      </c>
      <c r="BA52" s="468">
        <f>(Data!AE48+Data!CR48)/BA$6*100000*BA$3</f>
        <v>54297.97850093554</v>
      </c>
      <c r="BB52" s="468">
        <f>(Data!AF48+Data!CS48)/BB$6*100000*BB$3</f>
        <v>24899.36506619081</v>
      </c>
      <c r="BC52" s="468">
        <f>(Data!AG48+Data!CT48)/BC$6*100000*BC$3</f>
        <v>8166.598611678236</v>
      </c>
      <c r="BD52" s="468">
        <f>(Data!AH48+Data!CU48)/BD$6*100000*BD$3</f>
        <v>10483.870967741936</v>
      </c>
      <c r="BE52" s="460"/>
      <c r="BF52" s="460"/>
      <c r="BG52" s="460"/>
      <c r="BH52" s="460"/>
      <c r="BI52" s="460"/>
      <c r="BJ52" s="460"/>
      <c r="BK52" s="460"/>
      <c r="BL52" s="460"/>
      <c r="BM52" s="460"/>
      <c r="BN52" s="460"/>
      <c r="BO52" s="460"/>
      <c r="BP52" s="460"/>
      <c r="BQ52" s="460"/>
      <c r="BR52" s="460"/>
      <c r="BS52" s="460"/>
      <c r="BT52" s="460"/>
      <c r="BU52" s="460"/>
      <c r="BV52" s="460"/>
      <c r="BW52" s="460"/>
      <c r="BX52" s="460"/>
      <c r="BY52" s="460"/>
      <c r="BZ52" s="460"/>
      <c r="CA52" s="460"/>
      <c r="CB52" s="460"/>
      <c r="CC52" s="460"/>
      <c r="CD52" s="460"/>
      <c r="CE52" s="460"/>
      <c r="CF52" s="460"/>
      <c r="CG52" s="460"/>
      <c r="CH52" s="460"/>
      <c r="CI52" s="460"/>
      <c r="CJ52" s="460"/>
      <c r="CK52" s="460"/>
      <c r="CL52" s="460"/>
      <c r="CM52" s="460"/>
      <c r="CN52" s="460"/>
      <c r="CO52" s="460"/>
      <c r="CP52" s="460"/>
      <c r="CQ52" s="460"/>
      <c r="CR52" s="460"/>
      <c r="CS52" s="460"/>
      <c r="CT52" s="460"/>
      <c r="CU52" s="460"/>
      <c r="CV52" s="460"/>
      <c r="CW52" s="460"/>
      <c r="CX52" s="460"/>
      <c r="CY52" s="460"/>
    </row>
    <row r="53" spans="1:103" s="350" customFormat="1" ht="12" customHeight="1">
      <c r="A53" s="269"/>
      <c r="B53" s="276" t="str">
        <f>UPPER(LEFT(TRIM(Data!B49),1)) &amp; MID(TRIM(Data!B49),2,50)</f>
        <v>Kiaušidžių</v>
      </c>
      <c r="C53" s="276" t="str">
        <f>UPPER(LEFT(TRIM(Data!C49),1)) &amp; MID(TRIM(Data!C49),2,50)</f>
        <v>D39.1</v>
      </c>
      <c r="D53" s="277">
        <f>Lent02m!D49</f>
        <v>64</v>
      </c>
      <c r="E53" s="280">
        <f>Lent02m!E49</f>
        <v>4.0474538669311002</v>
      </c>
      <c r="F53" s="281">
        <f>Lent02m!F49</f>
        <v>3.5876358186260302</v>
      </c>
      <c r="G53" s="279">
        <f>Lent02m!G49</f>
        <v>2.9569150818513723</v>
      </c>
      <c r="H53" s="274"/>
      <c r="I53" s="274"/>
      <c r="J53" s="274"/>
      <c r="K53" s="274"/>
      <c r="L53" s="274"/>
      <c r="M53" s="274"/>
      <c r="N53" s="274"/>
      <c r="O53" s="270"/>
      <c r="P53" s="261"/>
      <c r="Q53" s="474"/>
      <c r="R53" s="468"/>
      <c r="S53" s="468"/>
      <c r="T53" s="468"/>
      <c r="U53" s="468"/>
      <c r="V53" s="468"/>
      <c r="W53" s="468"/>
      <c r="X53" s="468"/>
      <c r="Y53" s="468"/>
      <c r="Z53" s="468"/>
      <c r="AA53" s="468"/>
      <c r="AB53" s="468"/>
      <c r="AC53" s="468"/>
      <c r="AD53" s="468"/>
      <c r="AE53" s="468"/>
      <c r="AF53" s="468"/>
      <c r="AG53" s="468"/>
      <c r="AH53" s="468"/>
      <c r="AI53" s="468"/>
      <c r="AJ53" s="468"/>
      <c r="AK53" s="474"/>
      <c r="AL53" s="468"/>
      <c r="AM53" s="468"/>
      <c r="AN53" s="468"/>
      <c r="AO53" s="468"/>
      <c r="AP53" s="468"/>
      <c r="AQ53" s="468"/>
      <c r="AR53" s="468"/>
      <c r="AS53" s="468"/>
      <c r="AT53" s="468"/>
      <c r="AU53" s="468"/>
      <c r="AV53" s="468"/>
      <c r="AW53" s="468"/>
      <c r="AX53" s="468"/>
      <c r="AY53" s="468"/>
      <c r="AZ53" s="468"/>
      <c r="BA53" s="468"/>
      <c r="BB53" s="468"/>
      <c r="BC53" s="468"/>
      <c r="BD53" s="468"/>
      <c r="BE53" s="460"/>
      <c r="BF53" s="460"/>
      <c r="BG53" s="460"/>
      <c r="BH53" s="460"/>
      <c r="BI53" s="460"/>
      <c r="BJ53" s="460"/>
      <c r="BK53" s="460"/>
      <c r="BL53" s="460"/>
      <c r="BM53" s="460"/>
      <c r="BN53" s="460"/>
      <c r="BO53" s="460"/>
      <c r="BP53" s="460"/>
      <c r="BQ53" s="460"/>
      <c r="BR53" s="460"/>
      <c r="BS53" s="460"/>
      <c r="BT53" s="460"/>
      <c r="BU53" s="460"/>
      <c r="BV53" s="460"/>
      <c r="BW53" s="460"/>
      <c r="BX53" s="460"/>
      <c r="BY53" s="460"/>
      <c r="BZ53" s="460"/>
      <c r="CA53" s="460"/>
      <c r="CB53" s="460"/>
      <c r="CC53" s="460"/>
      <c r="CD53" s="460"/>
      <c r="CE53" s="460"/>
      <c r="CF53" s="460"/>
      <c r="CG53" s="460"/>
      <c r="CH53" s="460"/>
      <c r="CI53" s="460"/>
      <c r="CJ53" s="460"/>
      <c r="CK53" s="460"/>
      <c r="CL53" s="460"/>
      <c r="CM53" s="460"/>
      <c r="CN53" s="460"/>
      <c r="CO53" s="460"/>
      <c r="CP53" s="460"/>
      <c r="CQ53" s="460"/>
      <c r="CR53" s="460"/>
      <c r="CS53" s="460"/>
      <c r="CT53" s="460"/>
      <c r="CU53" s="460"/>
      <c r="CV53" s="460"/>
      <c r="CW53" s="460"/>
      <c r="CX53" s="460"/>
      <c r="CY53" s="460"/>
    </row>
    <row r="54" spans="1:103" s="350" customFormat="1" ht="12" customHeight="1">
      <c r="A54" s="269"/>
      <c r="B54" s="125" t="str">
        <f>UPPER(LEFT(TRIM(Data!B50),1)) &amp; MID(TRIM(Data!B50),2,50)</f>
        <v>Kiti nervų sistemos</v>
      </c>
      <c r="C54" s="125" t="str">
        <f>UPPER(LEFT(TRIM(Data!C50),1)) &amp; MID(TRIM(Data!C50),2,50)</f>
        <v>D42, D43</v>
      </c>
      <c r="D54" s="126">
        <f>Data!D50+Data!BQ50</f>
        <v>44</v>
      </c>
      <c r="E54" s="127">
        <f t="shared" si="5"/>
        <v>1.5004943105689021</v>
      </c>
      <c r="F54" s="128">
        <f t="shared" si="6"/>
        <v>1.3306293760141772</v>
      </c>
      <c r="G54" s="129">
        <f t="shared" si="7"/>
        <v>1.3107896562804164</v>
      </c>
      <c r="H54" s="274"/>
      <c r="I54" s="274"/>
      <c r="J54" s="274"/>
      <c r="K54" s="274"/>
      <c r="L54" s="274"/>
      <c r="M54" s="274"/>
      <c r="N54" s="274"/>
      <c r="O54" s="270"/>
      <c r="P54" s="261"/>
      <c r="Q54" s="474" t="s">
        <v>353</v>
      </c>
      <c r="R54" s="468">
        <f t="shared" si="12"/>
        <v>133062.93760141771</v>
      </c>
      <c r="S54" s="468">
        <f>(Data!Q50+Data!CD50)/S$6*100000*S$3</f>
        <v>10610.783208435572</v>
      </c>
      <c r="T54" s="468">
        <f>(Data!R50+Data!CE50)/T$6*100000*T$3</f>
        <v>15347.062864492742</v>
      </c>
      <c r="U54" s="468">
        <f>(Data!S50+Data!CF50)/U$6*100000*U$3</f>
        <v>14983.838859515807</v>
      </c>
      <c r="V54" s="468">
        <f>(Data!T50+Data!CG50)/V$6*100000*V$3</f>
        <v>16110.749897869353</v>
      </c>
      <c r="W54" s="468">
        <f>(Data!U50+Data!CH50)/W$6*100000*W$3</f>
        <v>3331.5406471755673</v>
      </c>
      <c r="X54" s="468">
        <f>(Data!V50+Data!CI50)/X$6*100000*X$3</f>
        <v>0</v>
      </c>
      <c r="Y54" s="468">
        <f>(Data!W50+Data!CJ50)/Y$6*100000*Y$3</f>
        <v>3963.9394763069672</v>
      </c>
      <c r="Z54" s="468">
        <f>(Data!X50+Data!CK50)/Z$6*100000*Z$3</f>
        <v>3855.6021899820444</v>
      </c>
      <c r="AA54" s="468">
        <f>(Data!Y50+Data!CL50)/AA$6*100000*AA$3</f>
        <v>3429.9097933724343</v>
      </c>
      <c r="AB54" s="468">
        <f>(Data!Z50+Data!CM50)/AB$6*100000*AB$3</f>
        <v>3321.4394169450352</v>
      </c>
      <c r="AC54" s="468">
        <f>(Data!AA50+Data!CN50)/AC$6*100000*AC$3</f>
        <v>3019.0632278098851</v>
      </c>
      <c r="AD54" s="468">
        <f>(Data!AB50+Data!CO50)/AD$6*100000*AD$3</f>
        <v>14602.021893298159</v>
      </c>
      <c r="AE54" s="468">
        <f>(Data!AC50+Data!CP50)/AE$6*100000*AE$3</f>
        <v>2931.3822053374606</v>
      </c>
      <c r="AF54" s="468">
        <f>(Data!AD50+Data!CQ50)/AF$6*100000*AF$3</f>
        <v>11392.603352273536</v>
      </c>
      <c r="AG54" s="468">
        <f>(Data!AE50+Data!CR50)/AG$6*100000*AG$3</f>
        <v>6603.8081960597274</v>
      </c>
      <c r="AH54" s="468">
        <f>(Data!AF50+Data!CS50)/AH$6*100000*AH$3</f>
        <v>13279.661368635099</v>
      </c>
      <c r="AI54" s="468">
        <f>(Data!AG50+Data!CT50)/AI$6*100000*AI$3</f>
        <v>4666.6277781018498</v>
      </c>
      <c r="AJ54" s="468">
        <f>(Data!AH50+Data!CU50)/AJ$6*100000*AJ$3</f>
        <v>1612.9032258064517</v>
      </c>
      <c r="AK54" s="474" t="s">
        <v>353</v>
      </c>
      <c r="AL54" s="468">
        <f t="shared" si="4"/>
        <v>131078.96562804165</v>
      </c>
      <c r="AM54" s="468">
        <f>(Data!Q50+Data!CD50)/AM$6*100000*AM$3</f>
        <v>15916.174812653358</v>
      </c>
      <c r="AN54" s="468">
        <f>(Data!R50+Data!CE50)/AN$6*100000*AN$3</f>
        <v>21924.375520703918</v>
      </c>
      <c r="AO54" s="468">
        <f>(Data!S50+Data!CF50)/AO$6*100000*AO$3</f>
        <v>19264.935676520323</v>
      </c>
      <c r="AP54" s="468">
        <f>(Data!T50+Data!CG50)/AP$6*100000*AP$3</f>
        <v>20713.821297260594</v>
      </c>
      <c r="AQ54" s="468">
        <f>(Data!U50+Data!CH50)/AQ$6*100000*AQ$3</f>
        <v>3807.4750253435059</v>
      </c>
      <c r="AR54" s="468">
        <f>(Data!V50+Data!CI50)/AR$6*100000*AR$3</f>
        <v>0</v>
      </c>
      <c r="AS54" s="468">
        <f>(Data!W50+Data!CJ50)/AS$6*100000*AS$3</f>
        <v>3397.6624082631147</v>
      </c>
      <c r="AT54" s="468">
        <f>(Data!X50+Data!CK50)/AT$6*100000*AT$3</f>
        <v>3304.8018771274665</v>
      </c>
      <c r="AU54" s="468">
        <f>(Data!Y50+Data!CL50)/AU$6*100000*AU$3</f>
        <v>2939.922680033515</v>
      </c>
      <c r="AV54" s="468">
        <f>(Data!Z50+Data!CM50)/AV$6*100000*AV$3</f>
        <v>2846.9480716671733</v>
      </c>
      <c r="AW54" s="468">
        <f>(Data!AA50+Data!CN50)/AW$6*100000*AW$3</f>
        <v>2156.4737341499181</v>
      </c>
      <c r="AX54" s="468">
        <f>(Data!AB50+Data!CO50)/AX$6*100000*AX$3</f>
        <v>9734.6812621987738</v>
      </c>
      <c r="AY54" s="468">
        <f>(Data!AC50+Data!CP50)/AY$6*100000*AY$3</f>
        <v>2345.1057642699684</v>
      </c>
      <c r="AZ54" s="468">
        <f>(Data!AD50+Data!CQ50)/AZ$6*100000*AZ$3</f>
        <v>8544.4525142051516</v>
      </c>
      <c r="BA54" s="468">
        <f>(Data!AE50+Data!CR50)/BA$6*100000*BA$3</f>
        <v>4402.5387973731513</v>
      </c>
      <c r="BB54" s="468">
        <f>(Data!AF50+Data!CS50)/BB$6*100000*BB$3</f>
        <v>6639.8306843175496</v>
      </c>
      <c r="BC54" s="468">
        <f>(Data!AG50+Data!CT50)/BC$6*100000*BC$3</f>
        <v>2333.3138890509249</v>
      </c>
      <c r="BD54" s="468">
        <f>(Data!AH50+Data!CU50)/BD$6*100000*BD$3</f>
        <v>806.45161290322585</v>
      </c>
      <c r="BE54" s="460"/>
      <c r="BF54" s="460"/>
      <c r="BG54" s="460"/>
      <c r="BH54" s="460"/>
      <c r="BI54" s="460"/>
      <c r="BJ54" s="460"/>
      <c r="BK54" s="460"/>
      <c r="BL54" s="460"/>
      <c r="BM54" s="460"/>
      <c r="BN54" s="460"/>
      <c r="BO54" s="460"/>
      <c r="BP54" s="460"/>
      <c r="BQ54" s="460"/>
      <c r="BR54" s="460"/>
      <c r="BS54" s="460"/>
      <c r="BT54" s="460"/>
      <c r="BU54" s="460"/>
      <c r="BV54" s="460"/>
      <c r="BW54" s="460"/>
      <c r="BX54" s="460"/>
      <c r="BY54" s="460"/>
      <c r="BZ54" s="460"/>
      <c r="CA54" s="460"/>
      <c r="CB54" s="460"/>
      <c r="CC54" s="460"/>
      <c r="CD54" s="460"/>
      <c r="CE54" s="460"/>
      <c r="CF54" s="460"/>
      <c r="CG54" s="460"/>
      <c r="CH54" s="460"/>
      <c r="CI54" s="460"/>
      <c r="CJ54" s="460"/>
      <c r="CK54" s="460"/>
      <c r="CL54" s="460"/>
      <c r="CM54" s="460"/>
      <c r="CN54" s="460"/>
      <c r="CO54" s="460"/>
      <c r="CP54" s="460"/>
      <c r="CQ54" s="460"/>
      <c r="CR54" s="460"/>
      <c r="CS54" s="460"/>
      <c r="CT54" s="460"/>
      <c r="CU54" s="460"/>
      <c r="CV54" s="460"/>
      <c r="CW54" s="460"/>
      <c r="CX54" s="460"/>
      <c r="CY54" s="460"/>
    </row>
    <row r="55" spans="1:103" s="350" customFormat="1" ht="12" customHeight="1">
      <c r="A55" s="269"/>
      <c r="B55" s="276" t="str">
        <f>UPPER(LEFT(TRIM(Data!B51),1)) &amp; MID(TRIM(Data!B51),2,50)</f>
        <v>Limfinio ir kraujodaros audinių</v>
      </c>
      <c r="C55" s="276" t="str">
        <f>UPPER(LEFT(TRIM(Data!C51),1)) &amp; MID(TRIM(Data!C51),2,50)</f>
        <v>D45-D47</v>
      </c>
      <c r="D55" s="277">
        <f>Data!D51+Data!BQ51</f>
        <v>375</v>
      </c>
      <c r="E55" s="280">
        <f t="shared" si="5"/>
        <v>12.788303783257689</v>
      </c>
      <c r="F55" s="281">
        <f t="shared" si="6"/>
        <v>8.8043100399359577</v>
      </c>
      <c r="G55" s="279">
        <f t="shared" si="7"/>
        <v>6.1867739567803035</v>
      </c>
      <c r="H55" s="274"/>
      <c r="I55" s="274"/>
      <c r="J55" s="274"/>
      <c r="K55" s="274"/>
      <c r="L55" s="274"/>
      <c r="M55" s="274"/>
      <c r="N55" s="274"/>
      <c r="O55" s="270"/>
      <c r="P55" s="261"/>
      <c r="Q55" s="474" t="s">
        <v>353</v>
      </c>
      <c r="R55" s="468">
        <f t="shared" si="12"/>
        <v>880431.00399359583</v>
      </c>
      <c r="S55" s="468">
        <f>(Data!Q51+Data!CD51)/S$6*100000*S$3</f>
        <v>0</v>
      </c>
      <c r="T55" s="468">
        <f>(Data!R51+Data!CE51)/T$6*100000*T$3</f>
        <v>0</v>
      </c>
      <c r="U55" s="468">
        <f>(Data!S51+Data!CF51)/U$6*100000*U$3</f>
        <v>0</v>
      </c>
      <c r="V55" s="468">
        <f>(Data!T51+Data!CG51)/V$6*100000*V$3</f>
        <v>0</v>
      </c>
      <c r="W55" s="468">
        <f>(Data!U51+Data!CH51)/W$6*100000*W$3</f>
        <v>9994.6219415267005</v>
      </c>
      <c r="X55" s="468">
        <f>(Data!V51+Data!CI51)/X$6*100000*X$3</f>
        <v>14367.005146466488</v>
      </c>
      <c r="Y55" s="468">
        <f>(Data!W51+Data!CJ51)/Y$6*100000*Y$3</f>
        <v>19819.697381534839</v>
      </c>
      <c r="Z55" s="468">
        <f>(Data!X51+Data!CK51)/Z$6*100000*Z$3</f>
        <v>34700.419709838396</v>
      </c>
      <c r="AA55" s="468">
        <f>(Data!Y51+Data!CL51)/AA$6*100000*AA$3</f>
        <v>20579.458760234607</v>
      </c>
      <c r="AB55" s="468">
        <f>(Data!Z51+Data!CM51)/AB$6*100000*AB$3</f>
        <v>59785.909505010633</v>
      </c>
      <c r="AC55" s="468">
        <f>(Data!AA51+Data!CN51)/AC$6*100000*AC$3</f>
        <v>78495.64392305701</v>
      </c>
      <c r="AD55" s="468">
        <f>(Data!AB51+Data!CO51)/AD$6*100000*AD$3</f>
        <v>75930.513845150432</v>
      </c>
      <c r="AE55" s="468">
        <f>(Data!AC51+Data!CP51)/AE$6*100000*AE$3</f>
        <v>117255.28821349842</v>
      </c>
      <c r="AF55" s="468">
        <f>(Data!AD51+Data!CQ51)/AF$6*100000*AF$3</f>
        <v>133863.08938921406</v>
      </c>
      <c r="AG55" s="468">
        <f>(Data!AE51+Data!CR51)/AG$6*100000*AG$3</f>
        <v>99057.122940895904</v>
      </c>
      <c r="AH55" s="468">
        <f>(Data!AF51+Data!CS51)/AH$6*100000*AH$3</f>
        <v>104577.3332780014</v>
      </c>
      <c r="AI55" s="468">
        <f>(Data!AG51+Data!CT51)/AI$6*100000*AI$3</f>
        <v>57166.190281747644</v>
      </c>
      <c r="AJ55" s="468">
        <f>(Data!AH51+Data!CU51)/AJ$6*100000*AJ$3</f>
        <v>54838.709677419356</v>
      </c>
      <c r="AK55" s="474" t="s">
        <v>353</v>
      </c>
      <c r="AL55" s="468">
        <f t="shared" si="4"/>
        <v>618677.39567803033</v>
      </c>
      <c r="AM55" s="468">
        <f>(Data!Q51+Data!CD51)/AM$6*100000*AM$3</f>
        <v>0</v>
      </c>
      <c r="AN55" s="468">
        <f>(Data!R51+Data!CE51)/AN$6*100000*AN$3</f>
        <v>0</v>
      </c>
      <c r="AO55" s="468">
        <f>(Data!S51+Data!CF51)/AO$6*100000*AO$3</f>
        <v>0</v>
      </c>
      <c r="AP55" s="468">
        <f>(Data!T51+Data!CG51)/AP$6*100000*AP$3</f>
        <v>0</v>
      </c>
      <c r="AQ55" s="468">
        <f>(Data!U51+Data!CH51)/AQ$6*100000*AQ$3</f>
        <v>11422.425076030515</v>
      </c>
      <c r="AR55" s="468">
        <f>(Data!V51+Data!CI51)/AR$6*100000*AR$3</f>
        <v>16419.434453104557</v>
      </c>
      <c r="AS55" s="468">
        <f>(Data!W51+Data!CJ51)/AS$6*100000*AS$3</f>
        <v>16988.312041315574</v>
      </c>
      <c r="AT55" s="468">
        <f>(Data!X51+Data!CK51)/AT$6*100000*AT$3</f>
        <v>29743.216894147197</v>
      </c>
      <c r="AU55" s="468">
        <f>(Data!Y51+Data!CL51)/AU$6*100000*AU$3</f>
        <v>17639.536080201091</v>
      </c>
      <c r="AV55" s="468">
        <f>(Data!Z51+Data!CM51)/AV$6*100000*AV$3</f>
        <v>51245.065290009115</v>
      </c>
      <c r="AW55" s="468">
        <f>(Data!AA51+Data!CN51)/AW$6*100000*AW$3</f>
        <v>56068.317087897864</v>
      </c>
      <c r="AX55" s="468">
        <f>(Data!AB51+Data!CO51)/AX$6*100000*AX$3</f>
        <v>50620.342563433616</v>
      </c>
      <c r="AY55" s="468">
        <f>(Data!AC51+Data!CP51)/AY$6*100000*AY$3</f>
        <v>93804.23057079874</v>
      </c>
      <c r="AZ55" s="468">
        <f>(Data!AD51+Data!CQ51)/AZ$6*100000*AZ$3</f>
        <v>100397.31704191054</v>
      </c>
      <c r="BA55" s="468">
        <f>(Data!AE51+Data!CR51)/BA$6*100000*BA$3</f>
        <v>66038.081960597265</v>
      </c>
      <c r="BB55" s="468">
        <f>(Data!AF51+Data!CS51)/BB$6*100000*BB$3</f>
        <v>52288.666639000701</v>
      </c>
      <c r="BC55" s="468">
        <f>(Data!AG51+Data!CT51)/BC$6*100000*BC$3</f>
        <v>28583.095140873822</v>
      </c>
      <c r="BD55" s="468">
        <f>(Data!AH51+Data!CU51)/BD$6*100000*BD$3</f>
        <v>27419.354838709678</v>
      </c>
      <c r="BE55" s="460"/>
      <c r="BF55" s="460"/>
      <c r="BG55" s="460"/>
      <c r="BH55" s="460"/>
      <c r="BI55" s="460"/>
      <c r="BJ55" s="460"/>
      <c r="BK55" s="460"/>
      <c r="BL55" s="460"/>
      <c r="BM55" s="460"/>
      <c r="BN55" s="460"/>
      <c r="BO55" s="460"/>
      <c r="BP55" s="460"/>
      <c r="BQ55" s="460"/>
      <c r="BR55" s="460"/>
      <c r="BS55" s="460"/>
      <c r="BT55" s="460"/>
      <c r="BU55" s="460"/>
      <c r="BV55" s="460"/>
      <c r="BW55" s="460"/>
      <c r="BX55" s="460"/>
      <c r="BY55" s="460"/>
      <c r="BZ55" s="460"/>
      <c r="CA55" s="460"/>
      <c r="CB55" s="460"/>
      <c r="CC55" s="460"/>
      <c r="CD55" s="460"/>
      <c r="CE55" s="460"/>
      <c r="CF55" s="460"/>
      <c r="CG55" s="460"/>
      <c r="CH55" s="460"/>
      <c r="CI55" s="460"/>
      <c r="CJ55" s="460"/>
      <c r="CK55" s="460"/>
      <c r="CL55" s="460"/>
      <c r="CM55" s="460"/>
      <c r="CN55" s="460"/>
      <c r="CO55" s="460"/>
      <c r="CP55" s="460"/>
      <c r="CQ55" s="460"/>
      <c r="CR55" s="460"/>
      <c r="CS55" s="460"/>
      <c r="CT55" s="460"/>
      <c r="CU55" s="460"/>
      <c r="CV55" s="460"/>
      <c r="CW55" s="460"/>
      <c r="CX55" s="460"/>
      <c r="CY55" s="460"/>
    </row>
    <row r="56" spans="1:103" s="350" customFormat="1">
      <c r="A56" s="269"/>
      <c r="B56" s="269"/>
      <c r="C56" s="269"/>
      <c r="D56" s="269"/>
      <c r="E56" s="269"/>
      <c r="F56" s="269"/>
      <c r="G56" s="269"/>
      <c r="H56" s="269"/>
      <c r="I56" s="269"/>
      <c r="J56" s="269"/>
      <c r="K56" s="269"/>
      <c r="L56" s="269"/>
      <c r="M56" s="269"/>
      <c r="N56" s="269"/>
      <c r="O56" s="270"/>
      <c r="P56" s="261"/>
      <c r="Q56" s="465"/>
      <c r="R56" s="465"/>
      <c r="S56" s="465"/>
      <c r="T56" s="465"/>
      <c r="U56" s="465"/>
      <c r="V56" s="465"/>
      <c r="W56" s="465"/>
      <c r="X56" s="465"/>
      <c r="Y56" s="465"/>
      <c r="Z56" s="465"/>
      <c r="AA56" s="465"/>
      <c r="AB56" s="465"/>
      <c r="AC56" s="465"/>
      <c r="AD56" s="465"/>
      <c r="AE56" s="465"/>
      <c r="AF56" s="465"/>
      <c r="AG56" s="465"/>
      <c r="AH56" s="465"/>
      <c r="AI56" s="465"/>
      <c r="AJ56" s="465"/>
      <c r="AK56" s="465"/>
      <c r="AL56" s="465"/>
      <c r="AM56" s="465"/>
      <c r="AN56" s="465"/>
      <c r="AO56" s="465"/>
      <c r="AP56" s="465"/>
      <c r="AQ56" s="465"/>
      <c r="AR56" s="465"/>
      <c r="AS56" s="465"/>
      <c r="AT56" s="465"/>
      <c r="AU56" s="465"/>
      <c r="AV56" s="465"/>
      <c r="AW56" s="465"/>
      <c r="AX56" s="465"/>
      <c r="AY56" s="465"/>
      <c r="AZ56" s="465"/>
      <c r="BA56" s="465"/>
      <c r="BB56" s="465"/>
      <c r="BC56" s="465"/>
      <c r="BD56" s="465"/>
      <c r="BE56" s="460"/>
      <c r="BF56" s="460"/>
      <c r="BG56" s="460"/>
      <c r="BH56" s="460"/>
      <c r="BI56" s="460"/>
      <c r="BJ56" s="460"/>
      <c r="BK56" s="460"/>
      <c r="BL56" s="460"/>
      <c r="BM56" s="460"/>
      <c r="BN56" s="460"/>
      <c r="BO56" s="460"/>
      <c r="BP56" s="460"/>
      <c r="BQ56" s="460"/>
      <c r="BR56" s="460"/>
      <c r="BS56" s="460"/>
      <c r="BT56" s="460"/>
      <c r="BU56" s="460"/>
      <c r="BV56" s="460"/>
      <c r="BW56" s="460"/>
      <c r="BX56" s="460"/>
      <c r="BY56" s="460"/>
      <c r="BZ56" s="460"/>
      <c r="CA56" s="460"/>
      <c r="CB56" s="460"/>
      <c r="CC56" s="460"/>
      <c r="CD56" s="460"/>
      <c r="CE56" s="460"/>
      <c r="CF56" s="460"/>
      <c r="CG56" s="460"/>
      <c r="CH56" s="460"/>
      <c r="CI56" s="460"/>
      <c r="CJ56" s="460"/>
      <c r="CK56" s="460"/>
      <c r="CL56" s="460"/>
      <c r="CM56" s="460"/>
      <c r="CN56" s="460"/>
      <c r="CO56" s="460"/>
      <c r="CP56" s="460"/>
      <c r="CQ56" s="460"/>
      <c r="CR56" s="460"/>
      <c r="CS56" s="460"/>
      <c r="CT56" s="460"/>
      <c r="CU56" s="460"/>
      <c r="CV56" s="460"/>
      <c r="CW56" s="460"/>
      <c r="CX56" s="460"/>
      <c r="CY56" s="460"/>
    </row>
    <row r="57" spans="1:103" s="350" customFormat="1">
      <c r="A57" s="269"/>
      <c r="B57" s="269"/>
      <c r="C57" s="269"/>
      <c r="D57" s="269"/>
      <c r="E57" s="269"/>
      <c r="F57" s="269"/>
      <c r="G57" s="269"/>
      <c r="H57" s="269"/>
      <c r="I57" s="269"/>
      <c r="J57" s="269"/>
      <c r="K57" s="269"/>
      <c r="L57" s="269"/>
      <c r="M57" s="269"/>
      <c r="N57" s="269"/>
      <c r="O57" s="270"/>
      <c r="P57" s="261"/>
      <c r="Q57" s="465"/>
      <c r="R57" s="465"/>
      <c r="S57" s="465"/>
      <c r="T57" s="465"/>
      <c r="U57" s="465"/>
      <c r="V57" s="465"/>
      <c r="W57" s="465"/>
      <c r="X57" s="465"/>
      <c r="Y57" s="465"/>
      <c r="Z57" s="465"/>
      <c r="AA57" s="465"/>
      <c r="AB57" s="465"/>
      <c r="AC57" s="465"/>
      <c r="AD57" s="465"/>
      <c r="AE57" s="465"/>
      <c r="AF57" s="465"/>
      <c r="AG57" s="465"/>
      <c r="AH57" s="465"/>
      <c r="AI57" s="465"/>
      <c r="AJ57" s="465"/>
      <c r="AK57" s="465"/>
      <c r="AL57" s="465"/>
      <c r="AM57" s="465"/>
      <c r="AN57" s="465"/>
      <c r="AO57" s="475"/>
      <c r="AP57" s="465"/>
      <c r="AQ57" s="465"/>
      <c r="AR57" s="465"/>
      <c r="AS57" s="465"/>
      <c r="AT57" s="465"/>
      <c r="AU57" s="465"/>
      <c r="AV57" s="465"/>
      <c r="AW57" s="465"/>
      <c r="AX57" s="465"/>
      <c r="AY57" s="465"/>
      <c r="AZ57" s="465"/>
      <c r="BA57" s="465"/>
      <c r="BB57" s="465"/>
      <c r="BC57" s="465"/>
      <c r="BD57" s="465"/>
      <c r="BE57" s="460"/>
      <c r="BF57" s="460"/>
      <c r="BG57" s="460"/>
      <c r="BH57" s="460"/>
      <c r="BI57" s="460"/>
      <c r="BJ57" s="460"/>
      <c r="BK57" s="460"/>
      <c r="BL57" s="460"/>
      <c r="BM57" s="460"/>
      <c r="BN57" s="460"/>
      <c r="BO57" s="460"/>
      <c r="BP57" s="460"/>
      <c r="BQ57" s="460"/>
      <c r="BR57" s="460"/>
      <c r="BS57" s="460"/>
      <c r="BT57" s="460"/>
      <c r="BU57" s="460"/>
      <c r="BV57" s="460"/>
      <c r="BW57" s="460"/>
      <c r="BX57" s="460"/>
      <c r="BY57" s="460"/>
      <c r="BZ57" s="460"/>
      <c r="CA57" s="460"/>
      <c r="CB57" s="460"/>
      <c r="CC57" s="460"/>
      <c r="CD57" s="460"/>
      <c r="CE57" s="460"/>
      <c r="CF57" s="460"/>
      <c r="CG57" s="460"/>
      <c r="CH57" s="460"/>
      <c r="CI57" s="460"/>
      <c r="CJ57" s="460"/>
      <c r="CK57" s="460"/>
      <c r="CL57" s="460"/>
      <c r="CM57" s="460"/>
      <c r="CN57" s="460"/>
      <c r="CO57" s="460"/>
      <c r="CP57" s="460"/>
      <c r="CQ57" s="460"/>
      <c r="CR57" s="460"/>
      <c r="CS57" s="460"/>
      <c r="CT57" s="460"/>
      <c r="CU57" s="460"/>
      <c r="CV57" s="460"/>
      <c r="CW57" s="460"/>
      <c r="CX57" s="460"/>
      <c r="CY57" s="460"/>
    </row>
    <row r="58" spans="1:103" s="350" customFormat="1">
      <c r="A58" s="31"/>
      <c r="B58" s="31"/>
      <c r="C58" s="31"/>
      <c r="D58" s="31"/>
      <c r="E58" s="31"/>
      <c r="F58" s="31"/>
      <c r="G58" s="31"/>
      <c r="H58" s="31"/>
      <c r="I58" s="31"/>
      <c r="J58" s="31"/>
      <c r="K58" s="31"/>
      <c r="L58" s="31"/>
      <c r="M58" s="31"/>
      <c r="N58" s="31"/>
      <c r="O58" s="261"/>
      <c r="P58" s="261"/>
      <c r="Q58" s="465" t="s">
        <v>408</v>
      </c>
      <c r="R58" s="468">
        <f>SUM(S58:AJ58)</f>
        <v>100000</v>
      </c>
      <c r="S58" s="466">
        <v>8000</v>
      </c>
      <c r="T58" s="466">
        <v>7000</v>
      </c>
      <c r="U58" s="466">
        <v>7000</v>
      </c>
      <c r="V58" s="466">
        <v>7000</v>
      </c>
      <c r="W58" s="466">
        <v>7000</v>
      </c>
      <c r="X58" s="466">
        <v>7000</v>
      </c>
      <c r="Y58" s="466">
        <v>7000</v>
      </c>
      <c r="Z58" s="466">
        <v>7000</v>
      </c>
      <c r="AA58" s="466">
        <v>7000</v>
      </c>
      <c r="AB58" s="466">
        <v>7000</v>
      </c>
      <c r="AC58" s="466">
        <v>7000</v>
      </c>
      <c r="AD58" s="466">
        <v>6000</v>
      </c>
      <c r="AE58" s="466">
        <v>5000</v>
      </c>
      <c r="AF58" s="466">
        <v>4000</v>
      </c>
      <c r="AG58" s="466">
        <v>3000</v>
      </c>
      <c r="AH58" s="466">
        <v>2000</v>
      </c>
      <c r="AI58" s="466">
        <v>1000</v>
      </c>
      <c r="AJ58" s="466">
        <v>1000</v>
      </c>
      <c r="AK58" s="465" t="s">
        <v>408</v>
      </c>
      <c r="AL58" s="468">
        <v>100000</v>
      </c>
      <c r="AM58" s="466">
        <v>8000</v>
      </c>
      <c r="AN58" s="466">
        <v>7000</v>
      </c>
      <c r="AO58" s="466">
        <v>7000</v>
      </c>
      <c r="AP58" s="466">
        <v>7000</v>
      </c>
      <c r="AQ58" s="466">
        <v>7000</v>
      </c>
      <c r="AR58" s="466">
        <v>7000</v>
      </c>
      <c r="AS58" s="466">
        <v>7000</v>
      </c>
      <c r="AT58" s="466">
        <v>7000</v>
      </c>
      <c r="AU58" s="466">
        <v>7000</v>
      </c>
      <c r="AV58" s="466">
        <v>7000</v>
      </c>
      <c r="AW58" s="466">
        <v>7000</v>
      </c>
      <c r="AX58" s="466">
        <v>6000</v>
      </c>
      <c r="AY58" s="466">
        <v>5000</v>
      </c>
      <c r="AZ58" s="466">
        <v>4000</v>
      </c>
      <c r="BA58" s="466">
        <v>3000</v>
      </c>
      <c r="BB58" s="466">
        <v>2000</v>
      </c>
      <c r="BC58" s="466">
        <v>1000</v>
      </c>
      <c r="BD58" s="466">
        <v>1000</v>
      </c>
      <c r="BE58" s="460"/>
      <c r="BF58" s="460"/>
      <c r="BG58" s="460"/>
      <c r="BH58" s="460"/>
      <c r="BI58" s="460"/>
      <c r="BJ58" s="460"/>
      <c r="BK58" s="460"/>
      <c r="BL58" s="460"/>
      <c r="BM58" s="460"/>
      <c r="BN58" s="460"/>
      <c r="BO58" s="460"/>
      <c r="BP58" s="460"/>
      <c r="BQ58" s="460"/>
      <c r="BR58" s="460"/>
      <c r="BS58" s="460"/>
      <c r="BT58" s="460"/>
      <c r="BU58" s="460"/>
      <c r="BV58" s="460"/>
      <c r="BW58" s="460"/>
      <c r="BX58" s="460"/>
      <c r="BY58" s="460"/>
      <c r="BZ58" s="460"/>
      <c r="CA58" s="460"/>
      <c r="CB58" s="460"/>
      <c r="CC58" s="460"/>
      <c r="CD58" s="460"/>
      <c r="CE58" s="460"/>
      <c r="CF58" s="460"/>
      <c r="CG58" s="460"/>
      <c r="CH58" s="460"/>
      <c r="CI58" s="460"/>
      <c r="CJ58" s="460"/>
      <c r="CK58" s="460"/>
      <c r="CL58" s="460"/>
      <c r="CM58" s="460"/>
      <c r="CN58" s="460"/>
      <c r="CO58" s="460"/>
      <c r="CP58" s="460"/>
      <c r="CQ58" s="460"/>
      <c r="CR58" s="460"/>
      <c r="CS58" s="460"/>
      <c r="CT58" s="460"/>
      <c r="CU58" s="460"/>
      <c r="CV58" s="460"/>
      <c r="CW58" s="460"/>
      <c r="CX58" s="460"/>
      <c r="CY58" s="460"/>
    </row>
    <row r="59" spans="1:103" s="350" customFormat="1">
      <c r="A59" s="31"/>
      <c r="B59" s="31"/>
      <c r="C59" s="31"/>
      <c r="D59" s="31"/>
      <c r="E59" s="31"/>
      <c r="F59" s="31"/>
      <c r="G59" s="31"/>
      <c r="H59" s="31"/>
      <c r="I59" s="31"/>
      <c r="J59" s="31"/>
      <c r="K59" s="31"/>
      <c r="L59" s="31"/>
      <c r="M59" s="31"/>
      <c r="N59" s="31"/>
      <c r="O59" s="261"/>
      <c r="P59" s="261"/>
      <c r="Q59" s="465" t="s">
        <v>409</v>
      </c>
      <c r="R59" s="465">
        <v>100000</v>
      </c>
      <c r="S59" s="465">
        <v>12000</v>
      </c>
      <c r="T59" s="465">
        <v>10000</v>
      </c>
      <c r="U59" s="465">
        <v>9000</v>
      </c>
      <c r="V59" s="465">
        <v>9000</v>
      </c>
      <c r="W59" s="465">
        <v>8000</v>
      </c>
      <c r="X59" s="465">
        <v>8000</v>
      </c>
      <c r="Y59" s="465">
        <v>6000</v>
      </c>
      <c r="Z59" s="465">
        <v>6000</v>
      </c>
      <c r="AA59" s="465">
        <v>6000</v>
      </c>
      <c r="AB59" s="465">
        <v>6000</v>
      </c>
      <c r="AC59" s="465">
        <v>5000</v>
      </c>
      <c r="AD59" s="465">
        <v>4000</v>
      </c>
      <c r="AE59" s="465">
        <v>4000</v>
      </c>
      <c r="AF59" s="465">
        <v>3000</v>
      </c>
      <c r="AG59" s="465">
        <v>2000</v>
      </c>
      <c r="AH59" s="465">
        <v>1000</v>
      </c>
      <c r="AI59" s="465">
        <v>500</v>
      </c>
      <c r="AJ59" s="465">
        <v>500</v>
      </c>
      <c r="AK59" s="465" t="s">
        <v>409</v>
      </c>
      <c r="AL59" s="465">
        <v>100000</v>
      </c>
      <c r="AM59" s="465">
        <v>12000</v>
      </c>
      <c r="AN59" s="465">
        <v>10000</v>
      </c>
      <c r="AO59" s="465">
        <v>9000</v>
      </c>
      <c r="AP59" s="465">
        <v>9000</v>
      </c>
      <c r="AQ59" s="465">
        <v>8000</v>
      </c>
      <c r="AR59" s="465">
        <v>8000</v>
      </c>
      <c r="AS59" s="465">
        <v>6000</v>
      </c>
      <c r="AT59" s="465">
        <v>6000</v>
      </c>
      <c r="AU59" s="465">
        <v>6000</v>
      </c>
      <c r="AV59" s="465">
        <v>6000</v>
      </c>
      <c r="AW59" s="465">
        <v>5000</v>
      </c>
      <c r="AX59" s="465">
        <v>4000</v>
      </c>
      <c r="AY59" s="465">
        <v>4000</v>
      </c>
      <c r="AZ59" s="465">
        <v>3000</v>
      </c>
      <c r="BA59" s="465">
        <v>2000</v>
      </c>
      <c r="BB59" s="465">
        <v>1000</v>
      </c>
      <c r="BC59" s="465">
        <v>500</v>
      </c>
      <c r="BD59" s="465">
        <v>500</v>
      </c>
      <c r="BE59" s="460"/>
      <c r="BF59" s="460"/>
      <c r="BG59" s="460"/>
      <c r="BH59" s="460"/>
      <c r="BI59" s="460"/>
      <c r="BJ59" s="460"/>
      <c r="BK59" s="460"/>
      <c r="BL59" s="460"/>
      <c r="BM59" s="460"/>
      <c r="BN59" s="460"/>
      <c r="BO59" s="460"/>
      <c r="BP59" s="460"/>
      <c r="BQ59" s="460"/>
      <c r="BR59" s="460"/>
      <c r="BS59" s="460"/>
      <c r="BT59" s="460"/>
      <c r="BU59" s="460"/>
      <c r="BV59" s="460"/>
      <c r="BW59" s="460"/>
      <c r="BX59" s="460"/>
      <c r="BY59" s="460"/>
      <c r="BZ59" s="460"/>
      <c r="CA59" s="460"/>
      <c r="CB59" s="460"/>
      <c r="CC59" s="460"/>
      <c r="CD59" s="460"/>
      <c r="CE59" s="460"/>
      <c r="CF59" s="460"/>
      <c r="CG59" s="460"/>
      <c r="CH59" s="460"/>
      <c r="CI59" s="460"/>
      <c r="CJ59" s="460"/>
      <c r="CK59" s="460"/>
      <c r="CL59" s="460"/>
      <c r="CM59" s="460"/>
      <c r="CN59" s="460"/>
      <c r="CO59" s="460"/>
      <c r="CP59" s="460"/>
      <c r="CQ59" s="460"/>
      <c r="CR59" s="460"/>
      <c r="CS59" s="460"/>
      <c r="CT59" s="460"/>
      <c r="CU59" s="460"/>
      <c r="CV59" s="460"/>
      <c r="CW59" s="460"/>
      <c r="CX59" s="460"/>
      <c r="CY59" s="460"/>
    </row>
    <row r="60" spans="1:103" s="350" customFormat="1">
      <c r="A60" s="31"/>
      <c r="B60" s="31"/>
      <c r="C60" s="31"/>
      <c r="D60" s="31"/>
      <c r="E60" s="31"/>
      <c r="F60" s="31"/>
      <c r="G60" s="31"/>
      <c r="H60" s="31"/>
      <c r="I60" s="31"/>
      <c r="J60" s="31"/>
      <c r="K60" s="31"/>
      <c r="L60" s="31"/>
      <c r="M60" s="31"/>
      <c r="N60" s="31"/>
      <c r="O60" s="261"/>
      <c r="P60" s="261"/>
      <c r="Q60" s="459" t="s">
        <v>613</v>
      </c>
      <c r="R60" s="459"/>
      <c r="S60" s="459"/>
      <c r="T60" s="459"/>
      <c r="U60" s="459"/>
      <c r="V60" s="459"/>
      <c r="W60" s="459"/>
      <c r="X60" s="459"/>
      <c r="Y60" s="459"/>
      <c r="Z60" s="459"/>
      <c r="AA60" s="459"/>
      <c r="AB60" s="459"/>
      <c r="AC60" s="459"/>
      <c r="AD60" s="459"/>
      <c r="AE60" s="459"/>
      <c r="AF60" s="459"/>
      <c r="AG60" s="459"/>
      <c r="AH60" s="459"/>
      <c r="AI60" s="460"/>
      <c r="AJ60" s="460"/>
      <c r="AK60" s="460"/>
      <c r="AL60" s="460"/>
      <c r="AM60" s="460"/>
      <c r="AN60" s="460"/>
      <c r="AO60" s="460"/>
      <c r="AP60" s="460"/>
      <c r="AQ60" s="460"/>
      <c r="AR60" s="460"/>
      <c r="AS60" s="460"/>
      <c r="AT60" s="460"/>
      <c r="AU60" s="460"/>
      <c r="AV60" s="460"/>
      <c r="AW60" s="460"/>
      <c r="AX60" s="460"/>
      <c r="AY60" s="460"/>
      <c r="AZ60" s="460"/>
      <c r="BA60" s="460"/>
      <c r="BB60" s="460"/>
      <c r="BC60" s="460"/>
      <c r="BD60" s="460"/>
      <c r="BE60" s="460"/>
      <c r="BF60" s="460"/>
      <c r="BG60" s="460"/>
      <c r="BH60" s="460"/>
      <c r="BI60" s="460"/>
      <c r="BJ60" s="460"/>
      <c r="BK60" s="460"/>
      <c r="BL60" s="460"/>
      <c r="BM60" s="460"/>
      <c r="BN60" s="460"/>
      <c r="BO60" s="460"/>
      <c r="BP60" s="460"/>
      <c r="BQ60" s="460"/>
      <c r="BR60" s="460"/>
      <c r="BS60" s="460"/>
      <c r="BT60" s="460"/>
      <c r="BU60" s="460"/>
      <c r="BV60" s="460"/>
      <c r="BW60" s="460"/>
      <c r="BX60" s="460"/>
      <c r="BY60" s="460"/>
      <c r="BZ60" s="460"/>
      <c r="CA60" s="460"/>
      <c r="CB60" s="460"/>
      <c r="CC60" s="460"/>
      <c r="CD60" s="460"/>
      <c r="CE60" s="460"/>
      <c r="CF60" s="460"/>
      <c r="CG60" s="460"/>
      <c r="CH60" s="460"/>
      <c r="CI60" s="460"/>
      <c r="CJ60" s="460"/>
      <c r="CK60" s="460"/>
      <c r="CL60" s="460"/>
      <c r="CM60" s="460"/>
      <c r="CN60" s="460"/>
      <c r="CO60" s="460"/>
      <c r="CP60" s="460"/>
      <c r="CQ60" s="460"/>
      <c r="CR60" s="460"/>
      <c r="CS60" s="460"/>
      <c r="CT60" s="460"/>
      <c r="CU60" s="460"/>
      <c r="CV60" s="460"/>
      <c r="CW60" s="460"/>
      <c r="CX60" s="460"/>
      <c r="CY60" s="460"/>
    </row>
    <row r="61" spans="1:103">
      <c r="Q61" s="476"/>
      <c r="R61" s="476"/>
      <c r="S61" s="476"/>
      <c r="T61" s="476"/>
      <c r="U61" s="476"/>
      <c r="V61" s="476"/>
      <c r="W61" s="476"/>
      <c r="X61" s="476"/>
      <c r="Y61" s="476"/>
      <c r="Z61" s="476"/>
      <c r="AA61" s="476"/>
      <c r="AB61" s="476"/>
      <c r="AC61" s="476"/>
      <c r="AD61" s="476"/>
      <c r="AE61" s="476"/>
      <c r="AF61" s="476"/>
      <c r="AG61" s="476"/>
      <c r="AH61" s="476"/>
      <c r="AI61" s="477"/>
      <c r="AJ61" s="477"/>
      <c r="AK61" s="477"/>
      <c r="AL61" s="477"/>
      <c r="AM61" s="477"/>
      <c r="AN61" s="477"/>
      <c r="AO61" s="477"/>
      <c r="AP61" s="477"/>
      <c r="AQ61" s="477"/>
      <c r="AR61" s="477"/>
      <c r="AS61" s="477"/>
      <c r="AT61" s="477"/>
      <c r="AU61" s="477"/>
      <c r="AV61" s="477"/>
      <c r="AW61" s="477"/>
      <c r="AX61" s="477"/>
      <c r="AY61" s="477"/>
      <c r="AZ61" s="477"/>
      <c r="BA61" s="477"/>
      <c r="BB61" s="477"/>
      <c r="BC61" s="477"/>
      <c r="BD61" s="477"/>
      <c r="BE61" s="477"/>
      <c r="BF61" s="477"/>
      <c r="BG61" s="477"/>
      <c r="BH61" s="477"/>
      <c r="BI61" s="477"/>
      <c r="BJ61" s="477"/>
      <c r="BK61" s="477"/>
      <c r="BL61" s="477"/>
      <c r="BM61" s="477"/>
      <c r="BN61" s="477"/>
      <c r="BO61" s="477"/>
      <c r="BP61" s="477"/>
      <c r="BQ61" s="477"/>
      <c r="BR61" s="477"/>
      <c r="BS61" s="477"/>
      <c r="BT61" s="477"/>
      <c r="BU61" s="477"/>
      <c r="BV61" s="477"/>
      <c r="BW61" s="477"/>
      <c r="BX61" s="477"/>
      <c r="BY61" s="477"/>
      <c r="BZ61" s="477"/>
      <c r="CA61" s="477"/>
      <c r="CB61" s="477"/>
      <c r="CC61" s="477"/>
      <c r="CD61" s="477"/>
      <c r="CE61" s="477"/>
      <c r="CF61" s="477"/>
      <c r="CG61" s="477"/>
      <c r="CH61" s="477"/>
      <c r="CI61" s="477"/>
      <c r="CJ61" s="477"/>
      <c r="CK61" s="477"/>
      <c r="CL61" s="477"/>
      <c r="CM61" s="477"/>
      <c r="CN61" s="477"/>
      <c r="CO61" s="477"/>
      <c r="CP61" s="477"/>
      <c r="CQ61" s="477"/>
      <c r="CR61" s="477"/>
      <c r="CS61" s="477"/>
      <c r="CT61" s="477"/>
      <c r="CU61" s="477"/>
      <c r="CV61" s="477"/>
      <c r="CW61" s="477"/>
      <c r="CX61" s="477"/>
      <c r="CY61" s="477"/>
    </row>
    <row r="62" spans="1:103">
      <c r="Q62" s="476"/>
      <c r="R62" s="476"/>
      <c r="S62" s="476"/>
      <c r="T62" s="476"/>
      <c r="U62" s="476"/>
      <c r="V62" s="476"/>
      <c r="W62" s="476"/>
      <c r="X62" s="476"/>
      <c r="Y62" s="476"/>
      <c r="Z62" s="476"/>
      <c r="AA62" s="476"/>
      <c r="AB62" s="476"/>
      <c r="AC62" s="476"/>
      <c r="AD62" s="476"/>
      <c r="AE62" s="476"/>
      <c r="AF62" s="476"/>
      <c r="AG62" s="476"/>
      <c r="AH62" s="476"/>
      <c r="AI62" s="477"/>
      <c r="AJ62" s="477"/>
      <c r="AK62" s="477"/>
      <c r="AL62" s="477"/>
      <c r="AM62" s="477"/>
      <c r="AN62" s="477"/>
      <c r="AO62" s="477"/>
      <c r="AP62" s="477"/>
      <c r="AQ62" s="477"/>
      <c r="AR62" s="477"/>
      <c r="AS62" s="477"/>
      <c r="AT62" s="477"/>
      <c r="AU62" s="477"/>
      <c r="AV62" s="477"/>
      <c r="AW62" s="477"/>
      <c r="AX62" s="477"/>
      <c r="AY62" s="477"/>
      <c r="AZ62" s="477"/>
      <c r="BA62" s="477"/>
      <c r="BB62" s="477"/>
      <c r="BC62" s="477"/>
      <c r="BD62" s="477"/>
      <c r="BE62" s="477"/>
      <c r="BF62" s="477"/>
      <c r="BG62" s="477"/>
      <c r="BH62" s="477"/>
      <c r="BI62" s="477"/>
      <c r="BJ62" s="477"/>
      <c r="BK62" s="477"/>
      <c r="BL62" s="477"/>
      <c r="BM62" s="477"/>
      <c r="BN62" s="477"/>
      <c r="BO62" s="477"/>
      <c r="BP62" s="477"/>
      <c r="BQ62" s="477"/>
      <c r="BR62" s="477"/>
      <c r="BS62" s="477"/>
      <c r="BT62" s="477"/>
      <c r="BU62" s="477"/>
      <c r="BV62" s="477"/>
      <c r="BW62" s="477"/>
      <c r="BX62" s="477"/>
      <c r="BY62" s="477"/>
      <c r="BZ62" s="477"/>
      <c r="CA62" s="477"/>
      <c r="CB62" s="477"/>
      <c r="CC62" s="477"/>
      <c r="CD62" s="477"/>
      <c r="CE62" s="477"/>
      <c r="CF62" s="477"/>
      <c r="CG62" s="477"/>
      <c r="CH62" s="477"/>
      <c r="CI62" s="477"/>
      <c r="CJ62" s="477"/>
      <c r="CK62" s="477"/>
      <c r="CL62" s="477"/>
      <c r="CM62" s="477"/>
      <c r="CN62" s="477"/>
      <c r="CO62" s="477"/>
      <c r="CP62" s="477"/>
      <c r="CQ62" s="477"/>
      <c r="CR62" s="477"/>
      <c r="CS62" s="477"/>
      <c r="CT62" s="477"/>
      <c r="CU62" s="477"/>
      <c r="CV62" s="477"/>
      <c r="CW62" s="477"/>
      <c r="CX62" s="477"/>
      <c r="CY62" s="477"/>
    </row>
    <row r="63" spans="1:103">
      <c r="Q63" s="476"/>
      <c r="R63" s="476"/>
      <c r="S63" s="476"/>
      <c r="T63" s="476"/>
      <c r="U63" s="476"/>
      <c r="V63" s="476"/>
      <c r="W63" s="476"/>
      <c r="X63" s="476"/>
      <c r="Y63" s="476"/>
      <c r="Z63" s="476"/>
      <c r="AA63" s="476"/>
      <c r="AB63" s="476"/>
      <c r="AC63" s="476"/>
      <c r="AD63" s="476"/>
      <c r="AE63" s="476"/>
      <c r="AF63" s="476"/>
      <c r="AG63" s="476"/>
      <c r="AH63" s="476"/>
      <c r="AI63" s="477"/>
      <c r="AJ63" s="477"/>
      <c r="AK63" s="477"/>
      <c r="AL63" s="477"/>
      <c r="AM63" s="477"/>
      <c r="AN63" s="477"/>
      <c r="AO63" s="477"/>
      <c r="AP63" s="477"/>
      <c r="AQ63" s="477"/>
      <c r="AR63" s="477"/>
      <c r="AS63" s="477"/>
      <c r="AT63" s="477"/>
      <c r="AU63" s="477"/>
      <c r="AV63" s="477"/>
      <c r="AW63" s="477"/>
      <c r="AX63" s="477"/>
      <c r="AY63" s="477"/>
      <c r="AZ63" s="477"/>
      <c r="BA63" s="477"/>
      <c r="BB63" s="477"/>
      <c r="BC63" s="477"/>
      <c r="BD63" s="477"/>
      <c r="BE63" s="477"/>
      <c r="BF63" s="477"/>
      <c r="BG63" s="477"/>
      <c r="BH63" s="477"/>
      <c r="BI63" s="477"/>
      <c r="BJ63" s="477"/>
      <c r="BK63" s="477"/>
      <c r="BL63" s="477"/>
      <c r="BM63" s="477"/>
      <c r="BN63" s="477"/>
      <c r="BO63" s="477"/>
      <c r="BP63" s="477"/>
      <c r="BQ63" s="477"/>
      <c r="BR63" s="477"/>
      <c r="BS63" s="477"/>
      <c r="BT63" s="477"/>
      <c r="BU63" s="477"/>
      <c r="BV63" s="477"/>
      <c r="BW63" s="477"/>
      <c r="BX63" s="477"/>
      <c r="BY63" s="477"/>
      <c r="BZ63" s="477"/>
      <c r="CA63" s="477"/>
      <c r="CB63" s="477"/>
      <c r="CC63" s="477"/>
      <c r="CD63" s="477"/>
      <c r="CE63" s="477"/>
      <c r="CF63" s="477"/>
      <c r="CG63" s="477"/>
      <c r="CH63" s="477"/>
      <c r="CI63" s="477"/>
      <c r="CJ63" s="477"/>
      <c r="CK63" s="477"/>
      <c r="CL63" s="477"/>
      <c r="CM63" s="477"/>
      <c r="CN63" s="477"/>
      <c r="CO63" s="477"/>
      <c r="CP63" s="477"/>
      <c r="CQ63" s="477"/>
      <c r="CR63" s="477"/>
      <c r="CS63" s="477"/>
      <c r="CT63" s="477"/>
      <c r="CU63" s="477"/>
      <c r="CV63" s="477"/>
      <c r="CW63" s="477"/>
      <c r="CX63" s="477"/>
      <c r="CY63" s="477"/>
    </row>
    <row r="64" spans="1:103">
      <c r="Q64" s="476"/>
      <c r="R64" s="476"/>
      <c r="S64" s="476"/>
      <c r="T64" s="476"/>
      <c r="U64" s="476"/>
      <c r="V64" s="476"/>
      <c r="W64" s="476"/>
      <c r="X64" s="476"/>
      <c r="Y64" s="476"/>
      <c r="Z64" s="476"/>
      <c r="AA64" s="476"/>
      <c r="AB64" s="476"/>
      <c r="AC64" s="476"/>
      <c r="AD64" s="476"/>
      <c r="AE64" s="476"/>
      <c r="AF64" s="476"/>
      <c r="AG64" s="476"/>
      <c r="AH64" s="476"/>
      <c r="AI64" s="477"/>
      <c r="AJ64" s="477"/>
      <c r="AK64" s="477"/>
      <c r="AL64" s="477"/>
      <c r="AM64" s="477"/>
      <c r="AN64" s="477"/>
      <c r="AO64" s="477"/>
      <c r="AP64" s="477"/>
      <c r="AQ64" s="477"/>
      <c r="AR64" s="477"/>
      <c r="AS64" s="477"/>
      <c r="AT64" s="477"/>
      <c r="AU64" s="477"/>
      <c r="AV64" s="477"/>
      <c r="AW64" s="477"/>
      <c r="AX64" s="477"/>
      <c r="AY64" s="477"/>
      <c r="AZ64" s="477"/>
      <c r="BA64" s="477"/>
      <c r="BB64" s="477"/>
      <c r="BC64" s="477"/>
      <c r="BD64" s="477"/>
      <c r="BE64" s="477"/>
      <c r="BF64" s="477"/>
      <c r="BG64" s="477"/>
      <c r="BH64" s="477"/>
      <c r="BI64" s="477"/>
      <c r="BJ64" s="477"/>
      <c r="BK64" s="477"/>
      <c r="BL64" s="477"/>
      <c r="BM64" s="477"/>
      <c r="BN64" s="477"/>
      <c r="BO64" s="477"/>
      <c r="BP64" s="477"/>
      <c r="BQ64" s="477"/>
      <c r="BR64" s="477"/>
      <c r="BS64" s="477"/>
      <c r="BT64" s="477"/>
      <c r="BU64" s="477"/>
      <c r="BV64" s="477"/>
      <c r="BW64" s="477"/>
      <c r="BX64" s="477"/>
      <c r="BY64" s="477"/>
      <c r="BZ64" s="477"/>
      <c r="CA64" s="477"/>
      <c r="CB64" s="477"/>
      <c r="CC64" s="477"/>
      <c r="CD64" s="477"/>
      <c r="CE64" s="477"/>
      <c r="CF64" s="477"/>
      <c r="CG64" s="477"/>
      <c r="CH64" s="477"/>
      <c r="CI64" s="477"/>
      <c r="CJ64" s="477"/>
      <c r="CK64" s="477"/>
      <c r="CL64" s="477"/>
      <c r="CM64" s="477"/>
      <c r="CN64" s="477"/>
      <c r="CO64" s="477"/>
      <c r="CP64" s="477"/>
      <c r="CQ64" s="477"/>
      <c r="CR64" s="477"/>
      <c r="CS64" s="477"/>
      <c r="CT64" s="477"/>
      <c r="CU64" s="477"/>
      <c r="CV64" s="477"/>
      <c r="CW64" s="477"/>
      <c r="CX64" s="477"/>
      <c r="CY64" s="477"/>
    </row>
    <row r="65" spans="17:103">
      <c r="Q65" s="476"/>
      <c r="R65" s="476"/>
      <c r="S65" s="476"/>
      <c r="T65" s="476"/>
      <c r="U65" s="476"/>
      <c r="V65" s="476"/>
      <c r="W65" s="476"/>
      <c r="X65" s="476"/>
      <c r="Y65" s="476"/>
      <c r="Z65" s="476"/>
      <c r="AA65" s="476"/>
      <c r="AB65" s="476"/>
      <c r="AC65" s="476"/>
      <c r="AD65" s="476"/>
      <c r="AE65" s="476"/>
      <c r="AF65" s="476"/>
      <c r="AG65" s="476"/>
      <c r="AH65" s="476"/>
      <c r="AI65" s="477"/>
      <c r="AJ65" s="477"/>
      <c r="AK65" s="477"/>
      <c r="AL65" s="477"/>
      <c r="AM65" s="477"/>
      <c r="AN65" s="477"/>
      <c r="AO65" s="477"/>
      <c r="AP65" s="477"/>
      <c r="AQ65" s="477"/>
      <c r="AR65" s="477"/>
      <c r="AS65" s="477"/>
      <c r="AT65" s="477"/>
      <c r="AU65" s="477"/>
      <c r="AV65" s="477"/>
      <c r="AW65" s="477"/>
      <c r="AX65" s="477"/>
      <c r="AY65" s="477"/>
      <c r="AZ65" s="477"/>
      <c r="BA65" s="477"/>
      <c r="BB65" s="477"/>
      <c r="BC65" s="477"/>
      <c r="BD65" s="477"/>
      <c r="BE65" s="477"/>
      <c r="BF65" s="477"/>
      <c r="BG65" s="477"/>
      <c r="BH65" s="477"/>
      <c r="BI65" s="477"/>
      <c r="BJ65" s="477"/>
      <c r="BK65" s="477"/>
      <c r="BL65" s="477"/>
      <c r="BM65" s="477"/>
      <c r="BN65" s="477"/>
      <c r="BO65" s="477"/>
      <c r="BP65" s="477"/>
      <c r="BQ65" s="477"/>
      <c r="BR65" s="477"/>
      <c r="BS65" s="477"/>
      <c r="BT65" s="477"/>
      <c r="BU65" s="477"/>
      <c r="BV65" s="477"/>
      <c r="BW65" s="477"/>
      <c r="BX65" s="477"/>
      <c r="BY65" s="477"/>
      <c r="BZ65" s="477"/>
      <c r="CA65" s="477"/>
      <c r="CB65" s="477"/>
      <c r="CC65" s="477"/>
      <c r="CD65" s="477"/>
      <c r="CE65" s="477"/>
      <c r="CF65" s="477"/>
      <c r="CG65" s="477"/>
      <c r="CH65" s="477"/>
      <c r="CI65" s="477"/>
      <c r="CJ65" s="477"/>
      <c r="CK65" s="477"/>
      <c r="CL65" s="477"/>
      <c r="CM65" s="477"/>
      <c r="CN65" s="477"/>
      <c r="CO65" s="477"/>
      <c r="CP65" s="477"/>
      <c r="CQ65" s="477"/>
      <c r="CR65" s="477"/>
      <c r="CS65" s="477"/>
      <c r="CT65" s="477"/>
      <c r="CU65" s="477"/>
      <c r="CV65" s="477"/>
      <c r="CW65" s="477"/>
      <c r="CX65" s="477"/>
      <c r="CY65" s="477"/>
    </row>
    <row r="66" spans="17:103">
      <c r="Q66" s="374"/>
      <c r="R66" s="374"/>
      <c r="S66" s="374"/>
      <c r="T66" s="374"/>
      <c r="U66" s="374"/>
      <c r="V66" s="374"/>
      <c r="W66" s="374"/>
      <c r="X66" s="374"/>
      <c r="Y66" s="374"/>
      <c r="Z66" s="374"/>
      <c r="AA66" s="374"/>
      <c r="AB66" s="374"/>
      <c r="AC66" s="374"/>
      <c r="AD66" s="374"/>
      <c r="AE66" s="374"/>
      <c r="AF66" s="374"/>
      <c r="AG66" s="374"/>
      <c r="AH66" s="374"/>
    </row>
    <row r="67" spans="17:103">
      <c r="Q67" s="374"/>
      <c r="R67" s="374"/>
      <c r="S67" s="374"/>
      <c r="T67" s="374"/>
      <c r="U67" s="374"/>
      <c r="V67" s="374"/>
      <c r="W67" s="374"/>
      <c r="X67" s="374"/>
      <c r="Y67" s="374"/>
      <c r="Z67" s="374"/>
      <c r="AA67" s="374"/>
      <c r="AB67" s="374"/>
      <c r="AC67" s="374"/>
      <c r="AD67" s="374"/>
      <c r="AE67" s="374"/>
      <c r="AF67" s="374"/>
      <c r="AG67" s="374"/>
      <c r="AH67" s="374"/>
    </row>
    <row r="68" spans="17:103">
      <c r="Q68" s="374"/>
      <c r="R68" s="374"/>
      <c r="S68" s="374"/>
      <c r="T68" s="374"/>
      <c r="U68" s="374"/>
      <c r="V68" s="374"/>
      <c r="W68" s="374"/>
      <c r="X68" s="374"/>
      <c r="Y68" s="374"/>
      <c r="Z68" s="374"/>
      <c r="AA68" s="374"/>
      <c r="AB68" s="374"/>
      <c r="AC68" s="374"/>
      <c r="AD68" s="374"/>
      <c r="AE68" s="374"/>
      <c r="AF68" s="374"/>
      <c r="AG68" s="374"/>
      <c r="AH68" s="374"/>
    </row>
    <row r="69" spans="17:103">
      <c r="Q69" s="374"/>
      <c r="R69" s="374"/>
      <c r="S69" s="374"/>
      <c r="T69" s="374"/>
      <c r="U69" s="374"/>
      <c r="V69" s="374"/>
      <c r="W69" s="374"/>
      <c r="X69" s="374"/>
      <c r="Y69" s="374"/>
      <c r="Z69" s="374"/>
      <c r="AA69" s="374"/>
      <c r="AB69" s="374"/>
      <c r="AC69" s="374"/>
      <c r="AD69" s="374"/>
      <c r="AE69" s="374"/>
      <c r="AF69" s="374"/>
      <c r="AG69" s="374"/>
      <c r="AH69" s="374"/>
    </row>
    <row r="70" spans="17:103">
      <c r="Q70" s="374"/>
      <c r="R70" s="374"/>
      <c r="S70" s="374"/>
      <c r="T70" s="374"/>
      <c r="U70" s="374"/>
      <c r="V70" s="374"/>
      <c r="W70" s="374"/>
      <c r="X70" s="374"/>
      <c r="Y70" s="374"/>
      <c r="Z70" s="374"/>
      <c r="AA70" s="374"/>
      <c r="AB70" s="374"/>
      <c r="AC70" s="374"/>
      <c r="AD70" s="374"/>
      <c r="AE70" s="374"/>
      <c r="AF70" s="374"/>
      <c r="AG70" s="374"/>
      <c r="AH70" s="374"/>
    </row>
    <row r="71" spans="17:103">
      <c r="Q71" s="374"/>
      <c r="R71" s="374"/>
      <c r="S71" s="374"/>
      <c r="T71" s="374"/>
      <c r="U71" s="374"/>
      <c r="V71" s="374"/>
      <c r="W71" s="374"/>
      <c r="X71" s="374"/>
      <c r="Y71" s="374"/>
      <c r="Z71" s="374"/>
      <c r="AA71" s="374"/>
      <c r="AB71" s="374"/>
      <c r="AC71" s="374"/>
      <c r="AD71" s="374"/>
      <c r="AE71" s="374"/>
      <c r="AF71" s="374"/>
      <c r="AG71" s="374"/>
      <c r="AH71" s="374"/>
    </row>
    <row r="72" spans="17:103">
      <c r="Q72" s="374"/>
      <c r="R72" s="374"/>
      <c r="S72" s="374"/>
      <c r="T72" s="374"/>
      <c r="U72" s="374"/>
      <c r="V72" s="374"/>
      <c r="W72" s="374"/>
      <c r="X72" s="374"/>
      <c r="Y72" s="374"/>
      <c r="Z72" s="374"/>
      <c r="AA72" s="374"/>
      <c r="AB72" s="374"/>
      <c r="AC72" s="374"/>
      <c r="AD72" s="374"/>
      <c r="AE72" s="374"/>
      <c r="AF72" s="374"/>
      <c r="AG72" s="374"/>
      <c r="AH72" s="374"/>
    </row>
    <row r="73" spans="17:103">
      <c r="Q73" s="374"/>
      <c r="R73" s="374"/>
      <c r="S73" s="374"/>
      <c r="T73" s="374"/>
      <c r="U73" s="374"/>
      <c r="V73" s="374"/>
      <c r="W73" s="374"/>
      <c r="X73" s="374"/>
      <c r="Y73" s="374"/>
      <c r="Z73" s="374"/>
      <c r="AA73" s="374"/>
      <c r="AB73" s="374"/>
      <c r="AC73" s="374"/>
      <c r="AD73" s="374"/>
      <c r="AE73" s="374"/>
      <c r="AF73" s="374"/>
      <c r="AG73" s="374"/>
      <c r="AH73" s="374"/>
    </row>
    <row r="74" spans="17:103">
      <c r="Q74" s="374"/>
      <c r="R74" s="374"/>
      <c r="S74" s="374"/>
      <c r="T74" s="374"/>
      <c r="U74" s="374"/>
      <c r="V74" s="374"/>
      <c r="W74" s="374"/>
      <c r="X74" s="374"/>
      <c r="Y74" s="374"/>
      <c r="Z74" s="374"/>
      <c r="AA74" s="374"/>
      <c r="AB74" s="374"/>
      <c r="AC74" s="374"/>
      <c r="AD74" s="374"/>
      <c r="AE74" s="374"/>
      <c r="AF74" s="374"/>
      <c r="AG74" s="374"/>
      <c r="AH74" s="374"/>
    </row>
    <row r="75" spans="17:103">
      <c r="Q75" s="374"/>
      <c r="R75" s="374"/>
      <c r="S75" s="374"/>
      <c r="T75" s="374"/>
      <c r="U75" s="374"/>
      <c r="V75" s="374"/>
      <c r="W75" s="374"/>
      <c r="X75" s="374"/>
      <c r="Y75" s="374"/>
      <c r="Z75" s="374"/>
      <c r="AA75" s="374"/>
      <c r="AB75" s="374"/>
      <c r="AC75" s="374"/>
      <c r="AD75" s="374"/>
      <c r="AE75" s="374"/>
      <c r="AF75" s="374"/>
      <c r="AG75" s="374"/>
      <c r="AH75" s="374"/>
    </row>
    <row r="76" spans="17:103">
      <c r="Q76" s="374"/>
      <c r="R76" s="374"/>
      <c r="S76" s="374"/>
      <c r="T76" s="374"/>
      <c r="U76" s="374"/>
      <c r="V76" s="374"/>
      <c r="W76" s="374"/>
      <c r="X76" s="374"/>
      <c r="Y76" s="374"/>
      <c r="Z76" s="374"/>
      <c r="AA76" s="374"/>
      <c r="AB76" s="374"/>
      <c r="AC76" s="374"/>
      <c r="AD76" s="374"/>
      <c r="AE76" s="374"/>
      <c r="AF76" s="374"/>
      <c r="AG76" s="374"/>
      <c r="AH76" s="374"/>
    </row>
    <row r="77" spans="17:103">
      <c r="Q77" s="374"/>
      <c r="R77" s="374"/>
      <c r="S77" s="374"/>
      <c r="T77" s="374"/>
      <c r="U77" s="374"/>
      <c r="V77" s="374"/>
      <c r="W77" s="374"/>
      <c r="X77" s="374"/>
      <c r="Y77" s="374"/>
      <c r="Z77" s="374"/>
      <c r="AA77" s="374"/>
      <c r="AB77" s="374"/>
      <c r="AC77" s="374"/>
      <c r="AD77" s="374"/>
      <c r="AE77" s="374"/>
      <c r="AF77" s="374"/>
      <c r="AG77" s="374"/>
      <c r="AH77" s="374"/>
    </row>
    <row r="78" spans="17:103">
      <c r="Q78" s="374"/>
      <c r="R78" s="374"/>
      <c r="S78" s="374"/>
      <c r="T78" s="374"/>
      <c r="U78" s="374"/>
      <c r="V78" s="374"/>
      <c r="W78" s="374"/>
      <c r="X78" s="374"/>
      <c r="Y78" s="374"/>
      <c r="Z78" s="374"/>
      <c r="AA78" s="374"/>
      <c r="AB78" s="374"/>
      <c r="AC78" s="374"/>
      <c r="AD78" s="374"/>
      <c r="AE78" s="374"/>
      <c r="AF78" s="374"/>
      <c r="AG78" s="374"/>
      <c r="AH78" s="374"/>
    </row>
    <row r="79" spans="17:103">
      <c r="Q79" s="374"/>
      <c r="R79" s="374"/>
      <c r="S79" s="374"/>
      <c r="T79" s="374"/>
      <c r="U79" s="374"/>
      <c r="V79" s="374"/>
      <c r="W79" s="374"/>
      <c r="X79" s="374"/>
      <c r="Y79" s="374"/>
      <c r="Z79" s="374"/>
      <c r="AA79" s="374"/>
      <c r="AB79" s="374"/>
      <c r="AC79" s="374"/>
      <c r="AD79" s="374"/>
      <c r="AE79" s="374"/>
      <c r="AF79" s="374"/>
      <c r="AG79" s="374"/>
      <c r="AH79" s="374"/>
    </row>
    <row r="80" spans="17:103">
      <c r="Q80" s="374"/>
      <c r="R80" s="374"/>
      <c r="S80" s="374"/>
      <c r="T80" s="374"/>
      <c r="U80" s="374"/>
      <c r="V80" s="374"/>
      <c r="W80" s="374"/>
      <c r="X80" s="374"/>
      <c r="Y80" s="374"/>
      <c r="Z80" s="374"/>
      <c r="AA80" s="374"/>
      <c r="AB80" s="374"/>
      <c r="AC80" s="374"/>
      <c r="AD80" s="374"/>
      <c r="AE80" s="374"/>
      <c r="AF80" s="374"/>
      <c r="AG80" s="374"/>
      <c r="AH80" s="374"/>
    </row>
    <row r="81" spans="17:34">
      <c r="Q81" s="374"/>
      <c r="R81" s="374"/>
      <c r="S81" s="374"/>
      <c r="T81" s="374"/>
      <c r="U81" s="374"/>
      <c r="V81" s="374"/>
      <c r="W81" s="374"/>
      <c r="X81" s="374"/>
      <c r="Y81" s="374"/>
      <c r="Z81" s="374"/>
      <c r="AA81" s="374"/>
      <c r="AB81" s="374"/>
      <c r="AC81" s="374"/>
      <c r="AD81" s="374"/>
      <c r="AE81" s="374"/>
      <c r="AF81" s="374"/>
      <c r="AG81" s="374"/>
      <c r="AH81" s="374"/>
    </row>
    <row r="82" spans="17:34">
      <c r="Q82" s="374"/>
      <c r="R82" s="374"/>
      <c r="S82" s="374"/>
      <c r="T82" s="374"/>
      <c r="U82" s="374"/>
      <c r="V82" s="374"/>
      <c r="W82" s="374"/>
      <c r="X82" s="374"/>
      <c r="Y82" s="374"/>
      <c r="Z82" s="374"/>
      <c r="AA82" s="374"/>
      <c r="AB82" s="374"/>
      <c r="AC82" s="374"/>
      <c r="AD82" s="374"/>
      <c r="AE82" s="374"/>
      <c r="AF82" s="374"/>
      <c r="AG82" s="374"/>
      <c r="AH82" s="374"/>
    </row>
    <row r="83" spans="17:34">
      <c r="Q83" s="374"/>
      <c r="R83" s="374"/>
      <c r="S83" s="374"/>
      <c r="T83" s="374"/>
      <c r="U83" s="374"/>
      <c r="V83" s="374"/>
      <c r="W83" s="374"/>
      <c r="X83" s="374"/>
      <c r="Y83" s="374"/>
      <c r="Z83" s="374"/>
      <c r="AA83" s="374"/>
      <c r="AB83" s="374"/>
      <c r="AC83" s="374"/>
      <c r="AD83" s="374"/>
      <c r="AE83" s="374"/>
      <c r="AF83" s="374"/>
      <c r="AG83" s="374"/>
      <c r="AH83" s="374"/>
    </row>
    <row r="84" spans="17:34">
      <c r="Q84" s="374"/>
      <c r="R84" s="374"/>
      <c r="S84" s="374"/>
      <c r="T84" s="374"/>
      <c r="U84" s="374"/>
      <c r="V84" s="374"/>
      <c r="W84" s="374"/>
      <c r="X84" s="374"/>
      <c r="Y84" s="374"/>
      <c r="Z84" s="374"/>
      <c r="AA84" s="374"/>
      <c r="AB84" s="374"/>
      <c r="AC84" s="374"/>
      <c r="AD84" s="374"/>
      <c r="AE84" s="374"/>
      <c r="AF84" s="374"/>
      <c r="AG84" s="374"/>
      <c r="AH84" s="374"/>
    </row>
    <row r="85" spans="17:34">
      <c r="Q85" s="374"/>
      <c r="R85" s="374"/>
      <c r="S85" s="374"/>
      <c r="T85" s="374"/>
      <c r="U85" s="374"/>
      <c r="V85" s="374"/>
      <c r="W85" s="374"/>
      <c r="X85" s="374"/>
      <c r="Y85" s="374"/>
      <c r="Z85" s="374"/>
      <c r="AA85" s="374"/>
      <c r="AB85" s="374"/>
      <c r="AC85" s="374"/>
      <c r="AD85" s="374"/>
      <c r="AE85" s="374"/>
      <c r="AF85" s="374"/>
      <c r="AG85" s="374"/>
      <c r="AH85" s="374"/>
    </row>
    <row r="86" spans="17:34">
      <c r="Q86" s="374"/>
      <c r="R86" s="374"/>
      <c r="S86" s="374"/>
      <c r="T86" s="374"/>
      <c r="U86" s="374"/>
      <c r="V86" s="374"/>
      <c r="W86" s="374"/>
      <c r="X86" s="374"/>
      <c r="Y86" s="374"/>
      <c r="Z86" s="374"/>
      <c r="AA86" s="374"/>
      <c r="AB86" s="374"/>
      <c r="AC86" s="374"/>
      <c r="AD86" s="374"/>
      <c r="AE86" s="374"/>
      <c r="AF86" s="374"/>
      <c r="AG86" s="374"/>
      <c r="AH86" s="374"/>
    </row>
  </sheetData>
  <mergeCells count="10">
    <mergeCell ref="AK1:AK2"/>
    <mergeCell ref="S2:U2"/>
    <mergeCell ref="AM2:AO2"/>
    <mergeCell ref="Q1:Q2"/>
    <mergeCell ref="C6:C7"/>
    <mergeCell ref="F6:G6"/>
    <mergeCell ref="B1:D1"/>
    <mergeCell ref="B6:B7"/>
    <mergeCell ref="D6:D7"/>
    <mergeCell ref="E6:E7"/>
  </mergeCells>
  <pageMargins left="0.59055118110236227" right="0.62992125984251968" top="1.1811023622047245" bottom="1.9685039370078741" header="0" footer="0"/>
  <pageSetup paperSize="9" orientation="portrait" r:id="rId1"/>
  <ignoredErrors>
    <ignoredError sqref="G5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tabColor theme="6" tint="0.39997558519241921"/>
  </sheetPr>
  <dimension ref="A1:BD51"/>
  <sheetViews>
    <sheetView zoomScaleNormal="100" workbookViewId="0">
      <selection activeCell="B3" sqref="B3"/>
    </sheetView>
  </sheetViews>
  <sheetFormatPr defaultRowHeight="12.75"/>
  <cols>
    <col min="1" max="1" width="1.2851562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customWidth="1"/>
    <col min="9" max="11" width="0.85546875" customWidth="1"/>
    <col min="12" max="14" width="1.7109375" customWidth="1"/>
    <col min="15" max="15" width="1.7109375" style="207" customWidth="1"/>
    <col min="16" max="16" width="9.7109375" style="207" customWidth="1"/>
    <col min="17" max="17" width="38.42578125" bestFit="1" customWidth="1"/>
    <col min="18" max="18" width="9.140625" bestFit="1" customWidth="1"/>
    <col min="19" max="19" width="7.140625" bestFit="1" customWidth="1"/>
    <col min="20" max="20" width="7" bestFit="1" customWidth="1"/>
    <col min="21" max="23" width="7.140625" bestFit="1" customWidth="1"/>
    <col min="24" max="24" width="7.7109375" bestFit="1" customWidth="1"/>
    <col min="25" max="27" width="7.140625" bestFit="1" customWidth="1"/>
    <col min="28" max="30" width="8.140625" bestFit="1" customWidth="1"/>
    <col min="31" max="33" width="9.140625" bestFit="1" customWidth="1"/>
    <col min="34" max="36" width="8.140625" bestFit="1" customWidth="1"/>
    <col min="37" max="37" width="38.42578125" bestFit="1" customWidth="1"/>
    <col min="38" max="38" width="10.140625" bestFit="1" customWidth="1"/>
    <col min="39" max="56" width="9.28515625" bestFit="1" customWidth="1"/>
  </cols>
  <sheetData>
    <row r="1" spans="1:56" ht="17.25" customHeight="1">
      <c r="A1" s="57"/>
      <c r="B1" s="501" t="s">
        <v>402</v>
      </c>
      <c r="C1" s="501"/>
      <c r="D1" s="501"/>
      <c r="E1" s="502"/>
      <c r="F1" s="503"/>
      <c r="G1" s="503"/>
      <c r="H1" s="503"/>
      <c r="I1" s="503"/>
      <c r="J1" s="503"/>
      <c r="K1" s="503"/>
      <c r="L1" s="503"/>
      <c r="M1" s="503"/>
      <c r="N1" s="30"/>
      <c r="O1" s="58"/>
      <c r="P1" s="484"/>
      <c r="Q1" s="487" t="s">
        <v>414</v>
      </c>
      <c r="R1" s="488"/>
      <c r="S1" s="488"/>
      <c r="T1" s="488"/>
      <c r="U1" s="488"/>
      <c r="V1" s="488"/>
      <c r="W1" s="488"/>
      <c r="X1" s="488"/>
      <c r="Y1" s="488"/>
      <c r="Z1" s="488"/>
      <c r="AA1" s="488"/>
      <c r="AB1" s="488"/>
      <c r="AC1" s="488"/>
      <c r="AD1" s="488"/>
      <c r="AE1" s="488"/>
      <c r="AF1" s="488"/>
      <c r="AG1" s="488"/>
      <c r="AH1" s="488"/>
      <c r="AI1" s="488"/>
      <c r="AJ1" s="488"/>
      <c r="AK1" s="487" t="s">
        <v>415</v>
      </c>
      <c r="AL1" s="488"/>
      <c r="AM1" s="488"/>
      <c r="AN1" s="488"/>
      <c r="AO1" s="488"/>
      <c r="AP1" s="488"/>
      <c r="AQ1" s="488"/>
      <c r="AR1" s="488"/>
      <c r="AS1" s="488"/>
      <c r="AT1" s="488"/>
      <c r="AU1" s="488"/>
      <c r="AV1" s="488"/>
      <c r="AW1" s="488"/>
      <c r="AX1" s="488"/>
      <c r="AY1" s="488"/>
      <c r="AZ1" s="488"/>
      <c r="BA1" s="488"/>
      <c r="BB1" s="488"/>
      <c r="BC1" s="488"/>
      <c r="BD1" s="488"/>
    </row>
    <row r="2" spans="1:56" ht="12.75" customHeight="1">
      <c r="A2" s="30"/>
      <c r="B2" s="504" t="str">
        <f>"Diagnozuotų onkologinių susirgimų skaičius ir sergamumo rodikliai Lietuvoje pagal lokalizaciją  " &amp; GrafikaiSerg!A1 &amp; " metais. Vyrai"</f>
        <v>Diagnozuotų onkologinių susirgimų skaičius ir sergamumo rodikliai Lietuvoje pagal lokalizaciją  2014 metais. Vyrai</v>
      </c>
      <c r="C2" s="503"/>
      <c r="D2" s="503"/>
      <c r="E2" s="505"/>
      <c r="F2" s="503"/>
      <c r="G2" s="503"/>
      <c r="H2" s="503"/>
      <c r="I2" s="503"/>
      <c r="J2" s="503"/>
      <c r="K2" s="503"/>
      <c r="L2" s="503"/>
      <c r="M2" s="503"/>
      <c r="N2" s="30"/>
      <c r="O2" s="58"/>
      <c r="P2" s="484"/>
      <c r="Q2" s="487"/>
      <c r="R2" s="489" t="s">
        <v>354</v>
      </c>
      <c r="S2" s="490" t="s">
        <v>358</v>
      </c>
      <c r="T2" s="490"/>
      <c r="U2" s="490"/>
      <c r="V2" s="491">
        <f>GrafikaiSerg!A1</f>
        <v>2014</v>
      </c>
      <c r="W2" s="488" t="s">
        <v>357</v>
      </c>
      <c r="X2" s="488" t="str">
        <f>CONCATENATE("pop",RIGHT(V2,2),"m")</f>
        <v>pop14m</v>
      </c>
      <c r="Y2" s="488"/>
      <c r="Z2" s="488"/>
      <c r="AA2" s="488"/>
      <c r="AB2" s="488"/>
      <c r="AC2" s="488"/>
      <c r="AD2" s="488"/>
      <c r="AE2" s="488"/>
      <c r="AF2" s="488"/>
      <c r="AG2" s="488"/>
      <c r="AH2" s="488"/>
      <c r="AI2" s="488"/>
      <c r="AJ2" s="488"/>
      <c r="AK2" s="487"/>
      <c r="AL2" s="489" t="s">
        <v>354</v>
      </c>
      <c r="AM2" s="490" t="s">
        <v>358</v>
      </c>
      <c r="AN2" s="490"/>
      <c r="AO2" s="490"/>
      <c r="AP2" s="491">
        <f>V2</f>
        <v>2014</v>
      </c>
      <c r="AQ2" s="488" t="s">
        <v>357</v>
      </c>
      <c r="AR2" s="488" t="str">
        <f>CONCATENATE("pop",RIGHT(AP2,2),"m")</f>
        <v>pop14m</v>
      </c>
      <c r="AS2" s="488"/>
      <c r="AT2" s="488"/>
      <c r="AU2" s="488"/>
      <c r="AV2" s="488"/>
      <c r="AW2" s="488"/>
      <c r="AX2" s="488"/>
      <c r="AY2" s="488"/>
      <c r="AZ2" s="488"/>
      <c r="BA2" s="488"/>
      <c r="BB2" s="488"/>
      <c r="BC2" s="488"/>
      <c r="BD2" s="488"/>
    </row>
    <row r="3" spans="1:56" ht="12.75" customHeight="1">
      <c r="A3" s="30"/>
      <c r="B3" s="59" t="s">
        <v>617</v>
      </c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58"/>
      <c r="P3" s="492"/>
      <c r="Q3" s="493" t="s">
        <v>408</v>
      </c>
      <c r="R3" s="494">
        <f>SUM(S3:AJ3)</f>
        <v>100000</v>
      </c>
      <c r="S3" s="495">
        <v>8000</v>
      </c>
      <c r="T3" s="495">
        <v>7000</v>
      </c>
      <c r="U3" s="495">
        <v>7000</v>
      </c>
      <c r="V3" s="495">
        <v>7000</v>
      </c>
      <c r="W3" s="495">
        <v>7000</v>
      </c>
      <c r="X3" s="495">
        <v>7000</v>
      </c>
      <c r="Y3" s="495">
        <v>7000</v>
      </c>
      <c r="Z3" s="495">
        <v>7000</v>
      </c>
      <c r="AA3" s="495">
        <v>7000</v>
      </c>
      <c r="AB3" s="495">
        <v>7000</v>
      </c>
      <c r="AC3" s="495">
        <v>7000</v>
      </c>
      <c r="AD3" s="495">
        <v>6000</v>
      </c>
      <c r="AE3" s="495">
        <v>5000</v>
      </c>
      <c r="AF3" s="495">
        <v>4000</v>
      </c>
      <c r="AG3" s="495">
        <v>3000</v>
      </c>
      <c r="AH3" s="495">
        <v>2000</v>
      </c>
      <c r="AI3" s="495">
        <v>1000</v>
      </c>
      <c r="AJ3" s="495">
        <v>1000</v>
      </c>
      <c r="AK3" s="493" t="s">
        <v>409</v>
      </c>
      <c r="AL3" s="494">
        <f>SUM(AM3:BD3)</f>
        <v>100000</v>
      </c>
      <c r="AM3" s="488">
        <v>12000</v>
      </c>
      <c r="AN3" s="488">
        <v>10000</v>
      </c>
      <c r="AO3" s="488">
        <v>9000</v>
      </c>
      <c r="AP3" s="488">
        <v>9000</v>
      </c>
      <c r="AQ3" s="488">
        <v>8000</v>
      </c>
      <c r="AR3" s="488">
        <v>8000</v>
      </c>
      <c r="AS3" s="488">
        <v>6000</v>
      </c>
      <c r="AT3" s="488">
        <v>6000</v>
      </c>
      <c r="AU3" s="488">
        <v>6000</v>
      </c>
      <c r="AV3" s="488">
        <v>6000</v>
      </c>
      <c r="AW3" s="488">
        <v>5000</v>
      </c>
      <c r="AX3" s="488">
        <v>4000</v>
      </c>
      <c r="AY3" s="488">
        <v>4000</v>
      </c>
      <c r="AZ3" s="488">
        <v>3000</v>
      </c>
      <c r="BA3" s="488">
        <v>2000</v>
      </c>
      <c r="BB3" s="488">
        <v>1000</v>
      </c>
      <c r="BC3" s="488">
        <v>500</v>
      </c>
      <c r="BD3" s="488">
        <v>500</v>
      </c>
    </row>
    <row r="4" spans="1:56" ht="12.95" customHeight="1">
      <c r="A4" s="30"/>
      <c r="B4" s="415" t="s">
        <v>351</v>
      </c>
      <c r="C4" s="415" t="s">
        <v>244</v>
      </c>
      <c r="D4" s="418" t="s">
        <v>268</v>
      </c>
      <c r="E4" s="420" t="s">
        <v>355</v>
      </c>
      <c r="F4" s="417" t="s">
        <v>359</v>
      </c>
      <c r="G4" s="417"/>
      <c r="H4" s="211"/>
      <c r="I4" s="211"/>
      <c r="J4" s="211"/>
      <c r="K4" s="211"/>
      <c r="L4" s="211"/>
      <c r="M4" s="211"/>
      <c r="N4" s="211"/>
      <c r="O4" s="58"/>
      <c r="P4" s="484"/>
      <c r="Q4" s="488" t="s">
        <v>416</v>
      </c>
      <c r="R4" s="494">
        <f>SUM(S4:AJ4)</f>
        <v>1351126</v>
      </c>
      <c r="S4" s="485">
        <f>HLOOKUP($X$2,Populiacija!$B$1:$BB$20,2,FALSE)</f>
        <v>77249</v>
      </c>
      <c r="T4" s="485">
        <f>HLOOKUP($X$2,Populiacija!$B$1:$BB$20,3,FALSE)</f>
        <v>69932</v>
      </c>
      <c r="U4" s="485">
        <f>HLOOKUP($X$2,Populiacija!$B$1:$BB$20,4,FALSE)</f>
        <v>72002</v>
      </c>
      <c r="V4" s="485">
        <f>HLOOKUP($X$2,Populiacija!$B$1:$BB$20,5,FALSE)</f>
        <v>89285</v>
      </c>
      <c r="W4" s="485">
        <f>HLOOKUP($X$2,Populiacija!$B$1:$BB$20,6,FALSE)</f>
        <v>108219</v>
      </c>
      <c r="X4" s="485">
        <f>HLOOKUP($X$2,Populiacija!$B$1:$BB$20,7,FALSE)</f>
        <v>99919</v>
      </c>
      <c r="Y4" s="485">
        <f>HLOOKUP($X$2,Populiacija!$B$1:$BB$20,8,FALSE)</f>
        <v>89381</v>
      </c>
      <c r="Z4" s="485">
        <f>HLOOKUP($X$2,Populiacija!$B$1:$BB$20,9,FALSE)</f>
        <v>89203</v>
      </c>
      <c r="AA4" s="485">
        <f>HLOOKUP($X$2,Populiacija!$B$1:$BB$20,10,FALSE)</f>
        <v>98505</v>
      </c>
      <c r="AB4" s="485">
        <f>HLOOKUP($X$2,Populiacija!$B$1:$BB$20,11,FALSE)</f>
        <v>100503</v>
      </c>
      <c r="AC4" s="485">
        <f>HLOOKUP($X$2,Populiacija!$B$1:$BB$20,12,FALSE)</f>
        <v>108547</v>
      </c>
      <c r="AD4" s="485">
        <f>HLOOKUP($X$2,Populiacija!$B$1:$BB$20,13,FALSE)</f>
        <v>92698</v>
      </c>
      <c r="AE4" s="485">
        <f>HLOOKUP($X$2,Populiacija!$B$1:$BB$20,14,FALSE)</f>
        <v>72507</v>
      </c>
      <c r="AF4" s="485">
        <f>HLOOKUP($X$2,Populiacija!$B$1:$BB$20,15,FALSE)</f>
        <v>55181</v>
      </c>
      <c r="AG4" s="485">
        <f>HLOOKUP($X$2,Populiacija!$B$1:$BB$20,16,FALSE)</f>
        <v>49232</v>
      </c>
      <c r="AH4" s="485">
        <f>HLOOKUP($X$2,Populiacija!$B$1:$BB$20,17,FALSE)</f>
        <v>39442</v>
      </c>
      <c r="AI4" s="485">
        <f>HLOOKUP($X$2,Populiacija!$B$1:$BB$20,18,FALSE)</f>
        <v>24969</v>
      </c>
      <c r="AJ4" s="485">
        <f>HLOOKUP($X$2,Populiacija!$B$1:$BB$20,19,FALSE)</f>
        <v>14352</v>
      </c>
      <c r="AK4" s="488" t="s">
        <v>416</v>
      </c>
      <c r="AL4" s="494">
        <f>SUM(AM4:BD4)</f>
        <v>1351126</v>
      </c>
      <c r="AM4" s="485">
        <f>HLOOKUP($X$2,Populiacija!$B$1:$BB$20,2,FALSE)</f>
        <v>77249</v>
      </c>
      <c r="AN4" s="485">
        <f>HLOOKUP($X$2,Populiacija!$B$1:$BB$20,3,FALSE)</f>
        <v>69932</v>
      </c>
      <c r="AO4" s="485">
        <f>HLOOKUP($X$2,Populiacija!$B$1:$BB$20,4,FALSE)</f>
        <v>72002</v>
      </c>
      <c r="AP4" s="485">
        <f>HLOOKUP($X$2,Populiacija!$B$1:$BB$20,5,FALSE)</f>
        <v>89285</v>
      </c>
      <c r="AQ4" s="485">
        <f>HLOOKUP($X$2,Populiacija!$B$1:$BB$20,6,FALSE)</f>
        <v>108219</v>
      </c>
      <c r="AR4" s="485">
        <f>HLOOKUP($X$2,Populiacija!$B$1:$BB$20,7,FALSE)</f>
        <v>99919</v>
      </c>
      <c r="AS4" s="485">
        <f>HLOOKUP($X$2,Populiacija!$B$1:$BB$20,8,FALSE)</f>
        <v>89381</v>
      </c>
      <c r="AT4" s="485">
        <f>HLOOKUP($X$2,Populiacija!$B$1:$BB$20,9,FALSE)</f>
        <v>89203</v>
      </c>
      <c r="AU4" s="485">
        <f>HLOOKUP($X$2,Populiacija!$B$1:$BB$20,10,FALSE)</f>
        <v>98505</v>
      </c>
      <c r="AV4" s="485">
        <f>HLOOKUP($X$2,Populiacija!$B$1:$BB$20,11,FALSE)</f>
        <v>100503</v>
      </c>
      <c r="AW4" s="485">
        <f>HLOOKUP($X$2,Populiacija!$B$1:$BB$20,12,FALSE)</f>
        <v>108547</v>
      </c>
      <c r="AX4" s="485">
        <f>HLOOKUP($X$2,Populiacija!$B$1:$BB$20,13,FALSE)</f>
        <v>92698</v>
      </c>
      <c r="AY4" s="485">
        <f>HLOOKUP($X$2,Populiacija!$B$1:$BB$20,14,FALSE)</f>
        <v>72507</v>
      </c>
      <c r="AZ4" s="485">
        <f>HLOOKUP($X$2,Populiacija!$B$1:$BB$20,15,FALSE)</f>
        <v>55181</v>
      </c>
      <c r="BA4" s="485">
        <f>HLOOKUP($X$2,Populiacija!$B$1:$BB$20,16,FALSE)</f>
        <v>49232</v>
      </c>
      <c r="BB4" s="485">
        <f>HLOOKUP($X$2,Populiacija!$B$1:$BB$20,17,FALSE)</f>
        <v>39442</v>
      </c>
      <c r="BC4" s="485">
        <f>HLOOKUP($X$2,Populiacija!$B$1:$BB$20,18,FALSE)</f>
        <v>24969</v>
      </c>
      <c r="BD4" s="485">
        <f>HLOOKUP($X$2,Populiacija!$B$1:$BB$20,19,FALSE)</f>
        <v>14352</v>
      </c>
    </row>
    <row r="5" spans="1:56" ht="12.95" customHeight="1" thickBot="1">
      <c r="A5" s="30"/>
      <c r="B5" s="416"/>
      <c r="C5" s="416"/>
      <c r="D5" s="419"/>
      <c r="E5" s="421"/>
      <c r="F5" s="275" t="s">
        <v>427</v>
      </c>
      <c r="G5" s="275" t="s">
        <v>428</v>
      </c>
      <c r="H5" s="211"/>
      <c r="I5" s="211"/>
      <c r="J5" s="211"/>
      <c r="K5" s="211"/>
      <c r="L5" s="211"/>
      <c r="M5" s="211"/>
      <c r="N5" s="211"/>
      <c r="O5" s="60"/>
      <c r="P5" s="485"/>
      <c r="Q5" s="488" t="s">
        <v>352</v>
      </c>
      <c r="R5" s="489"/>
      <c r="S5" s="496" t="s">
        <v>13</v>
      </c>
      <c r="T5" s="497" t="s">
        <v>11</v>
      </c>
      <c r="U5" s="497" t="s">
        <v>12</v>
      </c>
      <c r="V5" s="496" t="s">
        <v>14</v>
      </c>
      <c r="W5" s="496" t="s">
        <v>15</v>
      </c>
      <c r="X5" s="496" t="s">
        <v>16</v>
      </c>
      <c r="Y5" s="496" t="s">
        <v>158</v>
      </c>
      <c r="Z5" s="496" t="s">
        <v>17</v>
      </c>
      <c r="AA5" s="496" t="s">
        <v>18</v>
      </c>
      <c r="AB5" s="496" t="s">
        <v>19</v>
      </c>
      <c r="AC5" s="496" t="s">
        <v>20</v>
      </c>
      <c r="AD5" s="496" t="s">
        <v>21</v>
      </c>
      <c r="AE5" s="496" t="s">
        <v>159</v>
      </c>
      <c r="AF5" s="496" t="s">
        <v>160</v>
      </c>
      <c r="AG5" s="496" t="s">
        <v>161</v>
      </c>
      <c r="AH5" s="496" t="s">
        <v>162</v>
      </c>
      <c r="AI5" s="496" t="s">
        <v>22</v>
      </c>
      <c r="AJ5" s="496" t="s">
        <v>23</v>
      </c>
      <c r="AK5" s="488" t="s">
        <v>352</v>
      </c>
      <c r="AL5" s="489"/>
      <c r="AM5" s="498" t="s">
        <v>13</v>
      </c>
      <c r="AN5" s="499" t="s">
        <v>11</v>
      </c>
      <c r="AO5" s="499" t="s">
        <v>12</v>
      </c>
      <c r="AP5" s="498" t="s">
        <v>14</v>
      </c>
      <c r="AQ5" s="496" t="s">
        <v>15</v>
      </c>
      <c r="AR5" s="496" t="s">
        <v>16</v>
      </c>
      <c r="AS5" s="496" t="s">
        <v>158</v>
      </c>
      <c r="AT5" s="496" t="s">
        <v>17</v>
      </c>
      <c r="AU5" s="496" t="s">
        <v>18</v>
      </c>
      <c r="AV5" s="496" t="s">
        <v>19</v>
      </c>
      <c r="AW5" s="496" t="s">
        <v>20</v>
      </c>
      <c r="AX5" s="496" t="s">
        <v>21</v>
      </c>
      <c r="AY5" s="496" t="s">
        <v>159</v>
      </c>
      <c r="AZ5" s="496" t="s">
        <v>160</v>
      </c>
      <c r="BA5" s="496" t="s">
        <v>161</v>
      </c>
      <c r="BB5" s="496" t="s">
        <v>162</v>
      </c>
      <c r="BC5" s="496" t="s">
        <v>22</v>
      </c>
      <c r="BD5" s="496" t="s">
        <v>23</v>
      </c>
    </row>
    <row r="6" spans="1:56" ht="12" customHeight="1" thickTop="1">
      <c r="A6" s="30"/>
      <c r="B6" s="125" t="str">
        <f>UPPER(LEFT(TRIM(Data!B5),1)) &amp; MID(TRIM(Data!B5),2,50)</f>
        <v>Piktybiniai navikai</v>
      </c>
      <c r="C6" s="125" t="str">
        <f>UPPER(LEFT(TRIM(Data!C5),1)) &amp; MID(TRIM(Data!C5),2,50)</f>
        <v>C00-C96</v>
      </c>
      <c r="D6" s="126">
        <f>Data!D5</f>
        <v>9569</v>
      </c>
      <c r="E6" s="127">
        <f t="shared" ref="E6:E47" si="0">D6/$R$4*100000</f>
        <v>708.2241034514916</v>
      </c>
      <c r="F6" s="128">
        <f>R6/$R$3</f>
        <v>602.31156697170877</v>
      </c>
      <c r="G6" s="129">
        <f t="shared" ref="G6:G47" si="1">AL6/$AL$3</f>
        <v>418.06031904610023</v>
      </c>
      <c r="H6" s="74"/>
      <c r="I6" s="74"/>
      <c r="J6" s="74"/>
      <c r="K6" s="74"/>
      <c r="L6" s="74"/>
      <c r="M6" s="74"/>
      <c r="N6" s="74"/>
      <c r="O6" s="60"/>
      <c r="P6" s="486"/>
      <c r="Q6" s="500" t="s">
        <v>353</v>
      </c>
      <c r="R6" s="494">
        <f t="shared" ref="R6:R47" si="2">SUM(S6:AJ6)</f>
        <v>60231156.697170876</v>
      </c>
      <c r="S6" s="494">
        <f>Data!Q5/S$4*100000*S$3</f>
        <v>258903.02787091094</v>
      </c>
      <c r="T6" s="494">
        <f>Data!R5/T$4*100000*T$3</f>
        <v>100097.23731625006</v>
      </c>
      <c r="U6" s="494">
        <f>Data!S5/U$4*100000*U$3</f>
        <v>77775.617343962673</v>
      </c>
      <c r="V6" s="494">
        <f>Data!T5/V$4*100000*V$3</f>
        <v>141121.12896903176</v>
      </c>
      <c r="W6" s="494">
        <f>Data!U5/W$4*100000*W$3</f>
        <v>142304.03163954575</v>
      </c>
      <c r="X6" s="494">
        <f>Data!V5/X$4*100000*X$3</f>
        <v>147119.16652488514</v>
      </c>
      <c r="Y6" s="494">
        <f>Data!W5/Y$4*100000*Y$3</f>
        <v>415077.02979380405</v>
      </c>
      <c r="Z6" s="494">
        <f>Data!X5/Z$4*100000*Z$3</f>
        <v>588545.2282994967</v>
      </c>
      <c r="AA6" s="494">
        <f>Data!Y5/AA$4*100000*AA$3</f>
        <v>945129.68884828186</v>
      </c>
      <c r="AB6" s="494">
        <f>Data!Z5/AB$4*100000*AB$3</f>
        <v>1887505.8455966488</v>
      </c>
      <c r="AC6" s="494">
        <f>Data!AA5/AC$4*100000*AC$3</f>
        <v>4785023.9988207873</v>
      </c>
      <c r="AD6" s="494">
        <f>Data!AB5/AD$4*100000*AD$3</f>
        <v>7514725.2367904382</v>
      </c>
      <c r="AE6" s="494">
        <f>Data!AC5/AE$4*100000*AE$3</f>
        <v>9923179.8309128769</v>
      </c>
      <c r="AF6" s="494">
        <f>Data!AD5/AF$4*100000*AF$3</f>
        <v>10866058.969572859</v>
      </c>
      <c r="AG6" s="494">
        <f>Data!AE5/AG$4*100000*AG$3</f>
        <v>9835066.6233344171</v>
      </c>
      <c r="AH6" s="494">
        <f>Data!AF5/AH$4*100000*AH$3</f>
        <v>6079813.3968865676</v>
      </c>
      <c r="AI6" s="494">
        <f>Data!AG5/AI$4*100000*AI$3</f>
        <v>3228002.7233769875</v>
      </c>
      <c r="AJ6" s="494">
        <f>Data!AH5/AJ$4*100000*AJ$3</f>
        <v>3295707.9152731327</v>
      </c>
      <c r="AK6" s="500" t="s">
        <v>353</v>
      </c>
      <c r="AL6" s="494">
        <f t="shared" ref="AL6:AL47" si="3">SUM(AM6:BD6)</f>
        <v>41806031.904610023</v>
      </c>
      <c r="AM6" s="494">
        <f>Data!Q5/AM$4*100000*AM$3</f>
        <v>388354.54180636641</v>
      </c>
      <c r="AN6" s="494">
        <f>Data!R5/AN$4*100000*AN$3</f>
        <v>142996.05330892868</v>
      </c>
      <c r="AO6" s="494">
        <f>Data!S5/AO$4*100000*AO$3</f>
        <v>99997.222299380577</v>
      </c>
      <c r="AP6" s="494">
        <f>Data!T5/AP$4*100000*AP$3</f>
        <v>181441.45153161226</v>
      </c>
      <c r="AQ6" s="494">
        <f>Data!U5/AQ$4*100000*AQ$3</f>
        <v>162633.1790166237</v>
      </c>
      <c r="AR6" s="494">
        <f>Data!V5/AR$4*100000*AR$3</f>
        <v>168136.19031415446</v>
      </c>
      <c r="AS6" s="494">
        <f>Data!W5/AS$4*100000*AS$3</f>
        <v>355780.31125183206</v>
      </c>
      <c r="AT6" s="494">
        <f>Data!X5/AT$4*100000*AT$3</f>
        <v>504467.33854242571</v>
      </c>
      <c r="AU6" s="494">
        <f>Data!Y5/AU$4*100000*AU$3</f>
        <v>810111.16186995583</v>
      </c>
      <c r="AV6" s="494">
        <f>Data!Z5/AV$4*100000*AV$3</f>
        <v>1617862.1533685559</v>
      </c>
      <c r="AW6" s="494">
        <f>Data!AA5/AW$4*100000*AW$3</f>
        <v>3417874.2848719913</v>
      </c>
      <c r="AX6" s="494">
        <f>Data!AB5/AX$4*100000*AX$3</f>
        <v>5009816.8245269591</v>
      </c>
      <c r="AY6" s="494">
        <f>Data!AC5/AY$4*100000*AY$3</f>
        <v>7938543.8647303013</v>
      </c>
      <c r="AZ6" s="494">
        <f>Data!AD5/AZ$4*100000*AZ$3</f>
        <v>8149544.2271796446</v>
      </c>
      <c r="BA6" s="494">
        <f>Data!AE5/BA$4*100000*BA$3</f>
        <v>6556711.0822229451</v>
      </c>
      <c r="BB6" s="494">
        <f>Data!AF5/BB$4*100000*BB$3</f>
        <v>3039906.6984432838</v>
      </c>
      <c r="BC6" s="494">
        <f>Data!AG5/BC$4*100000*BC$3</f>
        <v>1614001.3616884938</v>
      </c>
      <c r="BD6" s="494">
        <f>Data!AH5/BD$4*100000*BD$3</f>
        <v>1647853.9576365664</v>
      </c>
    </row>
    <row r="7" spans="1:56" ht="12" customHeight="1">
      <c r="A7" s="30"/>
      <c r="B7" s="130" t="str">
        <f>UPPER(LEFT(TRIM(Data!B6),1)) &amp; MID(TRIM(Data!B6),2,50)</f>
        <v>Lūpos</v>
      </c>
      <c r="C7" s="130" t="str">
        <f>UPPER(LEFT(TRIM(Data!C6),1)) &amp; MID(TRIM(Data!C6),2,50)</f>
        <v>C00</v>
      </c>
      <c r="D7" s="131">
        <f>Data!D6</f>
        <v>20</v>
      </c>
      <c r="E7" s="132">
        <f t="shared" si="0"/>
        <v>1.480246845964033</v>
      </c>
      <c r="F7" s="133">
        <f>R7/$R$3</f>
        <v>1.1866174223303312</v>
      </c>
      <c r="G7" s="133">
        <f t="shared" si="1"/>
        <v>0.77040948736237158</v>
      </c>
      <c r="H7" s="74"/>
      <c r="I7" s="74"/>
      <c r="J7" s="74"/>
      <c r="K7" s="74"/>
      <c r="L7" s="74"/>
      <c r="M7" s="74"/>
      <c r="N7" s="74"/>
      <c r="O7" s="60"/>
      <c r="P7" s="486"/>
      <c r="Q7" s="500" t="s">
        <v>353</v>
      </c>
      <c r="R7" s="494">
        <f t="shared" si="2"/>
        <v>118661.74223303312</v>
      </c>
      <c r="S7" s="494">
        <f>Data!Q6/S$4*100000*S$3</f>
        <v>0</v>
      </c>
      <c r="T7" s="494">
        <f>Data!R6/T$4*100000*T$3</f>
        <v>0</v>
      </c>
      <c r="U7" s="494">
        <f>Data!S6/U$4*100000*U$3</f>
        <v>0</v>
      </c>
      <c r="V7" s="494">
        <f>Data!T6/V$4*100000*V$3</f>
        <v>0</v>
      </c>
      <c r="W7" s="494">
        <f>Data!U6/W$4*100000*W$3</f>
        <v>0</v>
      </c>
      <c r="X7" s="494">
        <f>Data!V6/X$4*100000*X$3</f>
        <v>0</v>
      </c>
      <c r="Y7" s="494">
        <f>Data!W6/Y$4*100000*Y$3</f>
        <v>0</v>
      </c>
      <c r="Z7" s="494">
        <f>Data!X6/Z$4*100000*Z$3</f>
        <v>0</v>
      </c>
      <c r="AA7" s="494">
        <f>Data!Y6/AA$4*100000*AA$3</f>
        <v>0</v>
      </c>
      <c r="AB7" s="494">
        <f>Data!Z6/AB$4*100000*AB$3</f>
        <v>0</v>
      </c>
      <c r="AC7" s="494">
        <f>Data!AA6/AC$4*100000*AC$3</f>
        <v>12897.6388108377</v>
      </c>
      <c r="AD7" s="494">
        <f>Data!AB6/AD$4*100000*AD$3</f>
        <v>0</v>
      </c>
      <c r="AE7" s="494">
        <f>Data!AC6/AE$4*100000*AE$3</f>
        <v>27583.543657853723</v>
      </c>
      <c r="AF7" s="494">
        <f>Data!AD6/AF$4*100000*AF$3</f>
        <v>14497.743788622894</v>
      </c>
      <c r="AG7" s="494">
        <f>Data!AE6/AG$4*100000*AG$3</f>
        <v>18280.792980175494</v>
      </c>
      <c r="AH7" s="494">
        <f>Data!AF6/AH$4*100000*AH$3</f>
        <v>30424.42066832311</v>
      </c>
      <c r="AI7" s="494">
        <f>Data!AG6/AI$4*100000*AI$3</f>
        <v>8009.9323160719287</v>
      </c>
      <c r="AJ7" s="494">
        <f>Data!AH6/AJ$4*100000*AJ$3</f>
        <v>6967.6700111482714</v>
      </c>
      <c r="AK7" s="500" t="s">
        <v>353</v>
      </c>
      <c r="AL7" s="494">
        <f t="shared" si="3"/>
        <v>77040.948736237158</v>
      </c>
      <c r="AM7" s="494">
        <f>Data!Q6/AM$4*100000*AM$3</f>
        <v>0</v>
      </c>
      <c r="AN7" s="494">
        <f>Data!R6/AN$4*100000*AN$3</f>
        <v>0</v>
      </c>
      <c r="AO7" s="494">
        <f>Data!S6/AO$4*100000*AO$3</f>
        <v>0</v>
      </c>
      <c r="AP7" s="494">
        <f>Data!T6/AP$4*100000*AP$3</f>
        <v>0</v>
      </c>
      <c r="AQ7" s="494">
        <f>Data!U6/AQ$4*100000*AQ$3</f>
        <v>0</v>
      </c>
      <c r="AR7" s="494">
        <f>Data!V6/AR$4*100000*AR$3</f>
        <v>0</v>
      </c>
      <c r="AS7" s="494">
        <f>Data!W6/AS$4*100000*AS$3</f>
        <v>0</v>
      </c>
      <c r="AT7" s="494">
        <f>Data!X6/AT$4*100000*AT$3</f>
        <v>0</v>
      </c>
      <c r="AU7" s="494">
        <f>Data!Y6/AU$4*100000*AU$3</f>
        <v>0</v>
      </c>
      <c r="AV7" s="494">
        <f>Data!Z6/AV$4*100000*AV$3</f>
        <v>0</v>
      </c>
      <c r="AW7" s="494">
        <f>Data!AA6/AW$4*100000*AW$3</f>
        <v>9212.5991505983566</v>
      </c>
      <c r="AX7" s="494">
        <f>Data!AB6/AX$4*100000*AX$3</f>
        <v>0</v>
      </c>
      <c r="AY7" s="494">
        <f>Data!AC6/AY$4*100000*AY$3</f>
        <v>22066.83492628298</v>
      </c>
      <c r="AZ7" s="494">
        <f>Data!AD6/AZ$4*100000*AZ$3</f>
        <v>10873.307841467171</v>
      </c>
      <c r="BA7" s="494">
        <f>Data!AE6/BA$4*100000*BA$3</f>
        <v>12187.195320116996</v>
      </c>
      <c r="BB7" s="494">
        <f>Data!AF6/BB$4*100000*BB$3</f>
        <v>15212.210334161555</v>
      </c>
      <c r="BC7" s="494">
        <f>Data!AG6/BC$4*100000*BC$3</f>
        <v>4004.9661580359643</v>
      </c>
      <c r="BD7" s="494">
        <f>Data!AH6/BD$4*100000*BD$3</f>
        <v>3483.8350055741357</v>
      </c>
    </row>
    <row r="8" spans="1:56" ht="12" customHeight="1">
      <c r="A8" s="30"/>
      <c r="B8" s="125" t="str">
        <f>UPPER(LEFT(TRIM(Data!B7),1)) &amp; MID(TRIM(Data!B7),2,50)</f>
        <v>Burnos ertmės ir ryklės</v>
      </c>
      <c r="C8" s="125" t="str">
        <f>UPPER(LEFT(TRIM(Data!C7),1)) &amp; MID(TRIM(Data!C7),2,50)</f>
        <v>C01-C14</v>
      </c>
      <c r="D8" s="126">
        <f>Data!D7</f>
        <v>272</v>
      </c>
      <c r="E8" s="127">
        <f t="shared" si="0"/>
        <v>20.131357105110848</v>
      </c>
      <c r="F8" s="128">
        <f t="shared" ref="F8:F47" si="4">R8/$R$3</f>
        <v>17.9607911781811</v>
      </c>
      <c r="G8" s="129">
        <f t="shared" si="1"/>
        <v>13.185638858148794</v>
      </c>
      <c r="H8" s="74"/>
      <c r="I8" s="74"/>
      <c r="J8" s="74"/>
      <c r="K8" s="74"/>
      <c r="L8" s="74"/>
      <c r="M8" s="74"/>
      <c r="N8" s="74"/>
      <c r="O8" s="60"/>
      <c r="P8" s="484"/>
      <c r="Q8" s="500" t="s">
        <v>353</v>
      </c>
      <c r="R8" s="494">
        <f t="shared" si="2"/>
        <v>1796079.1178181102</v>
      </c>
      <c r="S8" s="494">
        <f>Data!Q7/S$4*100000*S$3</f>
        <v>0</v>
      </c>
      <c r="T8" s="494">
        <f>Data!R7/T$4*100000*T$3</f>
        <v>0</v>
      </c>
      <c r="U8" s="494">
        <f>Data!S7/U$4*100000*U$3</f>
        <v>0</v>
      </c>
      <c r="V8" s="494">
        <f>Data!T7/V$4*100000*V$3</f>
        <v>15680.125441003527</v>
      </c>
      <c r="W8" s="494">
        <f>Data!U7/W$4*100000*W$3</f>
        <v>0</v>
      </c>
      <c r="X8" s="494">
        <f>Data!V7/X$4*100000*X$3</f>
        <v>0</v>
      </c>
      <c r="Y8" s="494">
        <f>Data!W7/Y$4*100000*Y$3</f>
        <v>23494.926214743627</v>
      </c>
      <c r="Z8" s="494">
        <f>Data!X7/Z$4*100000*Z$3</f>
        <v>31389.078842639821</v>
      </c>
      <c r="AA8" s="494">
        <f>Data!Y7/AA$4*100000*AA$3</f>
        <v>63956.144358154415</v>
      </c>
      <c r="AB8" s="494">
        <f>Data!Z7/AB$4*100000*AB$3</f>
        <v>181089.12171775964</v>
      </c>
      <c r="AC8" s="494">
        <f>Data!AA7/AC$4*100000*AC$3</f>
        <v>206362.22097340319</v>
      </c>
      <c r="AD8" s="494">
        <f>Data!AB7/AD$4*100000*AD$3</f>
        <v>349522.10403676459</v>
      </c>
      <c r="AE8" s="494">
        <f>Data!AC7/AE$4*100000*AE$3</f>
        <v>393065.49712441559</v>
      </c>
      <c r="AF8" s="494">
        <f>Data!AD7/AF$4*100000*AF$3</f>
        <v>253710.51630090066</v>
      </c>
      <c r="AG8" s="494">
        <f>Data!AE7/AG$4*100000*AG$3</f>
        <v>103591.16022099445</v>
      </c>
      <c r="AH8" s="494">
        <f>Data!AF7/AH$4*100000*AH$3</f>
        <v>101414.73556107702</v>
      </c>
      <c r="AI8" s="494">
        <f>Data!AG7/AI$4*100000*AI$3</f>
        <v>24029.796948215786</v>
      </c>
      <c r="AJ8" s="494">
        <f>Data!AH7/AJ$4*100000*AJ$3</f>
        <v>48773.690078037907</v>
      </c>
      <c r="AK8" s="500" t="s">
        <v>353</v>
      </c>
      <c r="AL8" s="494">
        <f t="shared" si="3"/>
        <v>1318563.8858148793</v>
      </c>
      <c r="AM8" s="494">
        <f>Data!Q7/AM$4*100000*AM$3</f>
        <v>0</v>
      </c>
      <c r="AN8" s="494">
        <f>Data!R7/AN$4*100000*AN$3</f>
        <v>0</v>
      </c>
      <c r="AO8" s="494">
        <f>Data!S7/AO$4*100000*AO$3</f>
        <v>0</v>
      </c>
      <c r="AP8" s="494">
        <f>Data!T7/AP$4*100000*AP$3</f>
        <v>20160.161281290249</v>
      </c>
      <c r="AQ8" s="494">
        <f>Data!U7/AQ$4*100000*AQ$3</f>
        <v>0</v>
      </c>
      <c r="AR8" s="494">
        <f>Data!V7/AR$4*100000*AR$3</f>
        <v>0</v>
      </c>
      <c r="AS8" s="494">
        <f>Data!W7/AS$4*100000*AS$3</f>
        <v>20138.508184065966</v>
      </c>
      <c r="AT8" s="494">
        <f>Data!X7/AT$4*100000*AT$3</f>
        <v>26904.924722262705</v>
      </c>
      <c r="AU8" s="494">
        <f>Data!Y7/AU$4*100000*AU$3</f>
        <v>54819.552306989499</v>
      </c>
      <c r="AV8" s="494">
        <f>Data!Z7/AV$4*100000*AV$3</f>
        <v>155219.24718665113</v>
      </c>
      <c r="AW8" s="494">
        <f>Data!AA7/AW$4*100000*AW$3</f>
        <v>147401.58640957371</v>
      </c>
      <c r="AX8" s="494">
        <f>Data!AB7/AX$4*100000*AX$3</f>
        <v>233014.73602450971</v>
      </c>
      <c r="AY8" s="494">
        <f>Data!AC7/AY$4*100000*AY$3</f>
        <v>314452.39769953245</v>
      </c>
      <c r="AZ8" s="494">
        <f>Data!AD7/AZ$4*100000*AZ$3</f>
        <v>190282.88722567551</v>
      </c>
      <c r="BA8" s="494">
        <f>Data!AE7/BA$4*100000*BA$3</f>
        <v>69060.773480662974</v>
      </c>
      <c r="BB8" s="494">
        <f>Data!AF7/BB$4*100000*BB$3</f>
        <v>50707.367780538509</v>
      </c>
      <c r="BC8" s="494">
        <f>Data!AG7/BC$4*100000*BC$3</f>
        <v>12014.898474107893</v>
      </c>
      <c r="BD8" s="494">
        <f>Data!AH7/BD$4*100000*BD$3</f>
        <v>24386.845039018954</v>
      </c>
    </row>
    <row r="9" spans="1:56" ht="12" customHeight="1">
      <c r="A9" s="30"/>
      <c r="B9" s="130" t="str">
        <f>UPPER(LEFT(TRIM(Data!B8),1)) &amp; MID(TRIM(Data!B8),2,50)</f>
        <v>Stemplės</v>
      </c>
      <c r="C9" s="130" t="str">
        <f>UPPER(LEFT(TRIM(Data!C8),1)) &amp; MID(TRIM(Data!C8),2,50)</f>
        <v>C15</v>
      </c>
      <c r="D9" s="131">
        <f>Data!D8</f>
        <v>188</v>
      </c>
      <c r="E9" s="132">
        <f t="shared" si="0"/>
        <v>13.91432035206191</v>
      </c>
      <c r="F9" s="133">
        <f t="shared" si="4"/>
        <v>12.095939439839565</v>
      </c>
      <c r="G9" s="133">
        <f t="shared" si="1"/>
        <v>8.6223484664352235</v>
      </c>
      <c r="H9" s="74"/>
      <c r="I9" s="74"/>
      <c r="J9" s="74"/>
      <c r="K9" s="74"/>
      <c r="L9" s="74"/>
      <c r="M9" s="74"/>
      <c r="N9" s="74"/>
      <c r="O9" s="60"/>
      <c r="P9" s="484"/>
      <c r="Q9" s="500" t="s">
        <v>353</v>
      </c>
      <c r="R9" s="494">
        <f t="shared" si="2"/>
        <v>1209593.9439839565</v>
      </c>
      <c r="S9" s="494">
        <f>Data!Q8/S$4*100000*S$3</f>
        <v>0</v>
      </c>
      <c r="T9" s="494">
        <f>Data!R8/T$4*100000*T$3</f>
        <v>0</v>
      </c>
      <c r="U9" s="494">
        <f>Data!S8/U$4*100000*U$3</f>
        <v>0</v>
      </c>
      <c r="V9" s="494">
        <f>Data!T8/V$4*100000*V$3</f>
        <v>0</v>
      </c>
      <c r="W9" s="494">
        <f>Data!U8/W$4*100000*W$3</f>
        <v>0</v>
      </c>
      <c r="X9" s="494">
        <f>Data!V8/X$4*100000*X$3</f>
        <v>0</v>
      </c>
      <c r="Y9" s="494">
        <f>Data!W8/Y$4*100000*Y$3</f>
        <v>0</v>
      </c>
      <c r="Z9" s="494">
        <f>Data!X8/Z$4*100000*Z$3</f>
        <v>15694.539421319911</v>
      </c>
      <c r="AA9" s="494">
        <f>Data!Y8/AA$4*100000*AA$3</f>
        <v>28424.953048068626</v>
      </c>
      <c r="AB9" s="494">
        <f>Data!Z8/AB$4*100000*AB$3</f>
        <v>83579.594638965995</v>
      </c>
      <c r="AC9" s="494">
        <f>Data!AA8/AC$4*100000*AC$3</f>
        <v>128976.38810837704</v>
      </c>
      <c r="AD9" s="494">
        <f>Data!AB8/AD$4*100000*AD$3</f>
        <v>239487.36758074607</v>
      </c>
      <c r="AE9" s="494">
        <f>Data!AC8/AE$4*100000*AE$3</f>
        <v>296523.09432192752</v>
      </c>
      <c r="AF9" s="494">
        <f>Data!AD8/AF$4*100000*AF$3</f>
        <v>152226.30978054038</v>
      </c>
      <c r="AG9" s="494">
        <f>Data!AE8/AG$4*100000*AG$3</f>
        <v>103591.16022099445</v>
      </c>
      <c r="AH9" s="494">
        <f>Data!AF8/AH$4*100000*AH$3</f>
        <v>86202.525226915473</v>
      </c>
      <c r="AI9" s="494">
        <f>Data!AG8/AI$4*100000*AI$3</f>
        <v>40049.661580359651</v>
      </c>
      <c r="AJ9" s="494">
        <f>Data!AH8/AJ$4*100000*AJ$3</f>
        <v>34838.350055741364</v>
      </c>
      <c r="AK9" s="500" t="s">
        <v>353</v>
      </c>
      <c r="AL9" s="494">
        <f t="shared" si="3"/>
        <v>862234.84664352238</v>
      </c>
      <c r="AM9" s="494">
        <f>Data!Q8/AM$4*100000*AM$3</f>
        <v>0</v>
      </c>
      <c r="AN9" s="494">
        <f>Data!R8/AN$4*100000*AN$3</f>
        <v>0</v>
      </c>
      <c r="AO9" s="494">
        <f>Data!S8/AO$4*100000*AO$3</f>
        <v>0</v>
      </c>
      <c r="AP9" s="494">
        <f>Data!T8/AP$4*100000*AP$3</f>
        <v>0</v>
      </c>
      <c r="AQ9" s="494">
        <f>Data!U8/AQ$4*100000*AQ$3</f>
        <v>0</v>
      </c>
      <c r="AR9" s="494">
        <f>Data!V8/AR$4*100000*AR$3</f>
        <v>0</v>
      </c>
      <c r="AS9" s="494">
        <f>Data!W8/AS$4*100000*AS$3</f>
        <v>0</v>
      </c>
      <c r="AT9" s="494">
        <f>Data!X8/AT$4*100000*AT$3</f>
        <v>13452.462361131353</v>
      </c>
      <c r="AU9" s="494">
        <f>Data!Y8/AU$4*100000*AU$3</f>
        <v>24364.245469773108</v>
      </c>
      <c r="AV9" s="494">
        <f>Data!Z8/AV$4*100000*AV$3</f>
        <v>71639.652547685138</v>
      </c>
      <c r="AW9" s="494">
        <f>Data!AA8/AW$4*100000*AW$3</f>
        <v>92125.991505983591</v>
      </c>
      <c r="AX9" s="494">
        <f>Data!AB8/AX$4*100000*AX$3</f>
        <v>159658.2450538307</v>
      </c>
      <c r="AY9" s="494">
        <f>Data!AC8/AY$4*100000*AY$3</f>
        <v>237218.47545754202</v>
      </c>
      <c r="AZ9" s="494">
        <f>Data!AD8/AZ$4*100000*AZ$3</f>
        <v>114169.73233540529</v>
      </c>
      <c r="BA9" s="494">
        <f>Data!AE8/BA$4*100000*BA$3</f>
        <v>69060.773480662974</v>
      </c>
      <c r="BB9" s="494">
        <f>Data!AF8/BB$4*100000*BB$3</f>
        <v>43101.262613457737</v>
      </c>
      <c r="BC9" s="494">
        <f>Data!AG8/BC$4*100000*BC$3</f>
        <v>20024.830790179825</v>
      </c>
      <c r="BD9" s="494">
        <f>Data!AH8/BD$4*100000*BD$3</f>
        <v>17419.175027870682</v>
      </c>
    </row>
    <row r="10" spans="1:56" ht="12" customHeight="1">
      <c r="A10" s="30"/>
      <c r="B10" s="125" t="str">
        <f>UPPER(LEFT(TRIM(Data!B9),1)) &amp; MID(TRIM(Data!B9),2,50)</f>
        <v>Skrandžio</v>
      </c>
      <c r="C10" s="125" t="str">
        <f>UPPER(LEFT(TRIM(Data!C9),1)) &amp; MID(TRIM(Data!C9),2,50)</f>
        <v>C16</v>
      </c>
      <c r="D10" s="126">
        <f>Data!D9</f>
        <v>467</v>
      </c>
      <c r="E10" s="127">
        <f t="shared" si="0"/>
        <v>34.56376385326017</v>
      </c>
      <c r="F10" s="128">
        <f t="shared" si="4"/>
        <v>28.84656347709333</v>
      </c>
      <c r="G10" s="129">
        <f t="shared" si="1"/>
        <v>19.523960034979844</v>
      </c>
      <c r="H10" s="74"/>
      <c r="I10" s="74"/>
      <c r="J10" s="74"/>
      <c r="K10" s="74"/>
      <c r="L10" s="74"/>
      <c r="M10" s="74"/>
      <c r="N10" s="74"/>
      <c r="O10" s="60"/>
      <c r="P10" s="484"/>
      <c r="Q10" s="500" t="s">
        <v>353</v>
      </c>
      <c r="R10" s="494">
        <f t="shared" si="2"/>
        <v>2884656.3477093331</v>
      </c>
      <c r="S10" s="494">
        <f>Data!Q9/S$4*100000*S$3</f>
        <v>0</v>
      </c>
      <c r="T10" s="494">
        <f>Data!R9/T$4*100000*T$3</f>
        <v>0</v>
      </c>
      <c r="U10" s="494">
        <f>Data!S9/U$4*100000*U$3</f>
        <v>0</v>
      </c>
      <c r="V10" s="494">
        <f>Data!T9/V$4*100000*V$3</f>
        <v>0</v>
      </c>
      <c r="W10" s="494">
        <f>Data!U9/W$4*100000*W$3</f>
        <v>6468.365074524806</v>
      </c>
      <c r="X10" s="494">
        <f>Data!V9/X$4*100000*X$3</f>
        <v>0</v>
      </c>
      <c r="Y10" s="494">
        <f>Data!W9/Y$4*100000*Y$3</f>
        <v>7831.6420715812073</v>
      </c>
      <c r="Z10" s="494">
        <f>Data!X9/Z$4*100000*Z$3</f>
        <v>31389.078842639821</v>
      </c>
      <c r="AA10" s="494">
        <f>Data!Y9/AA$4*100000*AA$3</f>
        <v>63956.144358154415</v>
      </c>
      <c r="AB10" s="494">
        <f>Data!Z9/AB$4*100000*AB$3</f>
        <v>146264.29061819051</v>
      </c>
      <c r="AC10" s="494">
        <f>Data!AA9/AC$4*100000*AC$3</f>
        <v>238606.31800049747</v>
      </c>
      <c r="AD10" s="494">
        <f>Data!AB9/AD$4*100000*AD$3</f>
        <v>252432.63069321885</v>
      </c>
      <c r="AE10" s="494">
        <f>Data!AC9/AE$4*100000*AE$3</f>
        <v>544774.98724261101</v>
      </c>
      <c r="AF10" s="494">
        <f>Data!AD9/AF$4*100000*AF$3</f>
        <v>311701.49145539227</v>
      </c>
      <c r="AG10" s="494">
        <f>Data!AE9/AG$4*100000*AG$3</f>
        <v>493581.41046473838</v>
      </c>
      <c r="AH10" s="494">
        <f>Data!AF9/AH$4*100000*AH$3</f>
        <v>329597.89057350031</v>
      </c>
      <c r="AI10" s="494">
        <f>Data!AG9/AI$4*100000*AI$3</f>
        <v>200248.30790179825</v>
      </c>
      <c r="AJ10" s="494">
        <f>Data!AH9/AJ$4*100000*AJ$3</f>
        <v>257803.79041248609</v>
      </c>
      <c r="AK10" s="500" t="s">
        <v>353</v>
      </c>
      <c r="AL10" s="494">
        <f t="shared" si="3"/>
        <v>1952396.0034979845</v>
      </c>
      <c r="AM10" s="494">
        <f>Data!Q9/AM$4*100000*AM$3</f>
        <v>0</v>
      </c>
      <c r="AN10" s="494">
        <f>Data!R9/AN$4*100000*AN$3</f>
        <v>0</v>
      </c>
      <c r="AO10" s="494">
        <f>Data!S9/AO$4*100000*AO$3</f>
        <v>0</v>
      </c>
      <c r="AP10" s="494">
        <f>Data!T9/AP$4*100000*AP$3</f>
        <v>0</v>
      </c>
      <c r="AQ10" s="494">
        <f>Data!U9/AQ$4*100000*AQ$3</f>
        <v>7392.4172280283501</v>
      </c>
      <c r="AR10" s="494">
        <f>Data!V9/AR$4*100000*AR$3</f>
        <v>0</v>
      </c>
      <c r="AS10" s="494">
        <f>Data!W9/AS$4*100000*AS$3</f>
        <v>6712.8360613553205</v>
      </c>
      <c r="AT10" s="494">
        <f>Data!X9/AT$4*100000*AT$3</f>
        <v>26904.924722262705</v>
      </c>
      <c r="AU10" s="494">
        <f>Data!Y9/AU$4*100000*AU$3</f>
        <v>54819.552306989499</v>
      </c>
      <c r="AV10" s="494">
        <f>Data!Z9/AV$4*100000*AV$3</f>
        <v>125369.39195844901</v>
      </c>
      <c r="AW10" s="494">
        <f>Data!AA9/AW$4*100000*AW$3</f>
        <v>170433.08428606964</v>
      </c>
      <c r="AX10" s="494">
        <f>Data!AB9/AX$4*100000*AX$3</f>
        <v>168288.42046214591</v>
      </c>
      <c r="AY10" s="494">
        <f>Data!AC9/AY$4*100000*AY$3</f>
        <v>435819.98979408882</v>
      </c>
      <c r="AZ10" s="494">
        <f>Data!AD9/AZ$4*100000*AZ$3</f>
        <v>233776.11859154422</v>
      </c>
      <c r="BA10" s="494">
        <f>Data!AE9/BA$4*100000*BA$3</f>
        <v>329054.2736431589</v>
      </c>
      <c r="BB10" s="494">
        <f>Data!AF9/BB$4*100000*BB$3</f>
        <v>164798.94528675015</v>
      </c>
      <c r="BC10" s="494">
        <f>Data!AG9/BC$4*100000*BC$3</f>
        <v>100124.15395089913</v>
      </c>
      <c r="BD10" s="494">
        <f>Data!AH9/BD$4*100000*BD$3</f>
        <v>128901.89520624305</v>
      </c>
    </row>
    <row r="11" spans="1:56" ht="12" customHeight="1">
      <c r="A11" s="30"/>
      <c r="B11" s="130" t="str">
        <f>UPPER(LEFT(TRIM(Data!B10),1)) &amp; MID(TRIM(Data!B10),2,50)</f>
        <v>Gaubtinės žarnos</v>
      </c>
      <c r="C11" s="130" t="str">
        <f>UPPER(LEFT(TRIM(Data!C10),1)) &amp; MID(TRIM(Data!C10),2,50)</f>
        <v>C18</v>
      </c>
      <c r="D11" s="131">
        <f>Data!D10</f>
        <v>403</v>
      </c>
      <c r="E11" s="132">
        <f t="shared" si="0"/>
        <v>29.826973946175265</v>
      </c>
      <c r="F11" s="133">
        <f t="shared" si="4"/>
        <v>24.904619315367537</v>
      </c>
      <c r="G11" s="133">
        <f t="shared" si="1"/>
        <v>16.294359257670081</v>
      </c>
      <c r="H11" s="74"/>
      <c r="I11" s="74"/>
      <c r="J11" s="74"/>
      <c r="K11" s="74"/>
      <c r="L11" s="74"/>
      <c r="M11" s="74"/>
      <c r="N11" s="74"/>
      <c r="O11" s="60"/>
      <c r="P11" s="484"/>
      <c r="Q11" s="500" t="s">
        <v>353</v>
      </c>
      <c r="R11" s="494">
        <f t="shared" si="2"/>
        <v>2490461.9315367537</v>
      </c>
      <c r="S11" s="494">
        <f>Data!Q10/S$4*100000*S$3</f>
        <v>0</v>
      </c>
      <c r="T11" s="494">
        <f>Data!R10/T$4*100000*T$3</f>
        <v>0</v>
      </c>
      <c r="U11" s="494">
        <f>Data!S10/U$4*100000*U$3</f>
        <v>0</v>
      </c>
      <c r="V11" s="494">
        <f>Data!T10/V$4*100000*V$3</f>
        <v>0</v>
      </c>
      <c r="W11" s="494">
        <f>Data!U10/W$4*100000*W$3</f>
        <v>6468.365074524806</v>
      </c>
      <c r="X11" s="494">
        <f>Data!V10/X$4*100000*X$3</f>
        <v>0</v>
      </c>
      <c r="Y11" s="494">
        <f>Data!W10/Y$4*100000*Y$3</f>
        <v>7831.6420715812073</v>
      </c>
      <c r="Z11" s="494">
        <f>Data!X10/Z$4*100000*Z$3</f>
        <v>31389.078842639821</v>
      </c>
      <c r="AA11" s="494">
        <f>Data!Y10/AA$4*100000*AA$3</f>
        <v>35531.191310085778</v>
      </c>
      <c r="AB11" s="494">
        <f>Data!Z10/AB$4*100000*AB$3</f>
        <v>34824.831099569165</v>
      </c>
      <c r="AC11" s="494">
        <f>Data!AA10/AC$4*100000*AC$3</f>
        <v>77385.832865026212</v>
      </c>
      <c r="AD11" s="494">
        <f>Data!AB10/AD$4*100000*AD$3</f>
        <v>226542.10446827329</v>
      </c>
      <c r="AE11" s="494">
        <f>Data!AC10/AE$4*100000*AE$3</f>
        <v>275835.43657853722</v>
      </c>
      <c r="AF11" s="494">
        <f>Data!AD10/AF$4*100000*AF$3</f>
        <v>514669.90449611284</v>
      </c>
      <c r="AG11" s="494">
        <f>Data!AE10/AG$4*100000*AG$3</f>
        <v>450926.22684432886</v>
      </c>
      <c r="AH11" s="494">
        <f>Data!AF10/AH$4*100000*AH$3</f>
        <v>314385.68023933878</v>
      </c>
      <c r="AI11" s="494">
        <f>Data!AG10/AI$4*100000*AI$3</f>
        <v>180223.47711161841</v>
      </c>
      <c r="AJ11" s="494">
        <f>Data!AH10/AJ$4*100000*AJ$3</f>
        <v>334448.16053511703</v>
      </c>
      <c r="AK11" s="500" t="s">
        <v>353</v>
      </c>
      <c r="AL11" s="494">
        <f t="shared" si="3"/>
        <v>1629435.9257670082</v>
      </c>
      <c r="AM11" s="494">
        <f>Data!Q10/AM$4*100000*AM$3</f>
        <v>0</v>
      </c>
      <c r="AN11" s="494">
        <f>Data!R10/AN$4*100000*AN$3</f>
        <v>0</v>
      </c>
      <c r="AO11" s="494">
        <f>Data!S10/AO$4*100000*AO$3</f>
        <v>0</v>
      </c>
      <c r="AP11" s="494">
        <f>Data!T10/AP$4*100000*AP$3</f>
        <v>0</v>
      </c>
      <c r="AQ11" s="494">
        <f>Data!U10/AQ$4*100000*AQ$3</f>
        <v>7392.4172280283501</v>
      </c>
      <c r="AR11" s="494">
        <f>Data!V10/AR$4*100000*AR$3</f>
        <v>0</v>
      </c>
      <c r="AS11" s="494">
        <f>Data!W10/AS$4*100000*AS$3</f>
        <v>6712.8360613553205</v>
      </c>
      <c r="AT11" s="494">
        <f>Data!X10/AT$4*100000*AT$3</f>
        <v>26904.924722262705</v>
      </c>
      <c r="AU11" s="494">
        <f>Data!Y10/AU$4*100000*AU$3</f>
        <v>30455.306837216383</v>
      </c>
      <c r="AV11" s="494">
        <f>Data!Z10/AV$4*100000*AV$3</f>
        <v>29849.855228202141</v>
      </c>
      <c r="AW11" s="494">
        <f>Data!AA10/AW$4*100000*AW$3</f>
        <v>55275.59490359015</v>
      </c>
      <c r="AX11" s="494">
        <f>Data!AB10/AX$4*100000*AX$3</f>
        <v>151028.06964551553</v>
      </c>
      <c r="AY11" s="494">
        <f>Data!AC10/AY$4*100000*AY$3</f>
        <v>220668.34926282978</v>
      </c>
      <c r="AZ11" s="494">
        <f>Data!AD10/AZ$4*100000*AZ$3</f>
        <v>386002.42837208463</v>
      </c>
      <c r="BA11" s="494">
        <f>Data!AE10/BA$4*100000*BA$3</f>
        <v>300617.48456288595</v>
      </c>
      <c r="BB11" s="494">
        <f>Data!AF10/BB$4*100000*BB$3</f>
        <v>157192.84011966939</v>
      </c>
      <c r="BC11" s="494">
        <f>Data!AG10/BC$4*100000*BC$3</f>
        <v>90111.738555809206</v>
      </c>
      <c r="BD11" s="494">
        <f>Data!AH10/BD$4*100000*BD$3</f>
        <v>167224.08026755851</v>
      </c>
    </row>
    <row r="12" spans="1:56" ht="12" customHeight="1">
      <c r="A12" s="30"/>
      <c r="B12" s="125" t="str">
        <f>UPPER(LEFT(TRIM(Data!B11),1)) &amp; MID(TRIM(Data!B11),2,50)</f>
        <v>Tiesiosios žarnos, išangės</v>
      </c>
      <c r="C12" s="125" t="str">
        <f>UPPER(LEFT(TRIM(Data!C11),1)) &amp; MID(TRIM(Data!C11),2,50)</f>
        <v>C19-C21</v>
      </c>
      <c r="D12" s="126">
        <f>Data!D11</f>
        <v>351</v>
      </c>
      <c r="E12" s="127">
        <f t="shared" si="0"/>
        <v>25.978332146668777</v>
      </c>
      <c r="F12" s="128">
        <f t="shared" si="4"/>
        <v>21.254866717319668</v>
      </c>
      <c r="G12" s="129">
        <f t="shared" si="1"/>
        <v>13.960055895702483</v>
      </c>
      <c r="H12" s="74"/>
      <c r="I12" s="74"/>
      <c r="J12" s="74"/>
      <c r="K12" s="74"/>
      <c r="L12" s="74"/>
      <c r="M12" s="74"/>
      <c r="N12" s="74"/>
      <c r="O12" s="60"/>
      <c r="P12" s="484"/>
      <c r="Q12" s="500" t="s">
        <v>353</v>
      </c>
      <c r="R12" s="494">
        <f t="shared" si="2"/>
        <v>2125486.671731967</v>
      </c>
      <c r="S12" s="494">
        <f>Data!Q11/S$4*100000*S$3</f>
        <v>0</v>
      </c>
      <c r="T12" s="494">
        <f>Data!R11/T$4*100000*T$3</f>
        <v>0</v>
      </c>
      <c r="U12" s="494">
        <f>Data!S11/U$4*100000*U$3</f>
        <v>0</v>
      </c>
      <c r="V12" s="494">
        <f>Data!T11/V$4*100000*V$3</f>
        <v>0</v>
      </c>
      <c r="W12" s="494">
        <f>Data!U11/W$4*100000*W$3</f>
        <v>0</v>
      </c>
      <c r="X12" s="494">
        <f>Data!V11/X$4*100000*X$3</f>
        <v>0</v>
      </c>
      <c r="Y12" s="494">
        <f>Data!W11/Y$4*100000*Y$3</f>
        <v>0</v>
      </c>
      <c r="Z12" s="494">
        <f>Data!X11/Z$4*100000*Z$3</f>
        <v>15694.539421319911</v>
      </c>
      <c r="AA12" s="494">
        <f>Data!Y11/AA$4*100000*AA$3</f>
        <v>7106.2382620171566</v>
      </c>
      <c r="AB12" s="494">
        <f>Data!Z11/AB$4*100000*AB$3</f>
        <v>76614.628419052169</v>
      </c>
      <c r="AC12" s="494">
        <f>Data!AA11/AC$4*100000*AC$3</f>
        <v>141874.02691921472</v>
      </c>
      <c r="AD12" s="494">
        <f>Data!AB11/AD$4*100000*AD$3</f>
        <v>194178.94668709143</v>
      </c>
      <c r="AE12" s="494">
        <f>Data!AC11/AE$4*100000*AE$3</f>
        <v>282731.32249300065</v>
      </c>
      <c r="AF12" s="494">
        <f>Data!AD11/AF$4*100000*AF$3</f>
        <v>340696.97903263808</v>
      </c>
      <c r="AG12" s="494">
        <f>Data!AE11/AG$4*100000*AG$3</f>
        <v>389990.25024374388</v>
      </c>
      <c r="AH12" s="494">
        <f>Data!AF11/AH$4*100000*AH$3</f>
        <v>304244.20668323111</v>
      </c>
      <c r="AI12" s="494">
        <f>Data!AG11/AI$4*100000*AI$3</f>
        <v>184228.44326965438</v>
      </c>
      <c r="AJ12" s="494">
        <f>Data!AH11/AJ$4*100000*AJ$3</f>
        <v>188127.09030100334</v>
      </c>
      <c r="AK12" s="500" t="s">
        <v>353</v>
      </c>
      <c r="AL12" s="494">
        <f t="shared" si="3"/>
        <v>1396005.5895702483</v>
      </c>
      <c r="AM12" s="494">
        <f>Data!Q11/AM$4*100000*AM$3</f>
        <v>0</v>
      </c>
      <c r="AN12" s="494">
        <f>Data!R11/AN$4*100000*AN$3</f>
        <v>0</v>
      </c>
      <c r="AO12" s="494">
        <f>Data!S11/AO$4*100000*AO$3</f>
        <v>0</v>
      </c>
      <c r="AP12" s="494">
        <f>Data!T11/AP$4*100000*AP$3</f>
        <v>0</v>
      </c>
      <c r="AQ12" s="494">
        <f>Data!U11/AQ$4*100000*AQ$3</f>
        <v>0</v>
      </c>
      <c r="AR12" s="494">
        <f>Data!V11/AR$4*100000*AR$3</f>
        <v>0</v>
      </c>
      <c r="AS12" s="494">
        <f>Data!W11/AS$4*100000*AS$3</f>
        <v>0</v>
      </c>
      <c r="AT12" s="494">
        <f>Data!X11/AT$4*100000*AT$3</f>
        <v>13452.462361131353</v>
      </c>
      <c r="AU12" s="494">
        <f>Data!Y11/AU$4*100000*AU$3</f>
        <v>6091.061367443277</v>
      </c>
      <c r="AV12" s="494">
        <f>Data!Z11/AV$4*100000*AV$3</f>
        <v>65669.681502044725</v>
      </c>
      <c r="AW12" s="494">
        <f>Data!AA11/AW$4*100000*AW$3</f>
        <v>101338.59065658195</v>
      </c>
      <c r="AX12" s="494">
        <f>Data!AB11/AX$4*100000*AX$3</f>
        <v>129452.63112472762</v>
      </c>
      <c r="AY12" s="494">
        <f>Data!AC11/AY$4*100000*AY$3</f>
        <v>226185.05799440053</v>
      </c>
      <c r="AZ12" s="494">
        <f>Data!AD11/AZ$4*100000*AZ$3</f>
        <v>255522.73427447854</v>
      </c>
      <c r="BA12" s="494">
        <f>Data!AE11/BA$4*100000*BA$3</f>
        <v>259993.50016249594</v>
      </c>
      <c r="BB12" s="494">
        <f>Data!AF11/BB$4*100000*BB$3</f>
        <v>152122.10334161556</v>
      </c>
      <c r="BC12" s="494">
        <f>Data!AG11/BC$4*100000*BC$3</f>
        <v>92114.22163482719</v>
      </c>
      <c r="BD12" s="494">
        <f>Data!AH11/BD$4*100000*BD$3</f>
        <v>94063.545150501668</v>
      </c>
    </row>
    <row r="13" spans="1:56" ht="12" customHeight="1">
      <c r="A13" s="30"/>
      <c r="B13" s="130" t="str">
        <f>UPPER(LEFT(TRIM(Data!B12),1)) &amp; MID(TRIM(Data!B12),2,50)</f>
        <v>Kepenų</v>
      </c>
      <c r="C13" s="130" t="str">
        <f>UPPER(LEFT(TRIM(Data!C12),1)) &amp; MID(TRIM(Data!C12),2,50)</f>
        <v>C22</v>
      </c>
      <c r="D13" s="131">
        <f>Data!D12</f>
        <v>137</v>
      </c>
      <c r="E13" s="132">
        <f t="shared" si="0"/>
        <v>10.139690894853626</v>
      </c>
      <c r="F13" s="133">
        <f t="shared" si="4"/>
        <v>8.6785632461336668</v>
      </c>
      <c r="G13" s="133">
        <f t="shared" si="1"/>
        <v>5.9160110294639532</v>
      </c>
      <c r="H13" s="74"/>
      <c r="I13" s="74"/>
      <c r="J13" s="74"/>
      <c r="K13" s="74"/>
      <c r="L13" s="74"/>
      <c r="M13" s="74"/>
      <c r="N13" s="74"/>
      <c r="O13" s="60"/>
      <c r="P13" s="484"/>
      <c r="Q13" s="500" t="s">
        <v>353</v>
      </c>
      <c r="R13" s="494">
        <f t="shared" si="2"/>
        <v>867856.32461336663</v>
      </c>
      <c r="S13" s="494">
        <f>Data!Q12/S$4*100000*S$3</f>
        <v>0</v>
      </c>
      <c r="T13" s="494">
        <f>Data!R12/T$4*100000*T$3</f>
        <v>0</v>
      </c>
      <c r="U13" s="494">
        <f>Data!S12/U$4*100000*U$3</f>
        <v>0</v>
      </c>
      <c r="V13" s="494">
        <f>Data!T12/V$4*100000*V$3</f>
        <v>0</v>
      </c>
      <c r="W13" s="494">
        <f>Data!U12/W$4*100000*W$3</f>
        <v>0</v>
      </c>
      <c r="X13" s="494">
        <f>Data!V12/X$4*100000*X$3</f>
        <v>0</v>
      </c>
      <c r="Y13" s="494">
        <f>Data!W12/Y$4*100000*Y$3</f>
        <v>7831.6420715812073</v>
      </c>
      <c r="Z13" s="494">
        <f>Data!X12/Z$4*100000*Z$3</f>
        <v>0</v>
      </c>
      <c r="AA13" s="494">
        <f>Data!Y12/AA$4*100000*AA$3</f>
        <v>21318.714786051467</v>
      </c>
      <c r="AB13" s="494">
        <f>Data!Z12/AB$4*100000*AB$3</f>
        <v>62684.695979224503</v>
      </c>
      <c r="AC13" s="494">
        <f>Data!AA12/AC$4*100000*AC$3</f>
        <v>90283.471675863926</v>
      </c>
      <c r="AD13" s="494">
        <f>Data!AB12/AD$4*100000*AD$3</f>
        <v>129452.6311247276</v>
      </c>
      <c r="AE13" s="494">
        <f>Data!AC12/AE$4*100000*AE$3</f>
        <v>75854.745059097753</v>
      </c>
      <c r="AF13" s="494">
        <f>Data!AD12/AF$4*100000*AF$3</f>
        <v>159475.18167485186</v>
      </c>
      <c r="AG13" s="494">
        <f>Data!AE12/AG$4*100000*AG$3</f>
        <v>127965.55086122846</v>
      </c>
      <c r="AH13" s="494">
        <f>Data!AF12/AH$4*100000*AH$3</f>
        <v>91273.262004969321</v>
      </c>
      <c r="AI13" s="494">
        <f>Data!AG12/AI$4*100000*AI$3</f>
        <v>32039.729264287715</v>
      </c>
      <c r="AJ13" s="494">
        <f>Data!AH12/AJ$4*100000*AJ$3</f>
        <v>69676.700111482729</v>
      </c>
      <c r="AK13" s="500" t="s">
        <v>353</v>
      </c>
      <c r="AL13" s="494">
        <f t="shared" si="3"/>
        <v>591601.10294639529</v>
      </c>
      <c r="AM13" s="494">
        <f>Data!Q12/AM$4*100000*AM$3</f>
        <v>0</v>
      </c>
      <c r="AN13" s="494">
        <f>Data!R12/AN$4*100000*AN$3</f>
        <v>0</v>
      </c>
      <c r="AO13" s="494">
        <f>Data!S12/AO$4*100000*AO$3</f>
        <v>0</v>
      </c>
      <c r="AP13" s="494">
        <f>Data!T12/AP$4*100000*AP$3</f>
        <v>0</v>
      </c>
      <c r="AQ13" s="494">
        <f>Data!U12/AQ$4*100000*AQ$3</f>
        <v>0</v>
      </c>
      <c r="AR13" s="494">
        <f>Data!V12/AR$4*100000*AR$3</f>
        <v>0</v>
      </c>
      <c r="AS13" s="494">
        <f>Data!W12/AS$4*100000*AS$3</f>
        <v>6712.8360613553205</v>
      </c>
      <c r="AT13" s="494">
        <f>Data!X12/AT$4*100000*AT$3</f>
        <v>0</v>
      </c>
      <c r="AU13" s="494">
        <f>Data!Y12/AU$4*100000*AU$3</f>
        <v>18273.184102329829</v>
      </c>
      <c r="AV13" s="494">
        <f>Data!Z12/AV$4*100000*AV$3</f>
        <v>53729.739410763861</v>
      </c>
      <c r="AW13" s="494">
        <f>Data!AA12/AW$4*100000*AW$3</f>
        <v>64488.19405418852</v>
      </c>
      <c r="AX13" s="494">
        <f>Data!AB12/AX$4*100000*AX$3</f>
        <v>86301.75408315174</v>
      </c>
      <c r="AY13" s="494">
        <f>Data!AC12/AY$4*100000*AY$3</f>
        <v>60683.7960472782</v>
      </c>
      <c r="AZ13" s="494">
        <f>Data!AD12/AZ$4*100000*AZ$3</f>
        <v>119606.3862561389</v>
      </c>
      <c r="BA13" s="494">
        <f>Data!AE12/BA$4*100000*BA$3</f>
        <v>85310.367240818974</v>
      </c>
      <c r="BB13" s="494">
        <f>Data!AF12/BB$4*100000*BB$3</f>
        <v>45636.631002484661</v>
      </c>
      <c r="BC13" s="494">
        <f>Data!AG12/BC$4*100000*BC$3</f>
        <v>16019.864632143857</v>
      </c>
      <c r="BD13" s="494">
        <f>Data!AH12/BD$4*100000*BD$3</f>
        <v>34838.350055741364</v>
      </c>
    </row>
    <row r="14" spans="1:56" ht="12" customHeight="1">
      <c r="A14" s="30"/>
      <c r="B14" s="125" t="str">
        <f>UPPER(LEFT(TRIM(Data!B13),1)) &amp; MID(TRIM(Data!B13),2,50)</f>
        <v>Tulžies pūslės, ekstrahepatinių takų</v>
      </c>
      <c r="C14" s="125" t="str">
        <f>UPPER(LEFT(TRIM(Data!C13),1)) &amp; MID(TRIM(Data!C13),2,50)</f>
        <v>C23, C24</v>
      </c>
      <c r="D14" s="126">
        <f>Data!D13</f>
        <v>49</v>
      </c>
      <c r="E14" s="127">
        <f t="shared" si="0"/>
        <v>3.6266047726118806</v>
      </c>
      <c r="F14" s="128">
        <f t="shared" si="4"/>
        <v>2.9349150081895399</v>
      </c>
      <c r="G14" s="129">
        <f t="shared" si="1"/>
        <v>1.9067763233438635</v>
      </c>
      <c r="H14" s="74"/>
      <c r="I14" s="74"/>
      <c r="J14" s="74"/>
      <c r="K14" s="74"/>
      <c r="L14" s="74"/>
      <c r="M14" s="74"/>
      <c r="N14" s="74"/>
      <c r="O14" s="60"/>
      <c r="P14" s="484"/>
      <c r="Q14" s="500" t="s">
        <v>353</v>
      </c>
      <c r="R14" s="494">
        <f t="shared" si="2"/>
        <v>293491.50081895397</v>
      </c>
      <c r="S14" s="494">
        <f>Data!Q13/S$4*100000*S$3</f>
        <v>0</v>
      </c>
      <c r="T14" s="494">
        <f>Data!R13/T$4*100000*T$3</f>
        <v>0</v>
      </c>
      <c r="U14" s="494">
        <f>Data!S13/U$4*100000*U$3</f>
        <v>0</v>
      </c>
      <c r="V14" s="494">
        <f>Data!T13/V$4*100000*V$3</f>
        <v>0</v>
      </c>
      <c r="W14" s="494">
        <f>Data!U13/W$4*100000*W$3</f>
        <v>0</v>
      </c>
      <c r="X14" s="494">
        <f>Data!V13/X$4*100000*X$3</f>
        <v>0</v>
      </c>
      <c r="Y14" s="494">
        <f>Data!W13/Y$4*100000*Y$3</f>
        <v>7831.6420715812073</v>
      </c>
      <c r="Z14" s="494">
        <f>Data!X13/Z$4*100000*Z$3</f>
        <v>0</v>
      </c>
      <c r="AA14" s="494">
        <f>Data!Y13/AA$4*100000*AA$3</f>
        <v>0</v>
      </c>
      <c r="AB14" s="494">
        <f>Data!Z13/AB$4*100000*AB$3</f>
        <v>13929.932439827668</v>
      </c>
      <c r="AC14" s="494">
        <f>Data!AA13/AC$4*100000*AC$3</f>
        <v>0</v>
      </c>
      <c r="AD14" s="494">
        <f>Data!AB13/AD$4*100000*AD$3</f>
        <v>51781.052449891053</v>
      </c>
      <c r="AE14" s="494">
        <f>Data!AC13/AE$4*100000*AE$3</f>
        <v>34479.429572317153</v>
      </c>
      <c r="AF14" s="494">
        <f>Data!AD13/AF$4*100000*AF$3</f>
        <v>36244.35947155724</v>
      </c>
      <c r="AG14" s="494">
        <f>Data!AE13/AG$4*100000*AG$3</f>
        <v>48748.781280467985</v>
      </c>
      <c r="AH14" s="494">
        <f>Data!AF13/AH$4*100000*AH$3</f>
        <v>40565.894224430813</v>
      </c>
      <c r="AI14" s="494">
        <f>Data!AG13/AI$4*100000*AI$3</f>
        <v>32039.729264287715</v>
      </c>
      <c r="AJ14" s="494">
        <f>Data!AH13/AJ$4*100000*AJ$3</f>
        <v>27870.680044593086</v>
      </c>
      <c r="AK14" s="500" t="s">
        <v>353</v>
      </c>
      <c r="AL14" s="494">
        <f t="shared" si="3"/>
        <v>190677.63233438635</v>
      </c>
      <c r="AM14" s="494">
        <f>Data!Q13/AM$4*100000*AM$3</f>
        <v>0</v>
      </c>
      <c r="AN14" s="494">
        <f>Data!R13/AN$4*100000*AN$3</f>
        <v>0</v>
      </c>
      <c r="AO14" s="494">
        <f>Data!S13/AO$4*100000*AO$3</f>
        <v>0</v>
      </c>
      <c r="AP14" s="494">
        <f>Data!T13/AP$4*100000*AP$3</f>
        <v>0</v>
      </c>
      <c r="AQ14" s="494">
        <f>Data!U13/AQ$4*100000*AQ$3</f>
        <v>0</v>
      </c>
      <c r="AR14" s="494">
        <f>Data!V13/AR$4*100000*AR$3</f>
        <v>0</v>
      </c>
      <c r="AS14" s="494">
        <f>Data!W13/AS$4*100000*AS$3</f>
        <v>6712.8360613553205</v>
      </c>
      <c r="AT14" s="494">
        <f>Data!X13/AT$4*100000*AT$3</f>
        <v>0</v>
      </c>
      <c r="AU14" s="494">
        <f>Data!Y13/AU$4*100000*AU$3</f>
        <v>0</v>
      </c>
      <c r="AV14" s="494">
        <f>Data!Z13/AV$4*100000*AV$3</f>
        <v>11939.942091280858</v>
      </c>
      <c r="AW14" s="494">
        <f>Data!AA13/AW$4*100000*AW$3</f>
        <v>0</v>
      </c>
      <c r="AX14" s="494">
        <f>Data!AB13/AX$4*100000*AX$3</f>
        <v>34520.701633260702</v>
      </c>
      <c r="AY14" s="494">
        <f>Data!AC13/AY$4*100000*AY$3</f>
        <v>27583.543657853723</v>
      </c>
      <c r="AZ14" s="494">
        <f>Data!AD13/AZ$4*100000*AZ$3</f>
        <v>27183.26960366793</v>
      </c>
      <c r="BA14" s="494">
        <f>Data!AE13/BA$4*100000*BA$3</f>
        <v>32499.187520311993</v>
      </c>
      <c r="BB14" s="494">
        <f>Data!AF13/BB$4*100000*BB$3</f>
        <v>20282.947112215406</v>
      </c>
      <c r="BC14" s="494">
        <f>Data!AG13/BC$4*100000*BC$3</f>
        <v>16019.864632143857</v>
      </c>
      <c r="BD14" s="494">
        <f>Data!AH13/BD$4*100000*BD$3</f>
        <v>13935.340022296543</v>
      </c>
    </row>
    <row r="15" spans="1:56" ht="12" customHeight="1">
      <c r="A15" s="30"/>
      <c r="B15" s="130" t="str">
        <f>UPPER(LEFT(TRIM(Data!B14),1)) &amp; MID(TRIM(Data!B14),2,50)</f>
        <v>Kasos</v>
      </c>
      <c r="C15" s="130" t="str">
        <f>UPPER(LEFT(TRIM(Data!C14),1)) &amp; MID(TRIM(Data!C14),2,50)</f>
        <v>C25</v>
      </c>
      <c r="D15" s="131">
        <f>Data!D14</f>
        <v>273</v>
      </c>
      <c r="E15" s="132">
        <f t="shared" si="0"/>
        <v>20.205369447409051</v>
      </c>
      <c r="F15" s="133">
        <f t="shared" si="4"/>
        <v>17.217743763301172</v>
      </c>
      <c r="G15" s="133">
        <f t="shared" si="1"/>
        <v>11.710635252122049</v>
      </c>
      <c r="H15" s="74"/>
      <c r="I15" s="74"/>
      <c r="J15" s="74"/>
      <c r="K15" s="74"/>
      <c r="L15" s="74"/>
      <c r="M15" s="74"/>
      <c r="N15" s="74"/>
      <c r="O15" s="60"/>
      <c r="P15" s="484"/>
      <c r="Q15" s="500" t="s">
        <v>353</v>
      </c>
      <c r="R15" s="494">
        <f t="shared" si="2"/>
        <v>1721774.3763301172</v>
      </c>
      <c r="S15" s="494">
        <f>Data!Q14/S$4*100000*S$3</f>
        <v>0</v>
      </c>
      <c r="T15" s="494">
        <f>Data!R14/T$4*100000*T$3</f>
        <v>0</v>
      </c>
      <c r="U15" s="494">
        <f>Data!S14/U$4*100000*U$3</f>
        <v>0</v>
      </c>
      <c r="V15" s="494">
        <f>Data!T14/V$4*100000*V$3</f>
        <v>0</v>
      </c>
      <c r="W15" s="494">
        <f>Data!U14/W$4*100000*W$3</f>
        <v>0</v>
      </c>
      <c r="X15" s="494">
        <f>Data!V14/X$4*100000*X$3</f>
        <v>0</v>
      </c>
      <c r="Y15" s="494">
        <f>Data!W14/Y$4*100000*Y$3</f>
        <v>7831.6420715812073</v>
      </c>
      <c r="Z15" s="494">
        <f>Data!X14/Z$4*100000*Z$3</f>
        <v>15694.539421319911</v>
      </c>
      <c r="AA15" s="494">
        <f>Data!Y14/AA$4*100000*AA$3</f>
        <v>35531.191310085778</v>
      </c>
      <c r="AB15" s="494">
        <f>Data!Z14/AB$4*100000*AB$3</f>
        <v>62684.695979224503</v>
      </c>
      <c r="AC15" s="494">
        <f>Data!AA14/AC$4*100000*AC$3</f>
        <v>161220.48513547127</v>
      </c>
      <c r="AD15" s="494">
        <f>Data!AB14/AD$4*100000*AD$3</f>
        <v>226542.10446827329</v>
      </c>
      <c r="AE15" s="494">
        <f>Data!AC14/AE$4*100000*AE$3</f>
        <v>206876.57743390294</v>
      </c>
      <c r="AF15" s="494">
        <f>Data!AD14/AF$4*100000*AF$3</f>
        <v>326199.23524401512</v>
      </c>
      <c r="AG15" s="494">
        <f>Data!AE14/AG$4*100000*AG$3</f>
        <v>304679.88300292497</v>
      </c>
      <c r="AH15" s="494">
        <f>Data!AF14/AH$4*100000*AH$3</f>
        <v>147051.36656356169</v>
      </c>
      <c r="AI15" s="494">
        <f>Data!AG14/AI$4*100000*AI$3</f>
        <v>88109.255476791222</v>
      </c>
      <c r="AJ15" s="494">
        <f>Data!AH14/AJ$4*100000*AJ$3</f>
        <v>139353.40022296546</v>
      </c>
      <c r="AK15" s="500" t="s">
        <v>353</v>
      </c>
      <c r="AL15" s="494">
        <f t="shared" si="3"/>
        <v>1171063.525212205</v>
      </c>
      <c r="AM15" s="494">
        <f>Data!Q14/AM$4*100000*AM$3</f>
        <v>0</v>
      </c>
      <c r="AN15" s="494">
        <f>Data!R14/AN$4*100000*AN$3</f>
        <v>0</v>
      </c>
      <c r="AO15" s="494">
        <f>Data!S14/AO$4*100000*AO$3</f>
        <v>0</v>
      </c>
      <c r="AP15" s="494">
        <f>Data!T14/AP$4*100000*AP$3</f>
        <v>0</v>
      </c>
      <c r="AQ15" s="494">
        <f>Data!U14/AQ$4*100000*AQ$3</f>
        <v>0</v>
      </c>
      <c r="AR15" s="494">
        <f>Data!V14/AR$4*100000*AR$3</f>
        <v>0</v>
      </c>
      <c r="AS15" s="494">
        <f>Data!W14/AS$4*100000*AS$3</f>
        <v>6712.8360613553205</v>
      </c>
      <c r="AT15" s="494">
        <f>Data!X14/AT$4*100000*AT$3</f>
        <v>13452.462361131353</v>
      </c>
      <c r="AU15" s="494">
        <f>Data!Y14/AU$4*100000*AU$3</f>
        <v>30455.306837216383</v>
      </c>
      <c r="AV15" s="494">
        <f>Data!Z14/AV$4*100000*AV$3</f>
        <v>53729.739410763861</v>
      </c>
      <c r="AW15" s="494">
        <f>Data!AA14/AW$4*100000*AW$3</f>
        <v>115157.48938247949</v>
      </c>
      <c r="AX15" s="494">
        <f>Data!AB14/AX$4*100000*AX$3</f>
        <v>151028.06964551553</v>
      </c>
      <c r="AY15" s="494">
        <f>Data!AC14/AY$4*100000*AY$3</f>
        <v>165501.26194712234</v>
      </c>
      <c r="AZ15" s="494">
        <f>Data!AD14/AZ$4*100000*AZ$3</f>
        <v>244649.42643301137</v>
      </c>
      <c r="BA15" s="494">
        <f>Data!AE14/BA$4*100000*BA$3</f>
        <v>203119.92200194995</v>
      </c>
      <c r="BB15" s="494">
        <f>Data!AF14/BB$4*100000*BB$3</f>
        <v>73525.683281780846</v>
      </c>
      <c r="BC15" s="494">
        <f>Data!AG14/BC$4*100000*BC$3</f>
        <v>44054.627738395611</v>
      </c>
      <c r="BD15" s="494">
        <f>Data!AH14/BD$4*100000*BD$3</f>
        <v>69676.700111482729</v>
      </c>
    </row>
    <row r="16" spans="1:56" ht="12" customHeight="1">
      <c r="A16" s="30"/>
      <c r="B16" s="125" t="str">
        <f>UPPER(LEFT(TRIM(Data!B15),1)) &amp; MID(TRIM(Data!B15),2,50)</f>
        <v>Kitų virškinimo sistemos organų</v>
      </c>
      <c r="C16" s="125" t="str">
        <f>UPPER(LEFT(TRIM(Data!C15),1)) &amp; MID(TRIM(Data!C15),2,50)</f>
        <v>C17, C26, C48</v>
      </c>
      <c r="D16" s="126">
        <f>Data!D15</f>
        <v>33</v>
      </c>
      <c r="E16" s="127">
        <f t="shared" si="0"/>
        <v>2.4424072958406544</v>
      </c>
      <c r="F16" s="128">
        <f t="shared" si="4"/>
        <v>2.0945447735377214</v>
      </c>
      <c r="G16" s="129">
        <f t="shared" si="1"/>
        <v>1.4410839970595832</v>
      </c>
      <c r="H16" s="74"/>
      <c r="I16" s="74"/>
      <c r="J16" s="74"/>
      <c r="K16" s="74"/>
      <c r="L16" s="74"/>
      <c r="M16" s="74"/>
      <c r="N16" s="74"/>
      <c r="O16" s="60"/>
      <c r="P16" s="484"/>
      <c r="Q16" s="500" t="s">
        <v>353</v>
      </c>
      <c r="R16" s="494">
        <f t="shared" si="2"/>
        <v>209454.47735377212</v>
      </c>
      <c r="S16" s="494">
        <f>Data!Q15/S$4*100000*S$3</f>
        <v>0</v>
      </c>
      <c r="T16" s="494">
        <f>Data!R15/T$4*100000*T$3</f>
        <v>0</v>
      </c>
      <c r="U16" s="494">
        <f>Data!S15/U$4*100000*U$3</f>
        <v>0</v>
      </c>
      <c r="V16" s="494">
        <f>Data!T15/V$4*100000*V$3</f>
        <v>7840.0627205017636</v>
      </c>
      <c r="W16" s="494">
        <f>Data!U15/W$4*100000*W$3</f>
        <v>0</v>
      </c>
      <c r="X16" s="494">
        <f>Data!V15/X$4*100000*X$3</f>
        <v>0</v>
      </c>
      <c r="Y16" s="494">
        <f>Data!W15/Y$4*100000*Y$3</f>
        <v>0</v>
      </c>
      <c r="Z16" s="494">
        <f>Data!X15/Z$4*100000*Z$3</f>
        <v>0</v>
      </c>
      <c r="AA16" s="494">
        <f>Data!Y15/AA$4*100000*AA$3</f>
        <v>14212.476524034313</v>
      </c>
      <c r="AB16" s="494">
        <f>Data!Z15/AB$4*100000*AB$3</f>
        <v>6964.9662199138338</v>
      </c>
      <c r="AC16" s="494">
        <f>Data!AA15/AC$4*100000*AC$3</f>
        <v>32244.09702709426</v>
      </c>
      <c r="AD16" s="494">
        <f>Data!AB15/AD$4*100000*AD$3</f>
        <v>25890.526224945526</v>
      </c>
      <c r="AE16" s="494">
        <f>Data!AC15/AE$4*100000*AE$3</f>
        <v>13791.771828926861</v>
      </c>
      <c r="AF16" s="494">
        <f>Data!AD15/AF$4*100000*AF$3</f>
        <v>28995.487577245789</v>
      </c>
      <c r="AG16" s="494">
        <f>Data!AE15/AG$4*100000*AG$3</f>
        <v>18280.792980175494</v>
      </c>
      <c r="AH16" s="494">
        <f>Data!AF15/AH$4*100000*AH$3</f>
        <v>25353.683890269254</v>
      </c>
      <c r="AI16" s="494">
        <f>Data!AG15/AI$4*100000*AI$3</f>
        <v>8009.9323160719287</v>
      </c>
      <c r="AJ16" s="494">
        <f>Data!AH15/AJ$4*100000*AJ$3</f>
        <v>27870.680044593086</v>
      </c>
      <c r="AK16" s="500" t="s">
        <v>353</v>
      </c>
      <c r="AL16" s="494">
        <f t="shared" si="3"/>
        <v>144108.39970595832</v>
      </c>
      <c r="AM16" s="494">
        <f>Data!Q15/AM$4*100000*AM$3</f>
        <v>0</v>
      </c>
      <c r="AN16" s="494">
        <f>Data!R15/AN$4*100000*AN$3</f>
        <v>0</v>
      </c>
      <c r="AO16" s="494">
        <f>Data!S15/AO$4*100000*AO$3</f>
        <v>0</v>
      </c>
      <c r="AP16" s="494">
        <f>Data!T15/AP$4*100000*AP$3</f>
        <v>10080.080640645125</v>
      </c>
      <c r="AQ16" s="494">
        <f>Data!U15/AQ$4*100000*AQ$3</f>
        <v>0</v>
      </c>
      <c r="AR16" s="494">
        <f>Data!V15/AR$4*100000*AR$3</f>
        <v>0</v>
      </c>
      <c r="AS16" s="494">
        <f>Data!W15/AS$4*100000*AS$3</f>
        <v>0</v>
      </c>
      <c r="AT16" s="494">
        <f>Data!X15/AT$4*100000*AT$3</f>
        <v>0</v>
      </c>
      <c r="AU16" s="494">
        <f>Data!Y15/AU$4*100000*AU$3</f>
        <v>12182.122734886554</v>
      </c>
      <c r="AV16" s="494">
        <f>Data!Z15/AV$4*100000*AV$3</f>
        <v>5969.9710456404291</v>
      </c>
      <c r="AW16" s="494">
        <f>Data!AA15/AW$4*100000*AW$3</f>
        <v>23031.497876495898</v>
      </c>
      <c r="AX16" s="494">
        <f>Data!AB15/AX$4*100000*AX$3</f>
        <v>17260.350816630351</v>
      </c>
      <c r="AY16" s="494">
        <f>Data!AC15/AY$4*100000*AY$3</f>
        <v>11033.41746314149</v>
      </c>
      <c r="AZ16" s="494">
        <f>Data!AD15/AZ$4*100000*AZ$3</f>
        <v>21746.615682934342</v>
      </c>
      <c r="BA16" s="494">
        <f>Data!AE15/BA$4*100000*BA$3</f>
        <v>12187.195320116996</v>
      </c>
      <c r="BB16" s="494">
        <f>Data!AF15/BB$4*100000*BB$3</f>
        <v>12676.841945134627</v>
      </c>
      <c r="BC16" s="494">
        <f>Data!AG15/BC$4*100000*BC$3</f>
        <v>4004.9661580359643</v>
      </c>
      <c r="BD16" s="494">
        <f>Data!AH15/BD$4*100000*BD$3</f>
        <v>13935.340022296543</v>
      </c>
    </row>
    <row r="17" spans="1:56" ht="12" customHeight="1">
      <c r="A17" s="30"/>
      <c r="B17" s="130" t="str">
        <f>UPPER(LEFT(TRIM(Data!B16),1)) &amp; MID(TRIM(Data!B16),2,50)</f>
        <v>Nosies ertmės, vid.ausies ir ančių</v>
      </c>
      <c r="C17" s="130" t="str">
        <f>UPPER(LEFT(TRIM(Data!C16),1)) &amp; MID(TRIM(Data!C16),2,50)</f>
        <v>C30, C31</v>
      </c>
      <c r="D17" s="131">
        <f>Data!D16</f>
        <v>21</v>
      </c>
      <c r="E17" s="132">
        <f t="shared" si="0"/>
        <v>1.5542591882622345</v>
      </c>
      <c r="F17" s="133">
        <f t="shared" si="4"/>
        <v>1.3959824633661568</v>
      </c>
      <c r="G17" s="133">
        <f t="shared" si="1"/>
        <v>1.0317462606144374</v>
      </c>
      <c r="H17" s="74"/>
      <c r="I17" s="74"/>
      <c r="J17" s="74"/>
      <c r="K17" s="74"/>
      <c r="L17" s="74"/>
      <c r="M17" s="74"/>
      <c r="N17" s="74"/>
      <c r="O17" s="60"/>
      <c r="P17" s="484"/>
      <c r="Q17" s="500" t="s">
        <v>353</v>
      </c>
      <c r="R17" s="494">
        <f t="shared" si="2"/>
        <v>139598.24633661567</v>
      </c>
      <c r="S17" s="494">
        <f>Data!Q16/S$4*100000*S$3</f>
        <v>0</v>
      </c>
      <c r="T17" s="494">
        <f>Data!R16/T$4*100000*T$3</f>
        <v>0</v>
      </c>
      <c r="U17" s="494">
        <f>Data!S16/U$4*100000*U$3</f>
        <v>0</v>
      </c>
      <c r="V17" s="494">
        <f>Data!T16/V$4*100000*V$3</f>
        <v>0</v>
      </c>
      <c r="W17" s="494">
        <f>Data!U16/W$4*100000*W$3</f>
        <v>0</v>
      </c>
      <c r="X17" s="494">
        <f>Data!V16/X$4*100000*X$3</f>
        <v>0</v>
      </c>
      <c r="Y17" s="494">
        <f>Data!W16/Y$4*100000*Y$3</f>
        <v>0</v>
      </c>
      <c r="Z17" s="494">
        <f>Data!X16/Z$4*100000*Z$3</f>
        <v>0</v>
      </c>
      <c r="AA17" s="494">
        <f>Data!Y16/AA$4*100000*AA$3</f>
        <v>14212.476524034313</v>
      </c>
      <c r="AB17" s="494">
        <f>Data!Z16/AB$4*100000*AB$3</f>
        <v>20894.898659741499</v>
      </c>
      <c r="AC17" s="494">
        <f>Data!AA16/AC$4*100000*AC$3</f>
        <v>19346.458216256553</v>
      </c>
      <c r="AD17" s="494">
        <f>Data!AB16/AD$4*100000*AD$3</f>
        <v>19417.894668709141</v>
      </c>
      <c r="AE17" s="494">
        <f>Data!AC16/AE$4*100000*AE$3</f>
        <v>20687.657743390293</v>
      </c>
      <c r="AF17" s="494">
        <f>Data!AD16/AF$4*100000*AF$3</f>
        <v>28995.487577245789</v>
      </c>
      <c r="AG17" s="494">
        <f>Data!AE16/AG$4*100000*AG$3</f>
        <v>0</v>
      </c>
      <c r="AH17" s="494">
        <f>Data!AF16/AH$4*100000*AH$3</f>
        <v>5070.7367780538516</v>
      </c>
      <c r="AI17" s="494">
        <f>Data!AG16/AI$4*100000*AI$3</f>
        <v>4004.9661580359643</v>
      </c>
      <c r="AJ17" s="494">
        <f>Data!AH16/AJ$4*100000*AJ$3</f>
        <v>6967.6700111482714</v>
      </c>
      <c r="AK17" s="500" t="s">
        <v>353</v>
      </c>
      <c r="AL17" s="494">
        <f t="shared" si="3"/>
        <v>103174.62606144375</v>
      </c>
      <c r="AM17" s="494">
        <f>Data!Q16/AM$4*100000*AM$3</f>
        <v>0</v>
      </c>
      <c r="AN17" s="494">
        <f>Data!R16/AN$4*100000*AN$3</f>
        <v>0</v>
      </c>
      <c r="AO17" s="494">
        <f>Data!S16/AO$4*100000*AO$3</f>
        <v>0</v>
      </c>
      <c r="AP17" s="494">
        <f>Data!T16/AP$4*100000*AP$3</f>
        <v>0</v>
      </c>
      <c r="AQ17" s="494">
        <f>Data!U16/AQ$4*100000*AQ$3</f>
        <v>0</v>
      </c>
      <c r="AR17" s="494">
        <f>Data!V16/AR$4*100000*AR$3</f>
        <v>0</v>
      </c>
      <c r="AS17" s="494">
        <f>Data!W16/AS$4*100000*AS$3</f>
        <v>0</v>
      </c>
      <c r="AT17" s="494">
        <f>Data!X16/AT$4*100000*AT$3</f>
        <v>0</v>
      </c>
      <c r="AU17" s="494">
        <f>Data!Y16/AU$4*100000*AU$3</f>
        <v>12182.122734886554</v>
      </c>
      <c r="AV17" s="494">
        <f>Data!Z16/AV$4*100000*AV$3</f>
        <v>17909.913136921285</v>
      </c>
      <c r="AW17" s="494">
        <f>Data!AA16/AW$4*100000*AW$3</f>
        <v>13818.898725897538</v>
      </c>
      <c r="AX17" s="494">
        <f>Data!AB16/AX$4*100000*AX$3</f>
        <v>12945.263112472761</v>
      </c>
      <c r="AY17" s="494">
        <f>Data!AC16/AY$4*100000*AY$3</f>
        <v>16550.126194712233</v>
      </c>
      <c r="AZ17" s="494">
        <f>Data!AD16/AZ$4*100000*AZ$3</f>
        <v>21746.615682934342</v>
      </c>
      <c r="BA17" s="494">
        <f>Data!AE16/BA$4*100000*BA$3</f>
        <v>0</v>
      </c>
      <c r="BB17" s="494">
        <f>Data!AF16/BB$4*100000*BB$3</f>
        <v>2535.3683890269258</v>
      </c>
      <c r="BC17" s="494">
        <f>Data!AG16/BC$4*100000*BC$3</f>
        <v>2002.4830790179822</v>
      </c>
      <c r="BD17" s="494">
        <f>Data!AH16/BD$4*100000*BD$3</f>
        <v>3483.8350055741357</v>
      </c>
    </row>
    <row r="18" spans="1:56" ht="12" customHeight="1">
      <c r="A18" s="30"/>
      <c r="B18" s="125" t="str">
        <f>UPPER(LEFT(TRIM(Data!B17),1)) &amp; MID(TRIM(Data!B17),2,50)</f>
        <v>Gerklų</v>
      </c>
      <c r="C18" s="125" t="str">
        <f>UPPER(LEFT(TRIM(Data!C17),1)) &amp; MID(TRIM(Data!C17),2,50)</f>
        <v>C32</v>
      </c>
      <c r="D18" s="126">
        <f>Data!D17</f>
        <v>174</v>
      </c>
      <c r="E18" s="127">
        <f t="shared" si="0"/>
        <v>12.878147559887088</v>
      </c>
      <c r="F18" s="128">
        <f t="shared" si="4"/>
        <v>11.227755231902481</v>
      </c>
      <c r="G18" s="129">
        <f t="shared" si="1"/>
        <v>7.9510801647126348</v>
      </c>
      <c r="H18" s="74"/>
      <c r="I18" s="74"/>
      <c r="J18" s="74"/>
      <c r="K18" s="74"/>
      <c r="L18" s="74"/>
      <c r="M18" s="74"/>
      <c r="N18" s="74"/>
      <c r="O18" s="60"/>
      <c r="P18" s="484"/>
      <c r="Q18" s="500" t="s">
        <v>353</v>
      </c>
      <c r="R18" s="494">
        <f t="shared" si="2"/>
        <v>1122775.5231902481</v>
      </c>
      <c r="S18" s="494">
        <f>Data!Q17/S$4*100000*S$3</f>
        <v>0</v>
      </c>
      <c r="T18" s="494">
        <f>Data!R17/T$4*100000*T$3</f>
        <v>0</v>
      </c>
      <c r="U18" s="494">
        <f>Data!S17/U$4*100000*U$3</f>
        <v>0</v>
      </c>
      <c r="V18" s="494">
        <f>Data!T17/V$4*100000*V$3</f>
        <v>0</v>
      </c>
      <c r="W18" s="494">
        <f>Data!U17/W$4*100000*W$3</f>
        <v>0</v>
      </c>
      <c r="X18" s="494">
        <f>Data!V17/X$4*100000*X$3</f>
        <v>0</v>
      </c>
      <c r="Y18" s="494">
        <f>Data!W17/Y$4*100000*Y$3</f>
        <v>0</v>
      </c>
      <c r="Z18" s="494">
        <f>Data!X17/Z$4*100000*Z$3</f>
        <v>0</v>
      </c>
      <c r="AA18" s="494">
        <f>Data!Y17/AA$4*100000*AA$3</f>
        <v>7106.2382620171566</v>
      </c>
      <c r="AB18" s="494">
        <f>Data!Z17/AB$4*100000*AB$3</f>
        <v>90544.56085887982</v>
      </c>
      <c r="AC18" s="494">
        <f>Data!AA17/AC$4*100000*AC$3</f>
        <v>148322.84632463357</v>
      </c>
      <c r="AD18" s="494">
        <f>Data!AB17/AD$4*100000*AD$3</f>
        <v>200651.57824332779</v>
      </c>
      <c r="AE18" s="494">
        <f>Data!AC17/AE$4*100000*AE$3</f>
        <v>193084.80560497608</v>
      </c>
      <c r="AF18" s="494">
        <f>Data!AD17/AF$4*100000*AF$3</f>
        <v>217466.15682934344</v>
      </c>
      <c r="AG18" s="494">
        <f>Data!AE17/AG$4*100000*AG$3</f>
        <v>127965.55086122846</v>
      </c>
      <c r="AH18" s="494">
        <f>Data!AF17/AH$4*100000*AH$3</f>
        <v>55778.104558592364</v>
      </c>
      <c r="AI18" s="494">
        <f>Data!AG17/AI$4*100000*AI$3</f>
        <v>40049.661580359651</v>
      </c>
      <c r="AJ18" s="494">
        <f>Data!AH17/AJ$4*100000*AJ$3</f>
        <v>41806.020066889629</v>
      </c>
      <c r="AK18" s="500" t="s">
        <v>353</v>
      </c>
      <c r="AL18" s="494">
        <f t="shared" si="3"/>
        <v>795108.01647126349</v>
      </c>
      <c r="AM18" s="494">
        <f>Data!Q17/AM$4*100000*AM$3</f>
        <v>0</v>
      </c>
      <c r="AN18" s="494">
        <f>Data!R17/AN$4*100000*AN$3</f>
        <v>0</v>
      </c>
      <c r="AO18" s="494">
        <f>Data!S17/AO$4*100000*AO$3</f>
        <v>0</v>
      </c>
      <c r="AP18" s="494">
        <f>Data!T17/AP$4*100000*AP$3</f>
        <v>0</v>
      </c>
      <c r="AQ18" s="494">
        <f>Data!U17/AQ$4*100000*AQ$3</f>
        <v>0</v>
      </c>
      <c r="AR18" s="494">
        <f>Data!V17/AR$4*100000*AR$3</f>
        <v>0</v>
      </c>
      <c r="AS18" s="494">
        <f>Data!W17/AS$4*100000*AS$3</f>
        <v>0</v>
      </c>
      <c r="AT18" s="494">
        <f>Data!X17/AT$4*100000*AT$3</f>
        <v>0</v>
      </c>
      <c r="AU18" s="494">
        <f>Data!Y17/AU$4*100000*AU$3</f>
        <v>6091.061367443277</v>
      </c>
      <c r="AV18" s="494">
        <f>Data!Z17/AV$4*100000*AV$3</f>
        <v>77609.623593325567</v>
      </c>
      <c r="AW18" s="494">
        <f>Data!AA17/AW$4*100000*AW$3</f>
        <v>105944.89023188112</v>
      </c>
      <c r="AX18" s="494">
        <f>Data!AB17/AX$4*100000*AX$3</f>
        <v>133767.7188288852</v>
      </c>
      <c r="AY18" s="494">
        <f>Data!AC17/AY$4*100000*AY$3</f>
        <v>154467.84448398085</v>
      </c>
      <c r="AZ18" s="494">
        <f>Data!AD17/AZ$4*100000*AZ$3</f>
        <v>163099.61762200759</v>
      </c>
      <c r="BA18" s="494">
        <f>Data!AE17/BA$4*100000*BA$3</f>
        <v>85310.367240818974</v>
      </c>
      <c r="BB18" s="494">
        <f>Data!AF17/BB$4*100000*BB$3</f>
        <v>27889.052279296182</v>
      </c>
      <c r="BC18" s="494">
        <f>Data!AG17/BC$4*100000*BC$3</f>
        <v>20024.830790179825</v>
      </c>
      <c r="BD18" s="494">
        <f>Data!AH17/BD$4*100000*BD$3</f>
        <v>20903.010033444814</v>
      </c>
    </row>
    <row r="19" spans="1:56" ht="12" customHeight="1">
      <c r="A19" s="30"/>
      <c r="B19" s="130" t="str">
        <f>UPPER(LEFT(TRIM(Data!B18),1)) &amp; MID(TRIM(Data!B18),2,50)</f>
        <v>Plaučių, trachėjos, bronchų</v>
      </c>
      <c r="C19" s="130" t="str">
        <f>UPPER(LEFT(TRIM(Data!C18),1)) &amp; MID(TRIM(Data!C18),2,50)</f>
        <v>C33, C34</v>
      </c>
      <c r="D19" s="131">
        <f>Data!D18</f>
        <v>1176</v>
      </c>
      <c r="E19" s="132">
        <f t="shared" si="0"/>
        <v>87.038514542685135</v>
      </c>
      <c r="F19" s="133">
        <f t="shared" si="4"/>
        <v>73.403746329687095</v>
      </c>
      <c r="G19" s="133">
        <f t="shared" si="1"/>
        <v>50.385027920270531</v>
      </c>
      <c r="H19" s="74"/>
      <c r="I19" s="74"/>
      <c r="J19" s="74"/>
      <c r="K19" s="74"/>
      <c r="L19" s="74"/>
      <c r="M19" s="74"/>
      <c r="N19" s="74"/>
      <c r="O19" s="60"/>
      <c r="P19" s="484"/>
      <c r="Q19" s="500" t="s">
        <v>353</v>
      </c>
      <c r="R19" s="494">
        <f t="shared" si="2"/>
        <v>7340374.6329687098</v>
      </c>
      <c r="S19" s="494">
        <f>Data!Q18/S$4*100000*S$3</f>
        <v>0</v>
      </c>
      <c r="T19" s="494">
        <f>Data!R18/T$4*100000*T$3</f>
        <v>0</v>
      </c>
      <c r="U19" s="494">
        <f>Data!S18/U$4*100000*U$3</f>
        <v>0</v>
      </c>
      <c r="V19" s="494">
        <f>Data!T18/V$4*100000*V$3</f>
        <v>0</v>
      </c>
      <c r="W19" s="494">
        <f>Data!U18/W$4*100000*W$3</f>
        <v>0</v>
      </c>
      <c r="X19" s="494">
        <f>Data!V18/X$4*100000*X$3</f>
        <v>7005.6745964231022</v>
      </c>
      <c r="Y19" s="494">
        <f>Data!W18/Y$4*100000*Y$3</f>
        <v>15663.284143162415</v>
      </c>
      <c r="Z19" s="494">
        <f>Data!X18/Z$4*100000*Z$3</f>
        <v>15694.539421319911</v>
      </c>
      <c r="AA19" s="494">
        <f>Data!Y18/AA$4*100000*AA$3</f>
        <v>92381.097406223038</v>
      </c>
      <c r="AB19" s="494">
        <f>Data!Z18/AB$4*100000*AB$3</f>
        <v>181089.12171775964</v>
      </c>
      <c r="AC19" s="494">
        <f>Data!AA18/AC$4*100000*AC$3</f>
        <v>490110.27481183264</v>
      </c>
      <c r="AD19" s="494">
        <f>Data!AB18/AD$4*100000*AD$3</f>
        <v>860859.99697943858</v>
      </c>
      <c r="AE19" s="494">
        <f>Data!AC18/AE$4*100000*AE$3</f>
        <v>1482615.4716096376</v>
      </c>
      <c r="AF19" s="494">
        <f>Data!AD18/AF$4*100000*AF$3</f>
        <v>1377285.6599191751</v>
      </c>
      <c r="AG19" s="494">
        <f>Data!AE18/AG$4*100000*AG$3</f>
        <v>1304029.8992525188</v>
      </c>
      <c r="AH19" s="494">
        <f>Data!AF18/AH$4*100000*AH$3</f>
        <v>887378.9361594239</v>
      </c>
      <c r="AI19" s="494">
        <f>Data!AG18/AI$4*100000*AI$3</f>
        <v>368456.88653930876</v>
      </c>
      <c r="AJ19" s="494">
        <f>Data!AH18/AJ$4*100000*AJ$3</f>
        <v>257803.79041248609</v>
      </c>
      <c r="AK19" s="500" t="s">
        <v>353</v>
      </c>
      <c r="AL19" s="494">
        <f t="shared" si="3"/>
        <v>5038502.7920270534</v>
      </c>
      <c r="AM19" s="494">
        <f>Data!Q18/AM$4*100000*AM$3</f>
        <v>0</v>
      </c>
      <c r="AN19" s="494">
        <f>Data!R18/AN$4*100000*AN$3</f>
        <v>0</v>
      </c>
      <c r="AO19" s="494">
        <f>Data!S18/AO$4*100000*AO$3</f>
        <v>0</v>
      </c>
      <c r="AP19" s="494">
        <f>Data!T18/AP$4*100000*AP$3</f>
        <v>0</v>
      </c>
      <c r="AQ19" s="494">
        <f>Data!U18/AQ$4*100000*AQ$3</f>
        <v>0</v>
      </c>
      <c r="AR19" s="494">
        <f>Data!V18/AR$4*100000*AR$3</f>
        <v>8006.4852530549742</v>
      </c>
      <c r="AS19" s="494">
        <f>Data!W18/AS$4*100000*AS$3</f>
        <v>13425.672122710641</v>
      </c>
      <c r="AT19" s="494">
        <f>Data!X18/AT$4*100000*AT$3</f>
        <v>13452.462361131353</v>
      </c>
      <c r="AU19" s="494">
        <f>Data!Y18/AU$4*100000*AU$3</f>
        <v>79183.7977767626</v>
      </c>
      <c r="AV19" s="494">
        <f>Data!Z18/AV$4*100000*AV$3</f>
        <v>155219.24718665113</v>
      </c>
      <c r="AW19" s="494">
        <f>Data!AA18/AW$4*100000*AW$3</f>
        <v>350078.76772273763</v>
      </c>
      <c r="AX19" s="494">
        <f>Data!AB18/AX$4*100000*AX$3</f>
        <v>573906.66465295909</v>
      </c>
      <c r="AY19" s="494">
        <f>Data!AC18/AY$4*100000*AY$3</f>
        <v>1186092.3772877101</v>
      </c>
      <c r="AZ19" s="494">
        <f>Data!AD18/AZ$4*100000*AZ$3</f>
        <v>1032964.2449393813</v>
      </c>
      <c r="BA19" s="494">
        <f>Data!AE18/BA$4*100000*BA$3</f>
        <v>869353.26616834581</v>
      </c>
      <c r="BB19" s="494">
        <f>Data!AF18/BB$4*100000*BB$3</f>
        <v>443689.46807971195</v>
      </c>
      <c r="BC19" s="494">
        <f>Data!AG18/BC$4*100000*BC$3</f>
        <v>184228.44326965438</v>
      </c>
      <c r="BD19" s="494">
        <f>Data!AH18/BD$4*100000*BD$3</f>
        <v>128901.89520624305</v>
      </c>
    </row>
    <row r="20" spans="1:56" ht="12" customHeight="1">
      <c r="A20" s="30"/>
      <c r="B20" s="125" t="str">
        <f>UPPER(LEFT(TRIM(Data!B19),1)) &amp; MID(TRIM(Data!B19),2,50)</f>
        <v>Kitų kvėpavimo sistemos organų</v>
      </c>
      <c r="C20" s="125" t="str">
        <f>UPPER(LEFT(TRIM(Data!C19),1)) &amp; MID(TRIM(Data!C19),2,50)</f>
        <v>C37-C39</v>
      </c>
      <c r="D20" s="126">
        <f>Data!D19</f>
        <v>11</v>
      </c>
      <c r="E20" s="127">
        <f t="shared" si="0"/>
        <v>0.81413576528021803</v>
      </c>
      <c r="F20" s="128">
        <f t="shared" si="4"/>
        <v>0.76609156453279448</v>
      </c>
      <c r="G20" s="129">
        <f t="shared" si="1"/>
        <v>0.65175709422515449</v>
      </c>
      <c r="H20" s="74"/>
      <c r="I20" s="74"/>
      <c r="J20" s="74"/>
      <c r="K20" s="74"/>
      <c r="L20" s="74"/>
      <c r="M20" s="74"/>
      <c r="N20" s="74"/>
      <c r="O20" s="60"/>
      <c r="P20" s="484"/>
      <c r="Q20" s="500" t="s">
        <v>353</v>
      </c>
      <c r="R20" s="494">
        <f t="shared" si="2"/>
        <v>76609.156453279444</v>
      </c>
      <c r="S20" s="494">
        <f>Data!Q19/S$4*100000*S$3</f>
        <v>10356.121114836438</v>
      </c>
      <c r="T20" s="494">
        <f>Data!R19/T$4*100000*T$3</f>
        <v>0</v>
      </c>
      <c r="U20" s="494">
        <f>Data!S19/U$4*100000*U$3</f>
        <v>0</v>
      </c>
      <c r="V20" s="494">
        <f>Data!T19/V$4*100000*V$3</f>
        <v>0</v>
      </c>
      <c r="W20" s="494">
        <f>Data!U19/W$4*100000*W$3</f>
        <v>0</v>
      </c>
      <c r="X20" s="494">
        <f>Data!V19/X$4*100000*X$3</f>
        <v>0</v>
      </c>
      <c r="Y20" s="494">
        <f>Data!W19/Y$4*100000*Y$3</f>
        <v>7831.6420715812073</v>
      </c>
      <c r="Z20" s="494">
        <f>Data!X19/Z$4*100000*Z$3</f>
        <v>0</v>
      </c>
      <c r="AA20" s="494">
        <f>Data!Y19/AA$4*100000*AA$3</f>
        <v>7106.2382620171566</v>
      </c>
      <c r="AB20" s="494">
        <f>Data!Z19/AB$4*100000*AB$3</f>
        <v>6964.9662199138338</v>
      </c>
      <c r="AC20" s="494">
        <f>Data!AA19/AC$4*100000*AC$3</f>
        <v>6448.8194054188498</v>
      </c>
      <c r="AD20" s="494">
        <f>Data!AB19/AD$4*100000*AD$3</f>
        <v>12945.263112472763</v>
      </c>
      <c r="AE20" s="494">
        <f>Data!AC19/AE$4*100000*AE$3</f>
        <v>13791.771828926861</v>
      </c>
      <c r="AF20" s="494">
        <f>Data!AD19/AF$4*100000*AF$3</f>
        <v>0</v>
      </c>
      <c r="AG20" s="494">
        <f>Data!AE19/AG$4*100000*AG$3</f>
        <v>6093.5976600584981</v>
      </c>
      <c r="AH20" s="494">
        <f>Data!AF19/AH$4*100000*AH$3</f>
        <v>5070.7367780538516</v>
      </c>
      <c r="AI20" s="494">
        <f>Data!AG19/AI$4*100000*AI$3</f>
        <v>0</v>
      </c>
      <c r="AJ20" s="494">
        <f>Data!AH19/AJ$4*100000*AJ$3</f>
        <v>0</v>
      </c>
      <c r="AK20" s="500" t="s">
        <v>353</v>
      </c>
      <c r="AL20" s="494">
        <f t="shared" si="3"/>
        <v>65175.709422515443</v>
      </c>
      <c r="AM20" s="494">
        <f>Data!Q19/AM$4*100000*AM$3</f>
        <v>15534.181672254659</v>
      </c>
      <c r="AN20" s="494">
        <f>Data!R19/AN$4*100000*AN$3</f>
        <v>0</v>
      </c>
      <c r="AO20" s="494">
        <f>Data!S19/AO$4*100000*AO$3</f>
        <v>0</v>
      </c>
      <c r="AP20" s="494">
        <f>Data!T19/AP$4*100000*AP$3</f>
        <v>0</v>
      </c>
      <c r="AQ20" s="494">
        <f>Data!U19/AQ$4*100000*AQ$3</f>
        <v>0</v>
      </c>
      <c r="AR20" s="494">
        <f>Data!V19/AR$4*100000*AR$3</f>
        <v>0</v>
      </c>
      <c r="AS20" s="494">
        <f>Data!W19/AS$4*100000*AS$3</f>
        <v>6712.8360613553205</v>
      </c>
      <c r="AT20" s="494">
        <f>Data!X19/AT$4*100000*AT$3</f>
        <v>0</v>
      </c>
      <c r="AU20" s="494">
        <f>Data!Y19/AU$4*100000*AU$3</f>
        <v>6091.061367443277</v>
      </c>
      <c r="AV20" s="494">
        <f>Data!Z19/AV$4*100000*AV$3</f>
        <v>5969.9710456404291</v>
      </c>
      <c r="AW20" s="494">
        <f>Data!AA19/AW$4*100000*AW$3</f>
        <v>4606.2995752991783</v>
      </c>
      <c r="AX20" s="494">
        <f>Data!AB19/AX$4*100000*AX$3</f>
        <v>8630.1754083151754</v>
      </c>
      <c r="AY20" s="494">
        <f>Data!AC19/AY$4*100000*AY$3</f>
        <v>11033.41746314149</v>
      </c>
      <c r="AZ20" s="494">
        <f>Data!AD19/AZ$4*100000*AZ$3</f>
        <v>0</v>
      </c>
      <c r="BA20" s="494">
        <f>Data!AE19/BA$4*100000*BA$3</f>
        <v>4062.3984400389991</v>
      </c>
      <c r="BB20" s="494">
        <f>Data!AF19/BB$4*100000*BB$3</f>
        <v>2535.3683890269258</v>
      </c>
      <c r="BC20" s="494">
        <f>Data!AG19/BC$4*100000*BC$3</f>
        <v>0</v>
      </c>
      <c r="BD20" s="494">
        <f>Data!AH19/BD$4*100000*BD$3</f>
        <v>0</v>
      </c>
    </row>
    <row r="21" spans="1:56" ht="12" customHeight="1">
      <c r="A21" s="30"/>
      <c r="B21" s="130" t="str">
        <f>UPPER(LEFT(TRIM(Data!B20),1)) &amp; MID(TRIM(Data!B20),2,50)</f>
        <v>Kaulų ir jungiamojo audinio</v>
      </c>
      <c r="C21" s="130" t="str">
        <f>UPPER(LEFT(TRIM(Data!C20),1)) &amp; MID(TRIM(Data!C20),2,50)</f>
        <v>C40-C41, C45-C47, C49</v>
      </c>
      <c r="D21" s="131">
        <f>Data!D20</f>
        <v>62</v>
      </c>
      <c r="E21" s="132">
        <f t="shared" si="0"/>
        <v>4.5887652224885027</v>
      </c>
      <c r="F21" s="133">
        <f t="shared" si="4"/>
        <v>4.2689252836499572</v>
      </c>
      <c r="G21" s="133">
        <f t="shared" si="1"/>
        <v>3.7426020937379687</v>
      </c>
      <c r="H21" s="74"/>
      <c r="I21" s="74"/>
      <c r="J21" s="74"/>
      <c r="K21" s="74"/>
      <c r="L21" s="74"/>
      <c r="M21" s="74"/>
      <c r="N21" s="74"/>
      <c r="O21" s="60"/>
      <c r="P21" s="484"/>
      <c r="Q21" s="500" t="s">
        <v>353</v>
      </c>
      <c r="R21" s="494">
        <f t="shared" si="2"/>
        <v>426892.52836499573</v>
      </c>
      <c r="S21" s="494">
        <f>Data!Q20/S$4*100000*S$3</f>
        <v>41424.484459345753</v>
      </c>
      <c r="T21" s="494">
        <f>Data!R20/T$4*100000*T$3</f>
        <v>20019.447463250013</v>
      </c>
      <c r="U21" s="494">
        <f>Data!S20/U$4*100000*U$3</f>
        <v>9721.9521679953341</v>
      </c>
      <c r="V21" s="494">
        <f>Data!T20/V$4*100000*V$3</f>
        <v>7840.0627205017636</v>
      </c>
      <c r="W21" s="494">
        <f>Data!U20/W$4*100000*W$3</f>
        <v>0</v>
      </c>
      <c r="X21" s="494">
        <f>Data!V20/X$4*100000*X$3</f>
        <v>21017.023789269308</v>
      </c>
      <c r="Y21" s="494">
        <f>Data!W20/Y$4*100000*Y$3</f>
        <v>31326.568286324829</v>
      </c>
      <c r="Z21" s="494">
        <f>Data!X20/Z$4*100000*Z$3</f>
        <v>31389.078842639821</v>
      </c>
      <c r="AA21" s="494">
        <f>Data!Y20/AA$4*100000*AA$3</f>
        <v>21318.714786051467</v>
      </c>
      <c r="AB21" s="494">
        <f>Data!Z20/AB$4*100000*AB$3</f>
        <v>27859.864879655335</v>
      </c>
      <c r="AC21" s="494">
        <f>Data!AA20/AC$4*100000*AC$3</f>
        <v>38692.916432513106</v>
      </c>
      <c r="AD21" s="494">
        <f>Data!AB20/AD$4*100000*AD$3</f>
        <v>32363.157781181901</v>
      </c>
      <c r="AE21" s="494">
        <f>Data!AC20/AE$4*100000*AE$3</f>
        <v>34479.429572317153</v>
      </c>
      <c r="AF21" s="494">
        <f>Data!AD20/AF$4*100000*AF$3</f>
        <v>21746.615682934345</v>
      </c>
      <c r="AG21" s="494">
        <f>Data!AE20/AG$4*100000*AG$3</f>
        <v>24374.390640233993</v>
      </c>
      <c r="AH21" s="494">
        <f>Data!AF20/AH$4*100000*AH$3</f>
        <v>25353.683890269254</v>
      </c>
      <c r="AI21" s="494">
        <f>Data!AG20/AI$4*100000*AI$3</f>
        <v>24029.796948215786</v>
      </c>
      <c r="AJ21" s="494">
        <f>Data!AH20/AJ$4*100000*AJ$3</f>
        <v>13935.340022296543</v>
      </c>
      <c r="AK21" s="500" t="s">
        <v>353</v>
      </c>
      <c r="AL21" s="494">
        <f t="shared" si="3"/>
        <v>374260.20937379688</v>
      </c>
      <c r="AM21" s="494">
        <f>Data!Q20/AM$4*100000*AM$3</f>
        <v>62136.726689018637</v>
      </c>
      <c r="AN21" s="494">
        <f>Data!R20/AN$4*100000*AN$3</f>
        <v>28599.210661785732</v>
      </c>
      <c r="AO21" s="494">
        <f>Data!S20/AO$4*100000*AO$3</f>
        <v>12499.652787422572</v>
      </c>
      <c r="AP21" s="494">
        <f>Data!T20/AP$4*100000*AP$3</f>
        <v>10080.080640645125</v>
      </c>
      <c r="AQ21" s="494">
        <f>Data!U20/AQ$4*100000*AQ$3</f>
        <v>0</v>
      </c>
      <c r="AR21" s="494">
        <f>Data!V20/AR$4*100000*AR$3</f>
        <v>24019.455759164925</v>
      </c>
      <c r="AS21" s="494">
        <f>Data!W20/AS$4*100000*AS$3</f>
        <v>26851.344245421282</v>
      </c>
      <c r="AT21" s="494">
        <f>Data!X20/AT$4*100000*AT$3</f>
        <v>26904.924722262705</v>
      </c>
      <c r="AU21" s="494">
        <f>Data!Y20/AU$4*100000*AU$3</f>
        <v>18273.184102329829</v>
      </c>
      <c r="AV21" s="494">
        <f>Data!Z20/AV$4*100000*AV$3</f>
        <v>23879.884182561716</v>
      </c>
      <c r="AW21" s="494">
        <f>Data!AA20/AW$4*100000*AW$3</f>
        <v>27637.797451795075</v>
      </c>
      <c r="AX21" s="494">
        <f>Data!AB20/AX$4*100000*AX$3</f>
        <v>21575.438520787935</v>
      </c>
      <c r="AY21" s="494">
        <f>Data!AC20/AY$4*100000*AY$3</f>
        <v>27583.543657853723</v>
      </c>
      <c r="AZ21" s="494">
        <f>Data!AD20/AZ$4*100000*AZ$3</f>
        <v>16309.961762200757</v>
      </c>
      <c r="BA21" s="494">
        <f>Data!AE20/BA$4*100000*BA$3</f>
        <v>16249.593760155996</v>
      </c>
      <c r="BB21" s="494">
        <f>Data!AF20/BB$4*100000*BB$3</f>
        <v>12676.841945134627</v>
      </c>
      <c r="BC21" s="494">
        <f>Data!AG20/BC$4*100000*BC$3</f>
        <v>12014.898474107893</v>
      </c>
      <c r="BD21" s="494">
        <f>Data!AH20/BD$4*100000*BD$3</f>
        <v>6967.6700111482714</v>
      </c>
    </row>
    <row r="22" spans="1:56" ht="12" customHeight="1">
      <c r="A22" s="30"/>
      <c r="B22" s="125" t="str">
        <f>UPPER(LEFT(TRIM(Data!B21),1)) &amp; MID(TRIM(Data!B21),2,50)</f>
        <v>Odos melanoma</v>
      </c>
      <c r="C22" s="125" t="str">
        <f>UPPER(LEFT(TRIM(Data!C21),1)) &amp; MID(TRIM(Data!C21),2,50)</f>
        <v>C43</v>
      </c>
      <c r="D22" s="126">
        <f>Data!D21</f>
        <v>108</v>
      </c>
      <c r="E22" s="127">
        <f t="shared" si="0"/>
        <v>7.9933329682057783</v>
      </c>
      <c r="F22" s="128">
        <f t="shared" si="4"/>
        <v>6.8452815229353918</v>
      </c>
      <c r="G22" s="129">
        <f t="shared" si="1"/>
        <v>4.8801322381164445</v>
      </c>
      <c r="H22" s="74"/>
      <c r="I22" s="74"/>
      <c r="J22" s="74"/>
      <c r="K22" s="74"/>
      <c r="L22" s="74"/>
      <c r="M22" s="74"/>
      <c r="N22" s="74"/>
      <c r="O22" s="60"/>
      <c r="P22" s="484"/>
      <c r="Q22" s="500" t="s">
        <v>353</v>
      </c>
      <c r="R22" s="494">
        <f t="shared" si="2"/>
        <v>684528.15229353914</v>
      </c>
      <c r="S22" s="494">
        <f>Data!Q21/S$4*100000*S$3</f>
        <v>0</v>
      </c>
      <c r="T22" s="494">
        <f>Data!R21/T$4*100000*T$3</f>
        <v>0</v>
      </c>
      <c r="U22" s="494">
        <f>Data!S21/U$4*100000*U$3</f>
        <v>0</v>
      </c>
      <c r="V22" s="494">
        <f>Data!T21/V$4*100000*V$3</f>
        <v>7840.0627205017636</v>
      </c>
      <c r="W22" s="494">
        <f>Data!U21/W$4*100000*W$3</f>
        <v>0</v>
      </c>
      <c r="X22" s="494">
        <f>Data!V21/X$4*100000*X$3</f>
        <v>7005.6745964231022</v>
      </c>
      <c r="Y22" s="494">
        <f>Data!W21/Y$4*100000*Y$3</f>
        <v>7831.6420715812073</v>
      </c>
      <c r="Z22" s="494">
        <f>Data!X21/Z$4*100000*Z$3</f>
        <v>54930.887974619691</v>
      </c>
      <c r="AA22" s="494">
        <f>Data!Y21/AA$4*100000*AA$3</f>
        <v>35531.191310085778</v>
      </c>
      <c r="AB22" s="494">
        <f>Data!Z21/AB$4*100000*AB$3</f>
        <v>48754.76353939683</v>
      </c>
      <c r="AC22" s="494">
        <f>Data!AA21/AC$4*100000*AC$3</f>
        <v>77385.832865026212</v>
      </c>
      <c r="AD22" s="494">
        <f>Data!AB21/AD$4*100000*AD$3</f>
        <v>71198.94711860019</v>
      </c>
      <c r="AE22" s="494">
        <f>Data!AC21/AE$4*100000*AE$3</f>
        <v>82750.630973561172</v>
      </c>
      <c r="AF22" s="494">
        <f>Data!AD21/AF$4*100000*AF$3</f>
        <v>72488.71894311448</v>
      </c>
      <c r="AG22" s="494">
        <f>Data!AE21/AG$4*100000*AG$3</f>
        <v>67029.57426064348</v>
      </c>
      <c r="AH22" s="494">
        <f>Data!AF21/AH$4*100000*AH$3</f>
        <v>65919.578114700053</v>
      </c>
      <c r="AI22" s="494">
        <f>Data!AG21/AI$4*100000*AI$3</f>
        <v>44054.627738395611</v>
      </c>
      <c r="AJ22" s="494">
        <f>Data!AH21/AJ$4*100000*AJ$3</f>
        <v>41806.020066889629</v>
      </c>
      <c r="AK22" s="500" t="s">
        <v>353</v>
      </c>
      <c r="AL22" s="494">
        <f t="shared" si="3"/>
        <v>488013.22381164448</v>
      </c>
      <c r="AM22" s="494">
        <f>Data!Q21/AM$4*100000*AM$3</f>
        <v>0</v>
      </c>
      <c r="AN22" s="494">
        <f>Data!R21/AN$4*100000*AN$3</f>
        <v>0</v>
      </c>
      <c r="AO22" s="494">
        <f>Data!S21/AO$4*100000*AO$3</f>
        <v>0</v>
      </c>
      <c r="AP22" s="494">
        <f>Data!T21/AP$4*100000*AP$3</f>
        <v>10080.080640645125</v>
      </c>
      <c r="AQ22" s="494">
        <f>Data!U21/AQ$4*100000*AQ$3</f>
        <v>0</v>
      </c>
      <c r="AR22" s="494">
        <f>Data!V21/AR$4*100000*AR$3</f>
        <v>8006.4852530549742</v>
      </c>
      <c r="AS22" s="494">
        <f>Data!W21/AS$4*100000*AS$3</f>
        <v>6712.8360613553205</v>
      </c>
      <c r="AT22" s="494">
        <f>Data!X21/AT$4*100000*AT$3</f>
        <v>47083.618263959732</v>
      </c>
      <c r="AU22" s="494">
        <f>Data!Y21/AU$4*100000*AU$3</f>
        <v>30455.306837216383</v>
      </c>
      <c r="AV22" s="494">
        <f>Data!Z21/AV$4*100000*AV$3</f>
        <v>41789.797319482997</v>
      </c>
      <c r="AW22" s="494">
        <f>Data!AA21/AW$4*100000*AW$3</f>
        <v>55275.59490359015</v>
      </c>
      <c r="AX22" s="494">
        <f>Data!AB21/AX$4*100000*AX$3</f>
        <v>47465.964745733458</v>
      </c>
      <c r="AY22" s="494">
        <f>Data!AC21/AY$4*100000*AY$3</f>
        <v>66200.504778848932</v>
      </c>
      <c r="AZ22" s="494">
        <f>Data!AD21/AZ$4*100000*AZ$3</f>
        <v>54366.53920733586</v>
      </c>
      <c r="BA22" s="494">
        <f>Data!AE21/BA$4*100000*BA$3</f>
        <v>44686.382840428989</v>
      </c>
      <c r="BB22" s="494">
        <f>Data!AF21/BB$4*100000*BB$3</f>
        <v>32959.789057350026</v>
      </c>
      <c r="BC22" s="494">
        <f>Data!AG21/BC$4*100000*BC$3</f>
        <v>22027.313869197806</v>
      </c>
      <c r="BD22" s="494">
        <f>Data!AH21/BD$4*100000*BD$3</f>
        <v>20903.010033444814</v>
      </c>
    </row>
    <row r="23" spans="1:56" ht="12" customHeight="1">
      <c r="A23" s="30"/>
      <c r="B23" s="130" t="str">
        <f>UPPER(LEFT(TRIM(Data!B22),1)) &amp; MID(TRIM(Data!B22),2,50)</f>
        <v>Kiti odos piktybiniai navikai</v>
      </c>
      <c r="C23" s="130" t="str">
        <f>UPPER(LEFT(TRIM(Data!C22),1)) &amp; MID(TRIM(Data!C22),2,50)</f>
        <v>C44</v>
      </c>
      <c r="D23" s="131">
        <f>Data!D22</f>
        <v>867</v>
      </c>
      <c r="E23" s="132">
        <f t="shared" si="0"/>
        <v>64.168700772540831</v>
      </c>
      <c r="F23" s="133">
        <f t="shared" si="4"/>
        <v>52.696623458127583</v>
      </c>
      <c r="G23" s="133">
        <f t="shared" si="1"/>
        <v>34.911263685445761</v>
      </c>
      <c r="H23" s="74"/>
      <c r="I23" s="74"/>
      <c r="J23" s="74"/>
      <c r="K23" s="74"/>
      <c r="L23" s="74"/>
      <c r="M23" s="74"/>
      <c r="N23" s="74"/>
      <c r="O23" s="60"/>
      <c r="P23" s="484"/>
      <c r="Q23" s="500" t="s">
        <v>353</v>
      </c>
      <c r="R23" s="494">
        <f t="shared" si="2"/>
        <v>5269662.3458127584</v>
      </c>
      <c r="S23" s="494">
        <f>Data!Q22/S$4*100000*S$3</f>
        <v>0</v>
      </c>
      <c r="T23" s="494">
        <f>Data!R22/T$4*100000*T$3</f>
        <v>0</v>
      </c>
      <c r="U23" s="494">
        <f>Data!S22/U$4*100000*U$3</f>
        <v>0</v>
      </c>
      <c r="V23" s="494">
        <f>Data!T22/V$4*100000*V$3</f>
        <v>7840.0627205017636</v>
      </c>
      <c r="W23" s="494">
        <f>Data!U22/W$4*100000*W$3</f>
        <v>19405.095223574419</v>
      </c>
      <c r="X23" s="494">
        <f>Data!V22/X$4*100000*X$3</f>
        <v>21017.023789269308</v>
      </c>
      <c r="Y23" s="494">
        <f>Data!W22/Y$4*100000*Y$3</f>
        <v>62653.136572649659</v>
      </c>
      <c r="Z23" s="494">
        <f>Data!X22/Z$4*100000*Z$3</f>
        <v>78472.697106599546</v>
      </c>
      <c r="AA23" s="494">
        <f>Data!Y22/AA$4*100000*AA$3</f>
        <v>127912.28871630883</v>
      </c>
      <c r="AB23" s="494">
        <f>Data!Z22/AB$4*100000*AB$3</f>
        <v>160194.22305801819</v>
      </c>
      <c r="AC23" s="494">
        <f>Data!AA22/AC$4*100000*AC$3</f>
        <v>245055.13740591632</v>
      </c>
      <c r="AD23" s="494">
        <f>Data!AB22/AD$4*100000*AD$3</f>
        <v>569591.57694880152</v>
      </c>
      <c r="AE23" s="494">
        <f>Data!AC22/AE$4*100000*AE$3</f>
        <v>641317.39004509908</v>
      </c>
      <c r="AF23" s="494">
        <f>Data!AD22/AF$4*100000*AF$3</f>
        <v>775629.29269132484</v>
      </c>
      <c r="AG23" s="494">
        <f>Data!AE22/AG$4*100000*AG$3</f>
        <v>822635.68410789734</v>
      </c>
      <c r="AH23" s="494">
        <f>Data!AF22/AH$4*100000*AH$3</f>
        <v>831600.83160083159</v>
      </c>
      <c r="AI23" s="494">
        <f>Data!AG22/AI$4*100000*AI$3</f>
        <v>432536.34506788419</v>
      </c>
      <c r="AJ23" s="494">
        <f>Data!AH22/AJ$4*100000*AJ$3</f>
        <v>473801.56075808249</v>
      </c>
      <c r="AK23" s="500" t="s">
        <v>353</v>
      </c>
      <c r="AL23" s="494">
        <f t="shared" si="3"/>
        <v>3491126.3685445762</v>
      </c>
      <c r="AM23" s="494">
        <f>Data!Q22/AM$4*100000*AM$3</f>
        <v>0</v>
      </c>
      <c r="AN23" s="494">
        <f>Data!R22/AN$4*100000*AN$3</f>
        <v>0</v>
      </c>
      <c r="AO23" s="494">
        <f>Data!S22/AO$4*100000*AO$3</f>
        <v>0</v>
      </c>
      <c r="AP23" s="494">
        <f>Data!T22/AP$4*100000*AP$3</f>
        <v>10080.080640645125</v>
      </c>
      <c r="AQ23" s="494">
        <f>Data!U22/AQ$4*100000*AQ$3</f>
        <v>22177.251684085051</v>
      </c>
      <c r="AR23" s="494">
        <f>Data!V22/AR$4*100000*AR$3</f>
        <v>24019.455759164925</v>
      </c>
      <c r="AS23" s="494">
        <f>Data!W22/AS$4*100000*AS$3</f>
        <v>53702.688490842564</v>
      </c>
      <c r="AT23" s="494">
        <f>Data!X22/AT$4*100000*AT$3</f>
        <v>67262.311805656762</v>
      </c>
      <c r="AU23" s="494">
        <f>Data!Y22/AU$4*100000*AU$3</f>
        <v>109639.104613979</v>
      </c>
      <c r="AV23" s="494">
        <f>Data!Z22/AV$4*100000*AV$3</f>
        <v>137309.33404972986</v>
      </c>
      <c r="AW23" s="494">
        <f>Data!AA22/AW$4*100000*AW$3</f>
        <v>175039.38386136881</v>
      </c>
      <c r="AX23" s="494">
        <f>Data!AB22/AX$4*100000*AX$3</f>
        <v>379727.71796586766</v>
      </c>
      <c r="AY23" s="494">
        <f>Data!AC22/AY$4*100000*AY$3</f>
        <v>513053.91203607927</v>
      </c>
      <c r="AZ23" s="494">
        <f>Data!AD22/AZ$4*100000*AZ$3</f>
        <v>581721.96951849363</v>
      </c>
      <c r="BA23" s="494">
        <f>Data!AE22/BA$4*100000*BA$3</f>
        <v>548423.78940526489</v>
      </c>
      <c r="BB23" s="494">
        <f>Data!AF22/BB$4*100000*BB$3</f>
        <v>415800.41580041579</v>
      </c>
      <c r="BC23" s="494">
        <f>Data!AG22/BC$4*100000*BC$3</f>
        <v>216268.1725339421</v>
      </c>
      <c r="BD23" s="494">
        <f>Data!AH22/BD$4*100000*BD$3</f>
        <v>236900.78037904124</v>
      </c>
    </row>
    <row r="24" spans="1:56" ht="12" customHeight="1">
      <c r="A24" s="30"/>
      <c r="B24" s="125" t="str">
        <f>UPPER(LEFT(TRIM(Data!B23),1)) &amp; MID(TRIM(Data!B23),2,50)</f>
        <v>Krūties</v>
      </c>
      <c r="C24" s="125" t="str">
        <f>UPPER(LEFT(TRIM(Data!C23),1)) &amp; MID(TRIM(Data!C23),2,50)</f>
        <v>C50</v>
      </c>
      <c r="D24" s="126">
        <f>Data!D23</f>
        <v>14</v>
      </c>
      <c r="E24" s="127">
        <f t="shared" si="0"/>
        <v>1.0361727921748232</v>
      </c>
      <c r="F24" s="128">
        <f t="shared" si="4"/>
        <v>0.8639643376962387</v>
      </c>
      <c r="G24" s="129">
        <f t="shared" si="1"/>
        <v>0.572270813219109</v>
      </c>
      <c r="H24" s="74"/>
      <c r="I24" s="74"/>
      <c r="J24" s="74"/>
      <c r="K24" s="74"/>
      <c r="L24" s="74"/>
      <c r="M24" s="74"/>
      <c r="N24" s="74"/>
      <c r="O24" s="60"/>
      <c r="P24" s="484"/>
      <c r="Q24" s="500" t="s">
        <v>353</v>
      </c>
      <c r="R24" s="494">
        <f t="shared" si="2"/>
        <v>86396.433769623865</v>
      </c>
      <c r="S24" s="494">
        <f>Data!Q23/S$4*100000*S$3</f>
        <v>0</v>
      </c>
      <c r="T24" s="494">
        <f>Data!R23/T$4*100000*T$3</f>
        <v>0</v>
      </c>
      <c r="U24" s="494">
        <f>Data!S23/U$4*100000*U$3</f>
        <v>0</v>
      </c>
      <c r="V24" s="494">
        <f>Data!T23/V$4*100000*V$3</f>
        <v>0</v>
      </c>
      <c r="W24" s="494">
        <f>Data!U23/W$4*100000*W$3</f>
        <v>0</v>
      </c>
      <c r="X24" s="494">
        <f>Data!V23/X$4*100000*X$3</f>
        <v>0</v>
      </c>
      <c r="Y24" s="494">
        <f>Data!W23/Y$4*100000*Y$3</f>
        <v>0</v>
      </c>
      <c r="Z24" s="494">
        <f>Data!X23/Z$4*100000*Z$3</f>
        <v>7847.2697106599553</v>
      </c>
      <c r="AA24" s="494">
        <f>Data!Y23/AA$4*100000*AA$3</f>
        <v>0</v>
      </c>
      <c r="AB24" s="494">
        <f>Data!Z23/AB$4*100000*AB$3</f>
        <v>0</v>
      </c>
      <c r="AC24" s="494">
        <f>Data!AA23/AC$4*100000*AC$3</f>
        <v>6448.8194054188498</v>
      </c>
      <c r="AD24" s="494">
        <f>Data!AB23/AD$4*100000*AD$3</f>
        <v>12945.263112472763</v>
      </c>
      <c r="AE24" s="494">
        <f>Data!AC23/AE$4*100000*AE$3</f>
        <v>0</v>
      </c>
      <c r="AF24" s="494">
        <f>Data!AD23/AF$4*100000*AF$3</f>
        <v>14497.743788622894</v>
      </c>
      <c r="AG24" s="494">
        <f>Data!AE23/AG$4*100000*AG$3</f>
        <v>24374.390640233993</v>
      </c>
      <c r="AH24" s="494">
        <f>Data!AF23/AH$4*100000*AH$3</f>
        <v>20282.947112215406</v>
      </c>
      <c r="AI24" s="494">
        <f>Data!AG23/AI$4*100000*AI$3</f>
        <v>0</v>
      </c>
      <c r="AJ24" s="494">
        <f>Data!AH23/AJ$4*100000*AJ$3</f>
        <v>0</v>
      </c>
      <c r="AK24" s="500" t="s">
        <v>353</v>
      </c>
      <c r="AL24" s="494">
        <f t="shared" si="3"/>
        <v>57227.081321910904</v>
      </c>
      <c r="AM24" s="494">
        <f>Data!Q23/AM$4*100000*AM$3</f>
        <v>0</v>
      </c>
      <c r="AN24" s="494">
        <f>Data!R23/AN$4*100000*AN$3</f>
        <v>0</v>
      </c>
      <c r="AO24" s="494">
        <f>Data!S23/AO$4*100000*AO$3</f>
        <v>0</v>
      </c>
      <c r="AP24" s="494">
        <f>Data!T23/AP$4*100000*AP$3</f>
        <v>0</v>
      </c>
      <c r="AQ24" s="494">
        <f>Data!U23/AQ$4*100000*AQ$3</f>
        <v>0</v>
      </c>
      <c r="AR24" s="494">
        <f>Data!V23/AR$4*100000*AR$3</f>
        <v>0</v>
      </c>
      <c r="AS24" s="494">
        <f>Data!W23/AS$4*100000*AS$3</f>
        <v>0</v>
      </c>
      <c r="AT24" s="494">
        <f>Data!X23/AT$4*100000*AT$3</f>
        <v>6726.2311805656764</v>
      </c>
      <c r="AU24" s="494">
        <f>Data!Y23/AU$4*100000*AU$3</f>
        <v>0</v>
      </c>
      <c r="AV24" s="494">
        <f>Data!Z23/AV$4*100000*AV$3</f>
        <v>0</v>
      </c>
      <c r="AW24" s="494">
        <f>Data!AA23/AW$4*100000*AW$3</f>
        <v>4606.2995752991783</v>
      </c>
      <c r="AX24" s="494">
        <f>Data!AB23/AX$4*100000*AX$3</f>
        <v>8630.1754083151754</v>
      </c>
      <c r="AY24" s="494">
        <f>Data!AC23/AY$4*100000*AY$3</f>
        <v>0</v>
      </c>
      <c r="AZ24" s="494">
        <f>Data!AD23/AZ$4*100000*AZ$3</f>
        <v>10873.307841467171</v>
      </c>
      <c r="BA24" s="494">
        <f>Data!AE23/BA$4*100000*BA$3</f>
        <v>16249.593760155996</v>
      </c>
      <c r="BB24" s="494">
        <f>Data!AF23/BB$4*100000*BB$3</f>
        <v>10141.473556107703</v>
      </c>
      <c r="BC24" s="494">
        <f>Data!AG23/BC$4*100000*BC$3</f>
        <v>0</v>
      </c>
      <c r="BD24" s="494">
        <f>Data!AH23/BD$4*100000*BD$3</f>
        <v>0</v>
      </c>
    </row>
    <row r="25" spans="1:56" ht="12" customHeight="1">
      <c r="A25" s="30"/>
      <c r="B25" s="130" t="str">
        <f>UPPER(LEFT(TRIM(Data!B28),1)) &amp; MID(TRIM(Data!B28),2,50)</f>
        <v>Priešinės liaukos</v>
      </c>
      <c r="C25" s="130" t="str">
        <f>UPPER(LEFT(TRIM(Data!C28),1)) &amp; MID(TRIM(Data!C28),2,50)</f>
        <v>C61</v>
      </c>
      <c r="D25" s="131">
        <f>Data!D28</f>
        <v>3230</v>
      </c>
      <c r="E25" s="132">
        <f t="shared" si="0"/>
        <v>239.05986562319134</v>
      </c>
      <c r="F25" s="133">
        <f t="shared" si="4"/>
        <v>205.37094050324191</v>
      </c>
      <c r="G25" s="133">
        <f t="shared" si="1"/>
        <v>142.39634545116377</v>
      </c>
      <c r="H25" s="74"/>
      <c r="I25" s="74"/>
      <c r="J25" s="74"/>
      <c r="K25" s="74"/>
      <c r="L25" s="74"/>
      <c r="M25" s="74"/>
      <c r="N25" s="74"/>
      <c r="O25" s="58"/>
      <c r="P25" s="484"/>
      <c r="Q25" s="500" t="s">
        <v>353</v>
      </c>
      <c r="R25" s="494">
        <f t="shared" si="2"/>
        <v>20537094.05032419</v>
      </c>
      <c r="S25" s="494">
        <f>Data!Q28/S$4*100000*S$3</f>
        <v>0</v>
      </c>
      <c r="T25" s="494">
        <f>Data!R28/T$4*100000*T$3</f>
        <v>0</v>
      </c>
      <c r="U25" s="494">
        <f>Data!S28/U$4*100000*U$3</f>
        <v>0</v>
      </c>
      <c r="V25" s="494">
        <f>Data!T28/V$4*100000*V$3</f>
        <v>0</v>
      </c>
      <c r="W25" s="494">
        <f>Data!U28/W$4*100000*W$3</f>
        <v>0</v>
      </c>
      <c r="X25" s="494">
        <f>Data!V28/X$4*100000*X$3</f>
        <v>0</v>
      </c>
      <c r="Y25" s="494">
        <f>Data!W28/Y$4*100000*Y$3</f>
        <v>0</v>
      </c>
      <c r="Z25" s="494">
        <f>Data!X28/Z$4*100000*Z$3</f>
        <v>0</v>
      </c>
      <c r="AA25" s="494">
        <f>Data!Y28/AA$4*100000*AA$3</f>
        <v>56849.906096137252</v>
      </c>
      <c r="AB25" s="494">
        <f>Data!Z28/AB$4*100000*AB$3</f>
        <v>201984.02037750115</v>
      </c>
      <c r="AC25" s="494">
        <f>Data!AA28/AC$4*100000*AC$3</f>
        <v>1863708.8081660478</v>
      </c>
      <c r="AD25" s="494">
        <f>Data!AB28/AD$4*100000*AD$3</f>
        <v>2970937.8843124988</v>
      </c>
      <c r="AE25" s="494">
        <f>Data!AC28/AE$4*100000*AE$3</f>
        <v>3978926.1726453998</v>
      </c>
      <c r="AF25" s="494">
        <f>Data!AD28/AF$4*100000*AF$3</f>
        <v>4574038.1653105235</v>
      </c>
      <c r="AG25" s="494">
        <f>Data!AE28/AG$4*100000*AG$3</f>
        <v>3881621.7094572638</v>
      </c>
      <c r="AH25" s="494">
        <f>Data!AF28/AH$4*100000*AH$3</f>
        <v>1516150.2966381016</v>
      </c>
      <c r="AI25" s="494">
        <f>Data!AG28/AI$4*100000*AI$3</f>
        <v>817013.09623933677</v>
      </c>
      <c r="AJ25" s="494">
        <f>Data!AH28/AJ$4*100000*AJ$3</f>
        <v>675863.99108138238</v>
      </c>
      <c r="AK25" s="500" t="s">
        <v>353</v>
      </c>
      <c r="AL25" s="494">
        <f t="shared" si="3"/>
        <v>14239634.545116378</v>
      </c>
      <c r="AM25" s="494">
        <f>Data!Q28/AM$4*100000*AM$3</f>
        <v>0</v>
      </c>
      <c r="AN25" s="494">
        <f>Data!R28/AN$4*100000*AN$3</f>
        <v>0</v>
      </c>
      <c r="AO25" s="494">
        <f>Data!S28/AO$4*100000*AO$3</f>
        <v>0</v>
      </c>
      <c r="AP25" s="494">
        <f>Data!T28/AP$4*100000*AP$3</f>
        <v>0</v>
      </c>
      <c r="AQ25" s="494">
        <f>Data!U28/AQ$4*100000*AQ$3</f>
        <v>0</v>
      </c>
      <c r="AR25" s="494">
        <f>Data!V28/AR$4*100000*AR$3</f>
        <v>0</v>
      </c>
      <c r="AS25" s="494">
        <f>Data!W28/AS$4*100000*AS$3</f>
        <v>0</v>
      </c>
      <c r="AT25" s="494">
        <f>Data!X28/AT$4*100000*AT$3</f>
        <v>0</v>
      </c>
      <c r="AU25" s="494">
        <f>Data!Y28/AU$4*100000*AU$3</f>
        <v>48728.490939546216</v>
      </c>
      <c r="AV25" s="494">
        <f>Data!Z28/AV$4*100000*AV$3</f>
        <v>173129.1603235724</v>
      </c>
      <c r="AW25" s="494">
        <f>Data!AA28/AW$4*100000*AW$3</f>
        <v>1331220.5772614626</v>
      </c>
      <c r="AX25" s="494">
        <f>Data!AB28/AX$4*100000*AX$3</f>
        <v>1980625.2562083325</v>
      </c>
      <c r="AY25" s="494">
        <f>Data!AC28/AY$4*100000*AY$3</f>
        <v>3183140.9381163199</v>
      </c>
      <c r="AZ25" s="494">
        <f>Data!AD28/AZ$4*100000*AZ$3</f>
        <v>3430528.6239828924</v>
      </c>
      <c r="BA25" s="494">
        <f>Data!AE28/BA$4*100000*BA$3</f>
        <v>2587747.8063048427</v>
      </c>
      <c r="BB25" s="494">
        <f>Data!AF28/BB$4*100000*BB$3</f>
        <v>758075.14831905079</v>
      </c>
      <c r="BC25" s="494">
        <f>Data!AG28/BC$4*100000*BC$3</f>
        <v>408506.54811966838</v>
      </c>
      <c r="BD25" s="494">
        <f>Data!AH28/BD$4*100000*BD$3</f>
        <v>337931.99554069119</v>
      </c>
    </row>
    <row r="26" spans="1:56" ht="12" customHeight="1">
      <c r="A26" s="30"/>
      <c r="B26" s="125" t="str">
        <f>UPPER(LEFT(TRIM(Data!B29),1)) &amp; MID(TRIM(Data!B29),2,50)</f>
        <v>Sėklidžių</v>
      </c>
      <c r="C26" s="125" t="str">
        <f>UPPER(LEFT(TRIM(Data!C29),1)) &amp; MID(TRIM(Data!C29),2,50)</f>
        <v>C62</v>
      </c>
      <c r="D26" s="126">
        <f>Data!D29</f>
        <v>31</v>
      </c>
      <c r="E26" s="127">
        <f t="shared" si="0"/>
        <v>2.2943826112442514</v>
      </c>
      <c r="F26" s="128">
        <f t="shared" si="4"/>
        <v>2.234892121767567</v>
      </c>
      <c r="G26" s="129">
        <f t="shared" si="1"/>
        <v>2.2148254946921155</v>
      </c>
      <c r="H26" s="74"/>
      <c r="I26" s="74"/>
      <c r="J26" s="74"/>
      <c r="K26" s="74"/>
      <c r="L26" s="74"/>
      <c r="M26" s="74"/>
      <c r="N26" s="74"/>
      <c r="O26" s="58"/>
      <c r="P26" s="484"/>
      <c r="Q26" s="500" t="s">
        <v>353</v>
      </c>
      <c r="R26" s="494">
        <f t="shared" si="2"/>
        <v>223489.2121767567</v>
      </c>
      <c r="S26" s="494">
        <f>Data!Q29/S$4*100000*S$3</f>
        <v>0</v>
      </c>
      <c r="T26" s="494">
        <f>Data!R29/T$4*100000*T$3</f>
        <v>0</v>
      </c>
      <c r="U26" s="494">
        <f>Data!S29/U$4*100000*U$3</f>
        <v>0</v>
      </c>
      <c r="V26" s="494">
        <f>Data!T29/V$4*100000*V$3</f>
        <v>31360.250882007054</v>
      </c>
      <c r="W26" s="494">
        <f>Data!U29/W$4*100000*W$3</f>
        <v>19405.095223574419</v>
      </c>
      <c r="X26" s="494">
        <f>Data!V29/X$4*100000*X$3</f>
        <v>49039.722174961717</v>
      </c>
      <c r="Y26" s="494">
        <f>Data!W29/Y$4*100000*Y$3</f>
        <v>39158.210357906042</v>
      </c>
      <c r="Z26" s="494">
        <f>Data!X29/Z$4*100000*Z$3</f>
        <v>15694.539421319911</v>
      </c>
      <c r="AA26" s="494">
        <f>Data!Y29/AA$4*100000*AA$3</f>
        <v>35531.191310085778</v>
      </c>
      <c r="AB26" s="494">
        <f>Data!Z29/AB$4*100000*AB$3</f>
        <v>13929.932439827668</v>
      </c>
      <c r="AC26" s="494">
        <f>Data!AA29/AC$4*100000*AC$3</f>
        <v>12897.6388108377</v>
      </c>
      <c r="AD26" s="494">
        <f>Data!AB29/AD$4*100000*AD$3</f>
        <v>6472.6315562363816</v>
      </c>
      <c r="AE26" s="494">
        <f>Data!AC29/AE$4*100000*AE$3</f>
        <v>0</v>
      </c>
      <c r="AF26" s="494">
        <f>Data!AD29/AF$4*100000*AF$3</f>
        <v>0</v>
      </c>
      <c r="AG26" s="494">
        <f>Data!AE29/AG$4*100000*AG$3</f>
        <v>0</v>
      </c>
      <c r="AH26" s="494">
        <f>Data!AF29/AH$4*100000*AH$3</f>
        <v>0</v>
      </c>
      <c r="AI26" s="494">
        <f>Data!AG29/AI$4*100000*AI$3</f>
        <v>0</v>
      </c>
      <c r="AJ26" s="494">
        <f>Data!AH29/AJ$4*100000*AJ$3</f>
        <v>0</v>
      </c>
      <c r="AK26" s="500" t="s">
        <v>353</v>
      </c>
      <c r="AL26" s="494">
        <f t="shared" si="3"/>
        <v>221482.54946921155</v>
      </c>
      <c r="AM26" s="494">
        <f>Data!Q29/AM$4*100000*AM$3</f>
        <v>0</v>
      </c>
      <c r="AN26" s="494">
        <f>Data!R29/AN$4*100000*AN$3</f>
        <v>0</v>
      </c>
      <c r="AO26" s="494">
        <f>Data!S29/AO$4*100000*AO$3</f>
        <v>0</v>
      </c>
      <c r="AP26" s="494">
        <f>Data!T29/AP$4*100000*AP$3</f>
        <v>40320.322562580499</v>
      </c>
      <c r="AQ26" s="494">
        <f>Data!U29/AQ$4*100000*AQ$3</f>
        <v>22177.251684085051</v>
      </c>
      <c r="AR26" s="494">
        <f>Data!V29/AR$4*100000*AR$3</f>
        <v>56045.396771384825</v>
      </c>
      <c r="AS26" s="494">
        <f>Data!W29/AS$4*100000*AS$3</f>
        <v>33564.180306776609</v>
      </c>
      <c r="AT26" s="494">
        <f>Data!X29/AT$4*100000*AT$3</f>
        <v>13452.462361131353</v>
      </c>
      <c r="AU26" s="494">
        <f>Data!Y29/AU$4*100000*AU$3</f>
        <v>30455.306837216383</v>
      </c>
      <c r="AV26" s="494">
        <f>Data!Z29/AV$4*100000*AV$3</f>
        <v>11939.942091280858</v>
      </c>
      <c r="AW26" s="494">
        <f>Data!AA29/AW$4*100000*AW$3</f>
        <v>9212.5991505983566</v>
      </c>
      <c r="AX26" s="494">
        <f>Data!AB29/AX$4*100000*AX$3</f>
        <v>4315.0877041575877</v>
      </c>
      <c r="AY26" s="494">
        <f>Data!AC29/AY$4*100000*AY$3</f>
        <v>0</v>
      </c>
      <c r="AZ26" s="494">
        <f>Data!AD29/AZ$4*100000*AZ$3</f>
        <v>0</v>
      </c>
      <c r="BA26" s="494">
        <f>Data!AE29/BA$4*100000*BA$3</f>
        <v>0</v>
      </c>
      <c r="BB26" s="494">
        <f>Data!AF29/BB$4*100000*BB$3</f>
        <v>0</v>
      </c>
      <c r="BC26" s="494">
        <f>Data!AG29/BC$4*100000*BC$3</f>
        <v>0</v>
      </c>
      <c r="BD26" s="494">
        <f>Data!AH29/BD$4*100000*BD$3</f>
        <v>0</v>
      </c>
    </row>
    <row r="27" spans="1:56" ht="12" customHeight="1">
      <c r="A27" s="30"/>
      <c r="B27" s="130" t="str">
        <f>UPPER(LEFT(TRIM(Data!B30),1)) &amp; MID(TRIM(Data!B30),2,50)</f>
        <v>Kitų lyties organų</v>
      </c>
      <c r="C27" s="130" t="s">
        <v>417</v>
      </c>
      <c r="D27" s="131">
        <f>Data!D30</f>
        <v>21</v>
      </c>
      <c r="E27" s="132">
        <f t="shared" si="0"/>
        <v>1.5542591882622345</v>
      </c>
      <c r="F27" s="133">
        <f t="shared" si="4"/>
        <v>1.3662084751267569</v>
      </c>
      <c r="G27" s="133">
        <f t="shared" si="1"/>
        <v>0.95860903194363434</v>
      </c>
      <c r="H27" s="74"/>
      <c r="I27" s="74"/>
      <c r="J27" s="74"/>
      <c r="K27" s="74"/>
      <c r="L27" s="74"/>
      <c r="M27" s="74"/>
      <c r="N27" s="74"/>
      <c r="O27" s="58"/>
      <c r="P27" s="484"/>
      <c r="Q27" s="500" t="s">
        <v>353</v>
      </c>
      <c r="R27" s="494">
        <f t="shared" si="2"/>
        <v>136620.84751267568</v>
      </c>
      <c r="S27" s="494">
        <f>Data!Q30/S$4*100000*S$3</f>
        <v>0</v>
      </c>
      <c r="T27" s="494">
        <f>Data!R30/T$4*100000*T$3</f>
        <v>0</v>
      </c>
      <c r="U27" s="494">
        <f>Data!S30/U$4*100000*U$3</f>
        <v>0</v>
      </c>
      <c r="V27" s="494">
        <f>Data!T30/V$4*100000*V$3</f>
        <v>0</v>
      </c>
      <c r="W27" s="494">
        <f>Data!U30/W$4*100000*W$3</f>
        <v>0</v>
      </c>
      <c r="X27" s="494">
        <f>Data!V30/X$4*100000*X$3</f>
        <v>0</v>
      </c>
      <c r="Y27" s="494">
        <f>Data!W30/Y$4*100000*Y$3</f>
        <v>7831.6420715812073</v>
      </c>
      <c r="Z27" s="494">
        <f>Data!X30/Z$4*100000*Z$3</f>
        <v>0</v>
      </c>
      <c r="AA27" s="494">
        <f>Data!Y30/AA$4*100000*AA$3</f>
        <v>0</v>
      </c>
      <c r="AB27" s="494">
        <f>Data!Z30/AB$4*100000*AB$3</f>
        <v>6964.9662199138338</v>
      </c>
      <c r="AC27" s="494">
        <f>Data!AA30/AC$4*100000*AC$3</f>
        <v>6448.8194054188498</v>
      </c>
      <c r="AD27" s="494">
        <f>Data!AB30/AD$4*100000*AD$3</f>
        <v>6472.6315562363816</v>
      </c>
      <c r="AE27" s="494">
        <f>Data!AC30/AE$4*100000*AE$3</f>
        <v>27583.543657853723</v>
      </c>
      <c r="AF27" s="494">
        <f>Data!AD30/AF$4*100000*AF$3</f>
        <v>21746.615682934345</v>
      </c>
      <c r="AG27" s="494">
        <f>Data!AE30/AG$4*100000*AG$3</f>
        <v>36561.585960350989</v>
      </c>
      <c r="AH27" s="494">
        <f>Data!AF30/AH$4*100000*AH$3</f>
        <v>5070.7367780538516</v>
      </c>
      <c r="AI27" s="494">
        <f>Data!AG30/AI$4*100000*AI$3</f>
        <v>4004.9661580359643</v>
      </c>
      <c r="AJ27" s="494">
        <f>Data!AH30/AJ$4*100000*AJ$3</f>
        <v>13935.340022296543</v>
      </c>
      <c r="AK27" s="500" t="s">
        <v>353</v>
      </c>
      <c r="AL27" s="494">
        <f t="shared" si="3"/>
        <v>95860.903194363433</v>
      </c>
      <c r="AM27" s="494">
        <f>Data!Q30/AM$4*100000*AM$3</f>
        <v>0</v>
      </c>
      <c r="AN27" s="494">
        <f>Data!R30/AN$4*100000*AN$3</f>
        <v>0</v>
      </c>
      <c r="AO27" s="494">
        <f>Data!S30/AO$4*100000*AO$3</f>
        <v>0</v>
      </c>
      <c r="AP27" s="494">
        <f>Data!T30/AP$4*100000*AP$3</f>
        <v>0</v>
      </c>
      <c r="AQ27" s="494">
        <f>Data!U30/AQ$4*100000*AQ$3</f>
        <v>0</v>
      </c>
      <c r="AR27" s="494">
        <f>Data!V30/AR$4*100000*AR$3</f>
        <v>0</v>
      </c>
      <c r="AS27" s="494">
        <f>Data!W30/AS$4*100000*AS$3</f>
        <v>6712.8360613553205</v>
      </c>
      <c r="AT27" s="494">
        <f>Data!X30/AT$4*100000*AT$3</f>
        <v>0</v>
      </c>
      <c r="AU27" s="494">
        <f>Data!Y30/AU$4*100000*AU$3</f>
        <v>0</v>
      </c>
      <c r="AV27" s="494">
        <f>Data!Z30/AV$4*100000*AV$3</f>
        <v>5969.9710456404291</v>
      </c>
      <c r="AW27" s="494">
        <f>Data!AA30/AW$4*100000*AW$3</f>
        <v>4606.2995752991783</v>
      </c>
      <c r="AX27" s="494">
        <f>Data!AB30/AX$4*100000*AX$3</f>
        <v>4315.0877041575877</v>
      </c>
      <c r="AY27" s="494">
        <f>Data!AC30/AY$4*100000*AY$3</f>
        <v>22066.83492628298</v>
      </c>
      <c r="AZ27" s="494">
        <f>Data!AD30/AZ$4*100000*AZ$3</f>
        <v>16309.961762200757</v>
      </c>
      <c r="BA27" s="494">
        <f>Data!AE30/BA$4*100000*BA$3</f>
        <v>24374.390640233993</v>
      </c>
      <c r="BB27" s="494">
        <f>Data!AF30/BB$4*100000*BB$3</f>
        <v>2535.3683890269258</v>
      </c>
      <c r="BC27" s="494">
        <f>Data!AG30/BC$4*100000*BC$3</f>
        <v>2002.4830790179822</v>
      </c>
      <c r="BD27" s="494">
        <f>Data!AH30/BD$4*100000*BD$3</f>
        <v>6967.6700111482714</v>
      </c>
    </row>
    <row r="28" spans="1:56" ht="12" customHeight="1">
      <c r="A28" s="30"/>
      <c r="B28" s="125" t="str">
        <f>UPPER(LEFT(TRIM(Data!B31),1)) &amp; MID(TRIM(Data!B31),2,50)</f>
        <v>Inkstų</v>
      </c>
      <c r="C28" s="125" t="str">
        <f>UPPER(LEFT(TRIM(Data!C31),1)) &amp; MID(TRIM(Data!C31),2,50)</f>
        <v>C64</v>
      </c>
      <c r="D28" s="126">
        <f>Data!D31</f>
        <v>421</v>
      </c>
      <c r="E28" s="127">
        <f t="shared" si="0"/>
        <v>31.159196107542893</v>
      </c>
      <c r="F28" s="128">
        <f t="shared" si="4"/>
        <v>26.87066753013378</v>
      </c>
      <c r="G28" s="129">
        <f t="shared" si="1"/>
        <v>19.044685028288242</v>
      </c>
      <c r="H28" s="74"/>
      <c r="I28" s="74"/>
      <c r="J28" s="74"/>
      <c r="K28" s="74"/>
      <c r="L28" s="74"/>
      <c r="M28" s="74"/>
      <c r="N28" s="74"/>
      <c r="O28" s="58"/>
      <c r="P28" s="484"/>
      <c r="Q28" s="500" t="s">
        <v>353</v>
      </c>
      <c r="R28" s="494">
        <f t="shared" si="2"/>
        <v>2687066.753013378</v>
      </c>
      <c r="S28" s="494">
        <f>Data!Q31/S$4*100000*S$3</f>
        <v>0</v>
      </c>
      <c r="T28" s="494">
        <f>Data!R31/T$4*100000*T$3</f>
        <v>10009.723731625007</v>
      </c>
      <c r="U28" s="494">
        <f>Data!S31/U$4*100000*U$3</f>
        <v>0</v>
      </c>
      <c r="V28" s="494">
        <f>Data!T31/V$4*100000*V$3</f>
        <v>0</v>
      </c>
      <c r="W28" s="494">
        <f>Data!U31/W$4*100000*W$3</f>
        <v>0</v>
      </c>
      <c r="X28" s="494">
        <f>Data!V31/X$4*100000*X$3</f>
        <v>7005.6745964231022</v>
      </c>
      <c r="Y28" s="494">
        <f>Data!W31/Y$4*100000*Y$3</f>
        <v>39158.210357906042</v>
      </c>
      <c r="Z28" s="494">
        <f>Data!X31/Z$4*100000*Z$3</f>
        <v>54930.887974619691</v>
      </c>
      <c r="AA28" s="494">
        <f>Data!Y31/AA$4*100000*AA$3</f>
        <v>92381.097406223038</v>
      </c>
      <c r="AB28" s="494">
        <f>Data!Z31/AB$4*100000*AB$3</f>
        <v>160194.22305801819</v>
      </c>
      <c r="AC28" s="494">
        <f>Data!AA31/AC$4*100000*AC$3</f>
        <v>167669.30454089012</v>
      </c>
      <c r="AD28" s="494">
        <f>Data!AB31/AD$4*100000*AD$3</f>
        <v>420721.05115536466</v>
      </c>
      <c r="AE28" s="494">
        <f>Data!AC31/AE$4*100000*AE$3</f>
        <v>399961.38303887896</v>
      </c>
      <c r="AF28" s="494">
        <f>Data!AD31/AF$4*100000*AF$3</f>
        <v>529167.64828473574</v>
      </c>
      <c r="AG28" s="494">
        <f>Data!AE31/AG$4*100000*AG$3</f>
        <v>389990.25024374388</v>
      </c>
      <c r="AH28" s="494">
        <f>Data!AF31/AH$4*100000*AH$3</f>
        <v>218041.68145631562</v>
      </c>
      <c r="AI28" s="494">
        <f>Data!AG31/AI$4*100000*AI$3</f>
        <v>128158.91705715086</v>
      </c>
      <c r="AJ28" s="494">
        <f>Data!AH31/AJ$4*100000*AJ$3</f>
        <v>69676.700111482729</v>
      </c>
      <c r="AK28" s="500" t="s">
        <v>353</v>
      </c>
      <c r="AL28" s="494">
        <f t="shared" si="3"/>
        <v>1904468.5028288241</v>
      </c>
      <c r="AM28" s="494">
        <f>Data!Q31/AM$4*100000*AM$3</f>
        <v>0</v>
      </c>
      <c r="AN28" s="494">
        <f>Data!R31/AN$4*100000*AN$3</f>
        <v>14299.605330892866</v>
      </c>
      <c r="AO28" s="494">
        <f>Data!S31/AO$4*100000*AO$3</f>
        <v>0</v>
      </c>
      <c r="AP28" s="494">
        <f>Data!T31/AP$4*100000*AP$3</f>
        <v>0</v>
      </c>
      <c r="AQ28" s="494">
        <f>Data!U31/AQ$4*100000*AQ$3</f>
        <v>0</v>
      </c>
      <c r="AR28" s="494">
        <f>Data!V31/AR$4*100000*AR$3</f>
        <v>8006.4852530549742</v>
      </c>
      <c r="AS28" s="494">
        <f>Data!W31/AS$4*100000*AS$3</f>
        <v>33564.180306776609</v>
      </c>
      <c r="AT28" s="494">
        <f>Data!X31/AT$4*100000*AT$3</f>
        <v>47083.618263959732</v>
      </c>
      <c r="AU28" s="494">
        <f>Data!Y31/AU$4*100000*AU$3</f>
        <v>79183.7977767626</v>
      </c>
      <c r="AV28" s="494">
        <f>Data!Z31/AV$4*100000*AV$3</f>
        <v>137309.33404972986</v>
      </c>
      <c r="AW28" s="494">
        <f>Data!AA31/AW$4*100000*AW$3</f>
        <v>119763.78895777867</v>
      </c>
      <c r="AX28" s="494">
        <f>Data!AB31/AX$4*100000*AX$3</f>
        <v>280480.70077024313</v>
      </c>
      <c r="AY28" s="494">
        <f>Data!AC31/AY$4*100000*AY$3</f>
        <v>319969.1064311032</v>
      </c>
      <c r="AZ28" s="494">
        <f>Data!AD31/AZ$4*100000*AZ$3</f>
        <v>396875.73621355178</v>
      </c>
      <c r="BA28" s="494">
        <f>Data!AE31/BA$4*100000*BA$3</f>
        <v>259993.50016249594</v>
      </c>
      <c r="BB28" s="494">
        <f>Data!AF31/BB$4*100000*BB$3</f>
        <v>109020.84072815781</v>
      </c>
      <c r="BC28" s="494">
        <f>Data!AG31/BC$4*100000*BC$3</f>
        <v>64079.458528575429</v>
      </c>
      <c r="BD28" s="494">
        <f>Data!AH31/BD$4*100000*BD$3</f>
        <v>34838.350055741364</v>
      </c>
    </row>
    <row r="29" spans="1:56" ht="12" customHeight="1">
      <c r="A29" s="30"/>
      <c r="B29" s="130" t="str">
        <f>UPPER(LEFT(TRIM(Data!B32),1)) &amp; MID(TRIM(Data!B32),2,50)</f>
        <v>Šlapimo pūslės</v>
      </c>
      <c r="C29" s="130" t="str">
        <f>UPPER(LEFT(TRIM(Data!C32),1)) &amp; MID(TRIM(Data!C32),2,50)</f>
        <v>C67</v>
      </c>
      <c r="D29" s="131">
        <f>Data!D32</f>
        <v>272</v>
      </c>
      <c r="E29" s="132">
        <f t="shared" si="0"/>
        <v>20.131357105110848</v>
      </c>
      <c r="F29" s="133">
        <f t="shared" si="4"/>
        <v>16.567526354717856</v>
      </c>
      <c r="G29" s="133">
        <f t="shared" si="1"/>
        <v>10.84116302566912</v>
      </c>
      <c r="H29" s="74"/>
      <c r="I29" s="74"/>
      <c r="J29" s="74"/>
      <c r="K29" s="74"/>
      <c r="L29" s="74"/>
      <c r="M29" s="74"/>
      <c r="N29" s="74"/>
      <c r="O29" s="58"/>
      <c r="P29" s="484"/>
      <c r="Q29" s="500" t="s">
        <v>353</v>
      </c>
      <c r="R29" s="494">
        <f t="shared" si="2"/>
        <v>1656752.6354717857</v>
      </c>
      <c r="S29" s="494">
        <f>Data!Q32/S$4*100000*S$3</f>
        <v>0</v>
      </c>
      <c r="T29" s="494">
        <f>Data!R32/T$4*100000*T$3</f>
        <v>0</v>
      </c>
      <c r="U29" s="494">
        <f>Data!S32/U$4*100000*U$3</f>
        <v>0</v>
      </c>
      <c r="V29" s="494">
        <f>Data!T32/V$4*100000*V$3</f>
        <v>0</v>
      </c>
      <c r="W29" s="494">
        <f>Data!U32/W$4*100000*W$3</f>
        <v>0</v>
      </c>
      <c r="X29" s="494">
        <f>Data!V32/X$4*100000*X$3</f>
        <v>0</v>
      </c>
      <c r="Y29" s="494">
        <f>Data!W32/Y$4*100000*Y$3</f>
        <v>15663.284143162415</v>
      </c>
      <c r="Z29" s="494">
        <f>Data!X32/Z$4*100000*Z$3</f>
        <v>15694.539421319911</v>
      </c>
      <c r="AA29" s="494">
        <f>Data!Y32/AA$4*100000*AA$3</f>
        <v>14212.476524034313</v>
      </c>
      <c r="AB29" s="494">
        <f>Data!Z32/AB$4*100000*AB$3</f>
        <v>55719.72975931067</v>
      </c>
      <c r="AC29" s="494">
        <f>Data!AA32/AC$4*100000*AC$3</f>
        <v>70937.013459607362</v>
      </c>
      <c r="AD29" s="494">
        <f>Data!AB32/AD$4*100000*AD$3</f>
        <v>122979.99956849124</v>
      </c>
      <c r="AE29" s="494">
        <f>Data!AC32/AE$4*100000*AE$3</f>
        <v>179293.03377604921</v>
      </c>
      <c r="AF29" s="494">
        <f>Data!AD32/AF$4*100000*AF$3</f>
        <v>333448.10713832657</v>
      </c>
      <c r="AG29" s="494">
        <f>Data!AE32/AG$4*100000*AG$3</f>
        <v>280305.49236269091</v>
      </c>
      <c r="AH29" s="494">
        <f>Data!AF32/AH$4*100000*AH$3</f>
        <v>228183.15501242329</v>
      </c>
      <c r="AI29" s="494">
        <f>Data!AG32/AI$4*100000*AI$3</f>
        <v>152188.71400536664</v>
      </c>
      <c r="AJ29" s="494">
        <f>Data!AH32/AJ$4*100000*AJ$3</f>
        <v>188127.09030100334</v>
      </c>
      <c r="AK29" s="500" t="s">
        <v>353</v>
      </c>
      <c r="AL29" s="494">
        <f t="shared" si="3"/>
        <v>1084116.302566912</v>
      </c>
      <c r="AM29" s="494">
        <f>Data!Q32/AM$4*100000*AM$3</f>
        <v>0</v>
      </c>
      <c r="AN29" s="494">
        <f>Data!R32/AN$4*100000*AN$3</f>
        <v>0</v>
      </c>
      <c r="AO29" s="494">
        <f>Data!S32/AO$4*100000*AO$3</f>
        <v>0</v>
      </c>
      <c r="AP29" s="494">
        <f>Data!T32/AP$4*100000*AP$3</f>
        <v>0</v>
      </c>
      <c r="AQ29" s="494">
        <f>Data!U32/AQ$4*100000*AQ$3</f>
        <v>0</v>
      </c>
      <c r="AR29" s="494">
        <f>Data!V32/AR$4*100000*AR$3</f>
        <v>0</v>
      </c>
      <c r="AS29" s="494">
        <f>Data!W32/AS$4*100000*AS$3</f>
        <v>13425.672122710641</v>
      </c>
      <c r="AT29" s="494">
        <f>Data!X32/AT$4*100000*AT$3</f>
        <v>13452.462361131353</v>
      </c>
      <c r="AU29" s="494">
        <f>Data!Y32/AU$4*100000*AU$3</f>
        <v>12182.122734886554</v>
      </c>
      <c r="AV29" s="494">
        <f>Data!Z32/AV$4*100000*AV$3</f>
        <v>47759.768365123433</v>
      </c>
      <c r="AW29" s="494">
        <f>Data!AA32/AW$4*100000*AW$3</f>
        <v>50669.295328290973</v>
      </c>
      <c r="AX29" s="494">
        <f>Data!AB32/AX$4*100000*AX$3</f>
        <v>81986.666378994152</v>
      </c>
      <c r="AY29" s="494">
        <f>Data!AC32/AY$4*100000*AY$3</f>
        <v>143434.42702083936</v>
      </c>
      <c r="AZ29" s="494">
        <f>Data!AD32/AZ$4*100000*AZ$3</f>
        <v>250086.08035374494</v>
      </c>
      <c r="BA29" s="494">
        <f>Data!AE32/BA$4*100000*BA$3</f>
        <v>186870.32824179393</v>
      </c>
      <c r="BB29" s="494">
        <f>Data!AF32/BB$4*100000*BB$3</f>
        <v>114091.57750621164</v>
      </c>
      <c r="BC29" s="494">
        <f>Data!AG32/BC$4*100000*BC$3</f>
        <v>76094.357002683319</v>
      </c>
      <c r="BD29" s="494">
        <f>Data!AH32/BD$4*100000*BD$3</f>
        <v>94063.545150501668</v>
      </c>
    </row>
    <row r="30" spans="1:56" ht="12" customHeight="1">
      <c r="A30" s="30"/>
      <c r="B30" s="125" t="str">
        <f>UPPER(LEFT(TRIM(Data!B33),1)) &amp; MID(TRIM(Data!B33),2,50)</f>
        <v>Kitų šlapimą išskiriančių organų</v>
      </c>
      <c r="C30" s="125" t="str">
        <f>UPPER(LEFT(TRIM(Data!C33),1)) &amp; MID(TRIM(Data!C33),2,50)</f>
        <v>C65, C66, C68</v>
      </c>
      <c r="D30" s="126">
        <f>Data!D33</f>
        <v>18</v>
      </c>
      <c r="E30" s="127">
        <f t="shared" si="0"/>
        <v>1.3322221613676297</v>
      </c>
      <c r="F30" s="128">
        <f t="shared" si="4"/>
        <v>1.1056123524395733</v>
      </c>
      <c r="G30" s="129">
        <f t="shared" si="1"/>
        <v>0.73421407846045594</v>
      </c>
      <c r="H30" s="74"/>
      <c r="I30" s="74"/>
      <c r="J30" s="74"/>
      <c r="K30" s="74"/>
      <c r="L30" s="74"/>
      <c r="M30" s="74"/>
      <c r="N30" s="74"/>
      <c r="O30" s="58"/>
      <c r="P30" s="484"/>
      <c r="Q30" s="500" t="s">
        <v>353</v>
      </c>
      <c r="R30" s="494">
        <f t="shared" si="2"/>
        <v>110561.23524395734</v>
      </c>
      <c r="S30" s="494">
        <f>Data!Q33/S$4*100000*S$3</f>
        <v>0</v>
      </c>
      <c r="T30" s="494">
        <f>Data!R33/T$4*100000*T$3</f>
        <v>0</v>
      </c>
      <c r="U30" s="494">
        <f>Data!S33/U$4*100000*U$3</f>
        <v>0</v>
      </c>
      <c r="V30" s="494">
        <f>Data!T33/V$4*100000*V$3</f>
        <v>0</v>
      </c>
      <c r="W30" s="494">
        <f>Data!U33/W$4*100000*W$3</f>
        <v>0</v>
      </c>
      <c r="X30" s="494">
        <f>Data!V33/X$4*100000*X$3</f>
        <v>0</v>
      </c>
      <c r="Y30" s="494">
        <f>Data!W33/Y$4*100000*Y$3</f>
        <v>0</v>
      </c>
      <c r="Z30" s="494">
        <f>Data!X33/Z$4*100000*Z$3</f>
        <v>7847.2697106599553</v>
      </c>
      <c r="AA30" s="494">
        <f>Data!Y33/AA$4*100000*AA$3</f>
        <v>0</v>
      </c>
      <c r="AB30" s="494">
        <f>Data!Z33/AB$4*100000*AB$3</f>
        <v>0</v>
      </c>
      <c r="AC30" s="494">
        <f>Data!AA33/AC$4*100000*AC$3</f>
        <v>6448.8194054188498</v>
      </c>
      <c r="AD30" s="494">
        <f>Data!AB33/AD$4*100000*AD$3</f>
        <v>6472.6315562363816</v>
      </c>
      <c r="AE30" s="494">
        <f>Data!AC33/AE$4*100000*AE$3</f>
        <v>20687.657743390293</v>
      </c>
      <c r="AF30" s="494">
        <f>Data!AD33/AF$4*100000*AF$3</f>
        <v>14497.743788622894</v>
      </c>
      <c r="AG30" s="494">
        <f>Data!AE33/AG$4*100000*AG$3</f>
        <v>18280.792980175494</v>
      </c>
      <c r="AH30" s="494">
        <f>Data!AF33/AH$4*100000*AH$3</f>
        <v>25353.683890269254</v>
      </c>
      <c r="AI30" s="494">
        <f>Data!AG33/AI$4*100000*AI$3</f>
        <v>4004.9661580359643</v>
      </c>
      <c r="AJ30" s="494">
        <f>Data!AH33/AJ$4*100000*AJ$3</f>
        <v>6967.6700111482714</v>
      </c>
      <c r="AK30" s="500" t="s">
        <v>353</v>
      </c>
      <c r="AL30" s="494">
        <f t="shared" si="3"/>
        <v>73421.407846045593</v>
      </c>
      <c r="AM30" s="494">
        <f>Data!Q33/AM$4*100000*AM$3</f>
        <v>0</v>
      </c>
      <c r="AN30" s="494">
        <f>Data!R33/AN$4*100000*AN$3</f>
        <v>0</v>
      </c>
      <c r="AO30" s="494">
        <f>Data!S33/AO$4*100000*AO$3</f>
        <v>0</v>
      </c>
      <c r="AP30" s="494">
        <f>Data!T33/AP$4*100000*AP$3</f>
        <v>0</v>
      </c>
      <c r="AQ30" s="494">
        <f>Data!U33/AQ$4*100000*AQ$3</f>
        <v>0</v>
      </c>
      <c r="AR30" s="494">
        <f>Data!V33/AR$4*100000*AR$3</f>
        <v>0</v>
      </c>
      <c r="AS30" s="494">
        <f>Data!W33/AS$4*100000*AS$3</f>
        <v>0</v>
      </c>
      <c r="AT30" s="494">
        <f>Data!X33/AT$4*100000*AT$3</f>
        <v>6726.2311805656764</v>
      </c>
      <c r="AU30" s="494">
        <f>Data!Y33/AU$4*100000*AU$3</f>
        <v>0</v>
      </c>
      <c r="AV30" s="494">
        <f>Data!Z33/AV$4*100000*AV$3</f>
        <v>0</v>
      </c>
      <c r="AW30" s="494">
        <f>Data!AA33/AW$4*100000*AW$3</f>
        <v>4606.2995752991783</v>
      </c>
      <c r="AX30" s="494">
        <f>Data!AB33/AX$4*100000*AX$3</f>
        <v>4315.0877041575877</v>
      </c>
      <c r="AY30" s="494">
        <f>Data!AC33/AY$4*100000*AY$3</f>
        <v>16550.126194712233</v>
      </c>
      <c r="AZ30" s="494">
        <f>Data!AD33/AZ$4*100000*AZ$3</f>
        <v>10873.307841467171</v>
      </c>
      <c r="BA30" s="494">
        <f>Data!AE33/BA$4*100000*BA$3</f>
        <v>12187.195320116996</v>
      </c>
      <c r="BB30" s="494">
        <f>Data!AF33/BB$4*100000*BB$3</f>
        <v>12676.841945134627</v>
      </c>
      <c r="BC30" s="494">
        <f>Data!AG33/BC$4*100000*BC$3</f>
        <v>2002.4830790179822</v>
      </c>
      <c r="BD30" s="494">
        <f>Data!AH33/BD$4*100000*BD$3</f>
        <v>3483.8350055741357</v>
      </c>
    </row>
    <row r="31" spans="1:56" ht="12" customHeight="1">
      <c r="A31" s="30"/>
      <c r="B31" s="130" t="str">
        <f>UPPER(LEFT(TRIM(Data!B34),1)) &amp; MID(TRIM(Data!B34),2,50)</f>
        <v>Akių</v>
      </c>
      <c r="C31" s="130" t="str">
        <f>UPPER(LEFT(TRIM(Data!C34),1)) &amp; MID(TRIM(Data!C34),2,50)</f>
        <v>C69</v>
      </c>
      <c r="D31" s="131">
        <f>Data!D34</f>
        <v>10</v>
      </c>
      <c r="E31" s="132">
        <f t="shared" si="0"/>
        <v>0.7401234229820165</v>
      </c>
      <c r="F31" s="133">
        <f t="shared" si="4"/>
        <v>0.63689187399787883</v>
      </c>
      <c r="G31" s="133">
        <f t="shared" si="1"/>
        <v>0.51553197515688587</v>
      </c>
      <c r="H31" s="74"/>
      <c r="I31" s="74"/>
      <c r="J31" s="74"/>
      <c r="K31" s="74"/>
      <c r="L31" s="74"/>
      <c r="M31" s="74"/>
      <c r="N31" s="74"/>
      <c r="O31" s="58"/>
      <c r="P31" s="484"/>
      <c r="Q31" s="500" t="s">
        <v>353</v>
      </c>
      <c r="R31" s="494">
        <f t="shared" si="2"/>
        <v>63689.187399787887</v>
      </c>
      <c r="S31" s="494">
        <f>Data!Q34/S$4*100000*S$3</f>
        <v>10356.121114836438</v>
      </c>
      <c r="T31" s="494">
        <f>Data!R34/T$4*100000*T$3</f>
        <v>0</v>
      </c>
      <c r="U31" s="494">
        <f>Data!S34/U$4*100000*U$3</f>
        <v>0</v>
      </c>
      <c r="V31" s="494">
        <f>Data!T34/V$4*100000*V$3</f>
        <v>0</v>
      </c>
      <c r="W31" s="494">
        <f>Data!U34/W$4*100000*W$3</f>
        <v>0</v>
      </c>
      <c r="X31" s="494">
        <f>Data!V34/X$4*100000*X$3</f>
        <v>0</v>
      </c>
      <c r="Y31" s="494">
        <f>Data!W34/Y$4*100000*Y$3</f>
        <v>0</v>
      </c>
      <c r="Z31" s="494">
        <f>Data!X34/Z$4*100000*Z$3</f>
        <v>7847.2697106599553</v>
      </c>
      <c r="AA31" s="494">
        <f>Data!Y34/AA$4*100000*AA$3</f>
        <v>0</v>
      </c>
      <c r="AB31" s="494">
        <f>Data!Z34/AB$4*100000*AB$3</f>
        <v>6964.9662199138338</v>
      </c>
      <c r="AC31" s="494">
        <f>Data!AA34/AC$4*100000*AC$3</f>
        <v>0</v>
      </c>
      <c r="AD31" s="494">
        <f>Data!AB34/AD$4*100000*AD$3</f>
        <v>0</v>
      </c>
      <c r="AE31" s="494">
        <f>Data!AC34/AE$4*100000*AE$3</f>
        <v>0</v>
      </c>
      <c r="AF31" s="494">
        <f>Data!AD34/AF$4*100000*AF$3</f>
        <v>0</v>
      </c>
      <c r="AG31" s="494">
        <f>Data!AE34/AG$4*100000*AG$3</f>
        <v>24374.390640233993</v>
      </c>
      <c r="AH31" s="494">
        <f>Data!AF34/AH$4*100000*AH$3</f>
        <v>10141.473556107703</v>
      </c>
      <c r="AI31" s="494">
        <f>Data!AG34/AI$4*100000*AI$3</f>
        <v>4004.9661580359643</v>
      </c>
      <c r="AJ31" s="494">
        <f>Data!AH34/AJ$4*100000*AJ$3</f>
        <v>0</v>
      </c>
      <c r="AK31" s="500" t="s">
        <v>353</v>
      </c>
      <c r="AL31" s="494">
        <f t="shared" si="3"/>
        <v>51553.197515688589</v>
      </c>
      <c r="AM31" s="494">
        <f>Data!Q34/AM$4*100000*AM$3</f>
        <v>15534.181672254659</v>
      </c>
      <c r="AN31" s="494">
        <f>Data!R34/AN$4*100000*AN$3</f>
        <v>0</v>
      </c>
      <c r="AO31" s="494">
        <f>Data!S34/AO$4*100000*AO$3</f>
        <v>0</v>
      </c>
      <c r="AP31" s="494">
        <f>Data!T34/AP$4*100000*AP$3</f>
        <v>0</v>
      </c>
      <c r="AQ31" s="494">
        <f>Data!U34/AQ$4*100000*AQ$3</f>
        <v>0</v>
      </c>
      <c r="AR31" s="494">
        <f>Data!V34/AR$4*100000*AR$3</f>
        <v>0</v>
      </c>
      <c r="AS31" s="494">
        <f>Data!W34/AS$4*100000*AS$3</f>
        <v>0</v>
      </c>
      <c r="AT31" s="494">
        <f>Data!X34/AT$4*100000*AT$3</f>
        <v>6726.2311805656764</v>
      </c>
      <c r="AU31" s="494">
        <f>Data!Y34/AU$4*100000*AU$3</f>
        <v>0</v>
      </c>
      <c r="AV31" s="494">
        <f>Data!Z34/AV$4*100000*AV$3</f>
        <v>5969.9710456404291</v>
      </c>
      <c r="AW31" s="494">
        <f>Data!AA34/AW$4*100000*AW$3</f>
        <v>0</v>
      </c>
      <c r="AX31" s="494">
        <f>Data!AB34/AX$4*100000*AX$3</f>
        <v>0</v>
      </c>
      <c r="AY31" s="494">
        <f>Data!AC34/AY$4*100000*AY$3</f>
        <v>0</v>
      </c>
      <c r="AZ31" s="494">
        <f>Data!AD34/AZ$4*100000*AZ$3</f>
        <v>0</v>
      </c>
      <c r="BA31" s="494">
        <f>Data!AE34/BA$4*100000*BA$3</f>
        <v>16249.593760155996</v>
      </c>
      <c r="BB31" s="494">
        <f>Data!AF34/BB$4*100000*BB$3</f>
        <v>5070.7367780538516</v>
      </c>
      <c r="BC31" s="494">
        <f>Data!AG34/BC$4*100000*BC$3</f>
        <v>2002.4830790179822</v>
      </c>
      <c r="BD31" s="494">
        <f>Data!AH34/BD$4*100000*BD$3</f>
        <v>0</v>
      </c>
    </row>
    <row r="32" spans="1:56" ht="12" customHeight="1">
      <c r="A32" s="30"/>
      <c r="B32" s="125" t="str">
        <f>UPPER(LEFT(TRIM(Data!B35),1)) &amp; MID(TRIM(Data!B35),2,50)</f>
        <v>Smegenų</v>
      </c>
      <c r="C32" s="125" t="str">
        <f>UPPER(LEFT(TRIM(Data!C35),1)) &amp; MID(TRIM(Data!C35),2,50)</f>
        <v>C70-C72</v>
      </c>
      <c r="D32" s="126">
        <f>Data!D35</f>
        <v>146</v>
      </c>
      <c r="E32" s="127">
        <f t="shared" si="0"/>
        <v>10.80580197553744</v>
      </c>
      <c r="F32" s="128">
        <f t="shared" si="4"/>
        <v>9.5705884674092161</v>
      </c>
      <c r="G32" s="129">
        <f t="shared" si="1"/>
        <v>7.5567776221102489</v>
      </c>
      <c r="H32" s="74"/>
      <c r="I32" s="74"/>
      <c r="J32" s="74"/>
      <c r="K32" s="74"/>
      <c r="L32" s="74"/>
      <c r="M32" s="74"/>
      <c r="N32" s="74"/>
      <c r="O32" s="58"/>
      <c r="P32" s="484"/>
      <c r="Q32" s="500" t="s">
        <v>353</v>
      </c>
      <c r="R32" s="494">
        <f t="shared" si="2"/>
        <v>957058.84674092161</v>
      </c>
      <c r="S32" s="494">
        <f>Data!Q35/S$4*100000*S$3</f>
        <v>31068.363344509315</v>
      </c>
      <c r="T32" s="494">
        <f>Data!R35/T$4*100000*T$3</f>
        <v>30029.171194875016</v>
      </c>
      <c r="U32" s="494">
        <f>Data!S35/U$4*100000*U$3</f>
        <v>29165.856503986004</v>
      </c>
      <c r="V32" s="494">
        <f>Data!T35/V$4*100000*V$3</f>
        <v>7840.0627205017636</v>
      </c>
      <c r="W32" s="494">
        <f>Data!U35/W$4*100000*W$3</f>
        <v>12936.730149049612</v>
      </c>
      <c r="X32" s="494">
        <f>Data!V35/X$4*100000*X$3</f>
        <v>7005.6745964231022</v>
      </c>
      <c r="Y32" s="494">
        <f>Data!W35/Y$4*100000*Y$3</f>
        <v>31326.568286324829</v>
      </c>
      <c r="Z32" s="494">
        <f>Data!X35/Z$4*100000*Z$3</f>
        <v>31389.078842639821</v>
      </c>
      <c r="AA32" s="494">
        <f>Data!Y35/AA$4*100000*AA$3</f>
        <v>71062.382620171556</v>
      </c>
      <c r="AB32" s="494">
        <f>Data!Z35/AB$4*100000*AB$3</f>
        <v>48754.76353939683</v>
      </c>
      <c r="AC32" s="494">
        <f>Data!AA35/AC$4*100000*AC$3</f>
        <v>122527.56870295816</v>
      </c>
      <c r="AD32" s="494">
        <f>Data!AB35/AD$4*100000*AD$3</f>
        <v>84144.210231072953</v>
      </c>
      <c r="AE32" s="494">
        <f>Data!AC35/AE$4*100000*AE$3</f>
        <v>75854.745059097753</v>
      </c>
      <c r="AF32" s="494">
        <f>Data!AD35/AF$4*100000*AF$3</f>
        <v>123230.82220329462</v>
      </c>
      <c r="AG32" s="494">
        <f>Data!AE35/AG$4*100000*AG$3</f>
        <v>103591.16022099445</v>
      </c>
      <c r="AH32" s="494">
        <f>Data!AF35/AH$4*100000*AH$3</f>
        <v>81131.788448861626</v>
      </c>
      <c r="AI32" s="494">
        <f>Data!AG35/AI$4*100000*AI$3</f>
        <v>52064.56005446754</v>
      </c>
      <c r="AJ32" s="494">
        <f>Data!AH35/AJ$4*100000*AJ$3</f>
        <v>13935.340022296543</v>
      </c>
      <c r="AK32" s="500" t="s">
        <v>353</v>
      </c>
      <c r="AL32" s="494">
        <f t="shared" si="3"/>
        <v>755677.76221102488</v>
      </c>
      <c r="AM32" s="494">
        <f>Data!Q35/AM$4*100000*AM$3</f>
        <v>46602.545016763972</v>
      </c>
      <c r="AN32" s="494">
        <f>Data!R35/AN$4*100000*AN$3</f>
        <v>42898.815992678596</v>
      </c>
      <c r="AO32" s="494">
        <f>Data!S35/AO$4*100000*AO$3</f>
        <v>37498.958362267716</v>
      </c>
      <c r="AP32" s="494">
        <f>Data!T35/AP$4*100000*AP$3</f>
        <v>10080.080640645125</v>
      </c>
      <c r="AQ32" s="494">
        <f>Data!U35/AQ$4*100000*AQ$3</f>
        <v>14784.8344560567</v>
      </c>
      <c r="AR32" s="494">
        <f>Data!V35/AR$4*100000*AR$3</f>
        <v>8006.4852530549742</v>
      </c>
      <c r="AS32" s="494">
        <f>Data!W35/AS$4*100000*AS$3</f>
        <v>26851.344245421282</v>
      </c>
      <c r="AT32" s="494">
        <f>Data!X35/AT$4*100000*AT$3</f>
        <v>26904.924722262705</v>
      </c>
      <c r="AU32" s="494">
        <f>Data!Y35/AU$4*100000*AU$3</f>
        <v>60910.613674432767</v>
      </c>
      <c r="AV32" s="494">
        <f>Data!Z35/AV$4*100000*AV$3</f>
        <v>41789.797319482997</v>
      </c>
      <c r="AW32" s="494">
        <f>Data!AA35/AW$4*100000*AW$3</f>
        <v>87519.691930684407</v>
      </c>
      <c r="AX32" s="494">
        <f>Data!AB35/AX$4*100000*AX$3</f>
        <v>56096.140154048633</v>
      </c>
      <c r="AY32" s="494">
        <f>Data!AC35/AY$4*100000*AY$3</f>
        <v>60683.7960472782</v>
      </c>
      <c r="AZ32" s="494">
        <f>Data!AD35/AZ$4*100000*AZ$3</f>
        <v>92423.11665247097</v>
      </c>
      <c r="BA32" s="494">
        <f>Data!AE35/BA$4*100000*BA$3</f>
        <v>69060.773480662974</v>
      </c>
      <c r="BB32" s="494">
        <f>Data!AF35/BB$4*100000*BB$3</f>
        <v>40565.894224430813</v>
      </c>
      <c r="BC32" s="494">
        <f>Data!AG35/BC$4*100000*BC$3</f>
        <v>26032.28002723377</v>
      </c>
      <c r="BD32" s="494">
        <f>Data!AH35/BD$4*100000*BD$3</f>
        <v>6967.6700111482714</v>
      </c>
    </row>
    <row r="33" spans="1:56" ht="12" customHeight="1">
      <c r="A33" s="30"/>
      <c r="B33" s="130" t="str">
        <f>UPPER(LEFT(TRIM(Data!B36),1)) &amp; MID(TRIM(Data!B36),2,50)</f>
        <v>Skydliaukės</v>
      </c>
      <c r="C33" s="130" t="str">
        <f>UPPER(LEFT(TRIM(Data!C36),1)) &amp; MID(TRIM(Data!C36),2,50)</f>
        <v>C73</v>
      </c>
      <c r="D33" s="131">
        <f>Data!D36</f>
        <v>53</v>
      </c>
      <c r="E33" s="132">
        <f t="shared" si="0"/>
        <v>3.9226541418046872</v>
      </c>
      <c r="F33" s="133">
        <f t="shared" si="4"/>
        <v>3.5967665723708877</v>
      </c>
      <c r="G33" s="133">
        <f t="shared" si="1"/>
        <v>2.8611285968808153</v>
      </c>
      <c r="H33" s="74"/>
      <c r="I33" s="74"/>
      <c r="J33" s="74"/>
      <c r="K33" s="74"/>
      <c r="L33" s="74"/>
      <c r="M33" s="74"/>
      <c r="N33" s="74"/>
      <c r="O33" s="58"/>
      <c r="P33" s="484"/>
      <c r="Q33" s="500" t="s">
        <v>353</v>
      </c>
      <c r="R33" s="494">
        <f t="shared" si="2"/>
        <v>359676.65723708877</v>
      </c>
      <c r="S33" s="494">
        <f>Data!Q36/S$4*100000*S$3</f>
        <v>0</v>
      </c>
      <c r="T33" s="494">
        <f>Data!R36/T$4*100000*T$3</f>
        <v>0</v>
      </c>
      <c r="U33" s="494">
        <f>Data!S36/U$4*100000*U$3</f>
        <v>9721.9521679953341</v>
      </c>
      <c r="V33" s="494">
        <f>Data!T36/V$4*100000*V$3</f>
        <v>0</v>
      </c>
      <c r="W33" s="494">
        <f>Data!U36/W$4*100000*W$3</f>
        <v>19405.095223574419</v>
      </c>
      <c r="X33" s="494">
        <f>Data!V36/X$4*100000*X$3</f>
        <v>7005.6745964231022</v>
      </c>
      <c r="Y33" s="494">
        <f>Data!W36/Y$4*100000*Y$3</f>
        <v>23494.926214743627</v>
      </c>
      <c r="Z33" s="494">
        <f>Data!X36/Z$4*100000*Z$3</f>
        <v>31389.078842639821</v>
      </c>
      <c r="AA33" s="494">
        <f>Data!Y36/AA$4*100000*AA$3</f>
        <v>21318.714786051467</v>
      </c>
      <c r="AB33" s="494">
        <f>Data!Z36/AB$4*100000*AB$3</f>
        <v>27859.864879655335</v>
      </c>
      <c r="AC33" s="494">
        <f>Data!AA36/AC$4*100000*AC$3</f>
        <v>64488.19405418852</v>
      </c>
      <c r="AD33" s="494">
        <f>Data!AB36/AD$4*100000*AD$3</f>
        <v>32363.157781181901</v>
      </c>
      <c r="AE33" s="494">
        <f>Data!AC36/AE$4*100000*AE$3</f>
        <v>34479.429572317153</v>
      </c>
      <c r="AF33" s="494">
        <f>Data!AD36/AF$4*100000*AF$3</f>
        <v>43493.231365868691</v>
      </c>
      <c r="AG33" s="494">
        <f>Data!AE36/AG$4*100000*AG$3</f>
        <v>24374.390640233993</v>
      </c>
      <c r="AH33" s="494">
        <f>Data!AF36/AH$4*100000*AH$3</f>
        <v>20282.947112215406</v>
      </c>
      <c r="AI33" s="494">
        <f>Data!AG36/AI$4*100000*AI$3</f>
        <v>0</v>
      </c>
      <c r="AJ33" s="494">
        <f>Data!AH36/AJ$4*100000*AJ$3</f>
        <v>0</v>
      </c>
      <c r="AK33" s="500" t="s">
        <v>353</v>
      </c>
      <c r="AL33" s="494">
        <f t="shared" si="3"/>
        <v>286112.85968808155</v>
      </c>
      <c r="AM33" s="494">
        <f>Data!Q36/AM$4*100000*AM$3</f>
        <v>0</v>
      </c>
      <c r="AN33" s="494">
        <f>Data!R36/AN$4*100000*AN$3</f>
        <v>0</v>
      </c>
      <c r="AO33" s="494">
        <f>Data!S36/AO$4*100000*AO$3</f>
        <v>12499.652787422572</v>
      </c>
      <c r="AP33" s="494">
        <f>Data!T36/AP$4*100000*AP$3</f>
        <v>0</v>
      </c>
      <c r="AQ33" s="494">
        <f>Data!U36/AQ$4*100000*AQ$3</f>
        <v>22177.251684085051</v>
      </c>
      <c r="AR33" s="494">
        <f>Data!V36/AR$4*100000*AR$3</f>
        <v>8006.4852530549742</v>
      </c>
      <c r="AS33" s="494">
        <f>Data!W36/AS$4*100000*AS$3</f>
        <v>20138.508184065966</v>
      </c>
      <c r="AT33" s="494">
        <f>Data!X36/AT$4*100000*AT$3</f>
        <v>26904.924722262705</v>
      </c>
      <c r="AU33" s="494">
        <f>Data!Y36/AU$4*100000*AU$3</f>
        <v>18273.184102329829</v>
      </c>
      <c r="AV33" s="494">
        <f>Data!Z36/AV$4*100000*AV$3</f>
        <v>23879.884182561716</v>
      </c>
      <c r="AW33" s="494">
        <f>Data!AA36/AW$4*100000*AW$3</f>
        <v>46062.995752991796</v>
      </c>
      <c r="AX33" s="494">
        <f>Data!AB36/AX$4*100000*AX$3</f>
        <v>21575.438520787935</v>
      </c>
      <c r="AY33" s="494">
        <f>Data!AC36/AY$4*100000*AY$3</f>
        <v>27583.543657853723</v>
      </c>
      <c r="AZ33" s="494">
        <f>Data!AD36/AZ$4*100000*AZ$3</f>
        <v>32619.923524401514</v>
      </c>
      <c r="BA33" s="494">
        <f>Data!AE36/BA$4*100000*BA$3</f>
        <v>16249.593760155996</v>
      </c>
      <c r="BB33" s="494">
        <f>Data!AF36/BB$4*100000*BB$3</f>
        <v>10141.473556107703</v>
      </c>
      <c r="BC33" s="494">
        <f>Data!AG36/BC$4*100000*BC$3</f>
        <v>0</v>
      </c>
      <c r="BD33" s="494">
        <f>Data!AH36/BD$4*100000*BD$3</f>
        <v>0</v>
      </c>
    </row>
    <row r="34" spans="1:56" ht="12" customHeight="1">
      <c r="A34" s="30"/>
      <c r="B34" s="125" t="str">
        <f>UPPER(LEFT(TRIM(Data!B37),1)) &amp; MID(TRIM(Data!B37),2,50)</f>
        <v>Kitų endokrininių liaukų</v>
      </c>
      <c r="C34" s="125" t="str">
        <f>UPPER(LEFT(TRIM(Data!C37),1)) &amp; MID(TRIM(Data!C37),2,50)</f>
        <v>C74-C75</v>
      </c>
      <c r="D34" s="126">
        <f>Data!D37</f>
        <v>9</v>
      </c>
      <c r="E34" s="127">
        <f t="shared" si="0"/>
        <v>0.66611108068381486</v>
      </c>
      <c r="F34" s="128">
        <f t="shared" si="4"/>
        <v>0.72411535662784265</v>
      </c>
      <c r="G34" s="129">
        <f t="shared" si="1"/>
        <v>0.82822126613146296</v>
      </c>
      <c r="H34" s="74"/>
      <c r="I34" s="74"/>
      <c r="J34" s="74"/>
      <c r="K34" s="74"/>
      <c r="L34" s="74"/>
      <c r="M34" s="74"/>
      <c r="N34" s="74"/>
      <c r="O34" s="58"/>
      <c r="P34" s="484"/>
      <c r="Q34" s="500" t="s">
        <v>353</v>
      </c>
      <c r="R34" s="494">
        <f t="shared" si="2"/>
        <v>72411.53566278427</v>
      </c>
      <c r="S34" s="494">
        <f>Data!Q37/S$4*100000*S$3</f>
        <v>31068.363344509315</v>
      </c>
      <c r="T34" s="494">
        <f>Data!R37/T$4*100000*T$3</f>
        <v>10009.723731625007</v>
      </c>
      <c r="U34" s="494">
        <f>Data!S37/U$4*100000*U$3</f>
        <v>0</v>
      </c>
      <c r="V34" s="494">
        <f>Data!T37/V$4*100000*V$3</f>
        <v>0</v>
      </c>
      <c r="W34" s="494">
        <f>Data!U37/W$4*100000*W$3</f>
        <v>0</v>
      </c>
      <c r="X34" s="494">
        <f>Data!V37/X$4*100000*X$3</f>
        <v>0</v>
      </c>
      <c r="Y34" s="494">
        <f>Data!W37/Y$4*100000*Y$3</f>
        <v>0</v>
      </c>
      <c r="Z34" s="494">
        <f>Data!X37/Z$4*100000*Z$3</f>
        <v>7847.2697106599553</v>
      </c>
      <c r="AA34" s="494">
        <f>Data!Y37/AA$4*100000*AA$3</f>
        <v>0</v>
      </c>
      <c r="AB34" s="494">
        <f>Data!Z37/AB$4*100000*AB$3</f>
        <v>0</v>
      </c>
      <c r="AC34" s="494">
        <f>Data!AA37/AC$4*100000*AC$3</f>
        <v>6448.8194054188498</v>
      </c>
      <c r="AD34" s="494">
        <f>Data!AB37/AD$4*100000*AD$3</f>
        <v>0</v>
      </c>
      <c r="AE34" s="494">
        <f>Data!AC37/AE$4*100000*AE$3</f>
        <v>6895.8859144634307</v>
      </c>
      <c r="AF34" s="494">
        <f>Data!AD37/AF$4*100000*AF$3</f>
        <v>0</v>
      </c>
      <c r="AG34" s="494">
        <f>Data!AE37/AG$4*100000*AG$3</f>
        <v>0</v>
      </c>
      <c r="AH34" s="494">
        <f>Data!AF37/AH$4*100000*AH$3</f>
        <v>10141.473556107703</v>
      </c>
      <c r="AI34" s="494">
        <f>Data!AG37/AI$4*100000*AI$3</f>
        <v>0</v>
      </c>
      <c r="AJ34" s="494">
        <f>Data!AH37/AJ$4*100000*AJ$3</f>
        <v>0</v>
      </c>
      <c r="AK34" s="500" t="s">
        <v>353</v>
      </c>
      <c r="AL34" s="494">
        <f t="shared" si="3"/>
        <v>82822.126613146291</v>
      </c>
      <c r="AM34" s="494">
        <f>Data!Q37/AM$4*100000*AM$3</f>
        <v>46602.545016763972</v>
      </c>
      <c r="AN34" s="494">
        <f>Data!R37/AN$4*100000*AN$3</f>
        <v>14299.605330892866</v>
      </c>
      <c r="AO34" s="494">
        <f>Data!S37/AO$4*100000*AO$3</f>
        <v>0</v>
      </c>
      <c r="AP34" s="494">
        <f>Data!T37/AP$4*100000*AP$3</f>
        <v>0</v>
      </c>
      <c r="AQ34" s="494">
        <f>Data!U37/AQ$4*100000*AQ$3</f>
        <v>0</v>
      </c>
      <c r="AR34" s="494">
        <f>Data!V37/AR$4*100000*AR$3</f>
        <v>0</v>
      </c>
      <c r="AS34" s="494">
        <f>Data!W37/AS$4*100000*AS$3</f>
        <v>0</v>
      </c>
      <c r="AT34" s="494">
        <f>Data!X37/AT$4*100000*AT$3</f>
        <v>6726.2311805656764</v>
      </c>
      <c r="AU34" s="494">
        <f>Data!Y37/AU$4*100000*AU$3</f>
        <v>0</v>
      </c>
      <c r="AV34" s="494">
        <f>Data!Z37/AV$4*100000*AV$3</f>
        <v>0</v>
      </c>
      <c r="AW34" s="494">
        <f>Data!AA37/AW$4*100000*AW$3</f>
        <v>4606.2995752991783</v>
      </c>
      <c r="AX34" s="494">
        <f>Data!AB37/AX$4*100000*AX$3</f>
        <v>0</v>
      </c>
      <c r="AY34" s="494">
        <f>Data!AC37/AY$4*100000*AY$3</f>
        <v>5516.7087315707449</v>
      </c>
      <c r="AZ34" s="494">
        <f>Data!AD37/AZ$4*100000*AZ$3</f>
        <v>0</v>
      </c>
      <c r="BA34" s="494">
        <f>Data!AE37/BA$4*100000*BA$3</f>
        <v>0</v>
      </c>
      <c r="BB34" s="494">
        <f>Data!AF37/BB$4*100000*BB$3</f>
        <v>5070.7367780538516</v>
      </c>
      <c r="BC34" s="494">
        <f>Data!AG37/BC$4*100000*BC$3</f>
        <v>0</v>
      </c>
      <c r="BD34" s="494">
        <f>Data!AH37/BD$4*100000*BD$3</f>
        <v>0</v>
      </c>
    </row>
    <row r="35" spans="1:56" ht="12" customHeight="1">
      <c r="A35" s="30"/>
      <c r="B35" s="130" t="str">
        <f>UPPER(LEFT(TRIM(Data!B38),1)) &amp; MID(TRIM(Data!B38),2,50)</f>
        <v>Nepatikslintos lokalizacijos</v>
      </c>
      <c r="C35" s="130" t="str">
        <f>UPPER(LEFT(TRIM(Data!C38),1)) &amp; MID(TRIM(Data!C38),2,50)</f>
        <v>C76-C80</v>
      </c>
      <c r="D35" s="131">
        <f>Data!D38</f>
        <v>234</v>
      </c>
      <c r="E35" s="132">
        <f t="shared" si="0"/>
        <v>17.318888097779187</v>
      </c>
      <c r="F35" s="133">
        <f t="shared" si="4"/>
        <v>14.183793241549928</v>
      </c>
      <c r="G35" s="133">
        <f t="shared" si="1"/>
        <v>9.3554910660242001</v>
      </c>
      <c r="H35" s="74"/>
      <c r="I35" s="74"/>
      <c r="J35" s="74"/>
      <c r="K35" s="74"/>
      <c r="L35" s="74"/>
      <c r="M35" s="74"/>
      <c r="N35" s="74"/>
      <c r="O35" s="58"/>
      <c r="P35" s="484"/>
      <c r="Q35" s="500" t="s">
        <v>353</v>
      </c>
      <c r="R35" s="494">
        <f t="shared" si="2"/>
        <v>1418379.3241549928</v>
      </c>
      <c r="S35" s="494">
        <f>Data!Q38/S$4*100000*S$3</f>
        <v>0</v>
      </c>
      <c r="T35" s="494">
        <f>Data!R38/T$4*100000*T$3</f>
        <v>0</v>
      </c>
      <c r="U35" s="494">
        <f>Data!S38/U$4*100000*U$3</f>
        <v>0</v>
      </c>
      <c r="V35" s="494">
        <f>Data!T38/V$4*100000*V$3</f>
        <v>0</v>
      </c>
      <c r="W35" s="494">
        <f>Data!U38/W$4*100000*W$3</f>
        <v>6468.365074524806</v>
      </c>
      <c r="X35" s="494">
        <f>Data!V38/X$4*100000*X$3</f>
        <v>0</v>
      </c>
      <c r="Y35" s="494">
        <f>Data!W38/Y$4*100000*Y$3</f>
        <v>0</v>
      </c>
      <c r="Z35" s="494">
        <f>Data!X38/Z$4*100000*Z$3</f>
        <v>7847.2697106599553</v>
      </c>
      <c r="AA35" s="494">
        <f>Data!Y38/AA$4*100000*AA$3</f>
        <v>14212.476524034313</v>
      </c>
      <c r="AB35" s="494">
        <f>Data!Z38/AB$4*100000*AB$3</f>
        <v>48754.76353939683</v>
      </c>
      <c r="AC35" s="494">
        <f>Data!AA38/AC$4*100000*AC$3</f>
        <v>64488.19405418852</v>
      </c>
      <c r="AD35" s="494">
        <f>Data!AB38/AD$4*100000*AD$3</f>
        <v>103562.10489978211</v>
      </c>
      <c r="AE35" s="494">
        <f>Data!AC38/AE$4*100000*AE$3</f>
        <v>220668.34926282978</v>
      </c>
      <c r="AF35" s="494">
        <f>Data!AD38/AF$4*100000*AF$3</f>
        <v>231963.90061796631</v>
      </c>
      <c r="AG35" s="494">
        <f>Data!AE38/AG$4*100000*AG$3</f>
        <v>249837.50406239842</v>
      </c>
      <c r="AH35" s="494">
        <f>Data!AF38/AH$4*100000*AH$3</f>
        <v>218041.68145631562</v>
      </c>
      <c r="AI35" s="494">
        <f>Data!AG38/AI$4*100000*AI$3</f>
        <v>120148.98474107894</v>
      </c>
      <c r="AJ35" s="494">
        <f>Data!AH38/AJ$4*100000*AJ$3</f>
        <v>132385.73021181716</v>
      </c>
      <c r="AK35" s="500" t="s">
        <v>353</v>
      </c>
      <c r="AL35" s="494">
        <f t="shared" si="3"/>
        <v>935549.1066024201</v>
      </c>
      <c r="AM35" s="494">
        <f>Data!Q38/AM$4*100000*AM$3</f>
        <v>0</v>
      </c>
      <c r="AN35" s="494">
        <f>Data!R38/AN$4*100000*AN$3</f>
        <v>0</v>
      </c>
      <c r="AO35" s="494">
        <f>Data!S38/AO$4*100000*AO$3</f>
        <v>0</v>
      </c>
      <c r="AP35" s="494">
        <f>Data!T38/AP$4*100000*AP$3</f>
        <v>0</v>
      </c>
      <c r="AQ35" s="494">
        <f>Data!U38/AQ$4*100000*AQ$3</f>
        <v>7392.4172280283501</v>
      </c>
      <c r="AR35" s="494">
        <f>Data!V38/AR$4*100000*AR$3</f>
        <v>0</v>
      </c>
      <c r="AS35" s="494">
        <f>Data!W38/AS$4*100000*AS$3</f>
        <v>0</v>
      </c>
      <c r="AT35" s="494">
        <f>Data!X38/AT$4*100000*AT$3</f>
        <v>6726.2311805656764</v>
      </c>
      <c r="AU35" s="494">
        <f>Data!Y38/AU$4*100000*AU$3</f>
        <v>12182.122734886554</v>
      </c>
      <c r="AV35" s="494">
        <f>Data!Z38/AV$4*100000*AV$3</f>
        <v>41789.797319482997</v>
      </c>
      <c r="AW35" s="494">
        <f>Data!AA38/AW$4*100000*AW$3</f>
        <v>46062.995752991796</v>
      </c>
      <c r="AX35" s="494">
        <f>Data!AB38/AX$4*100000*AX$3</f>
        <v>69041.403266521404</v>
      </c>
      <c r="AY35" s="494">
        <f>Data!AC38/AY$4*100000*AY$3</f>
        <v>176534.67941026384</v>
      </c>
      <c r="AZ35" s="494">
        <f>Data!AD38/AZ$4*100000*AZ$3</f>
        <v>173972.92546347473</v>
      </c>
      <c r="BA35" s="494">
        <f>Data!AE38/BA$4*100000*BA$3</f>
        <v>166558.33604159896</v>
      </c>
      <c r="BB35" s="494">
        <f>Data!AF38/BB$4*100000*BB$3</f>
        <v>109020.84072815781</v>
      </c>
      <c r="BC35" s="494">
        <f>Data!AG38/BC$4*100000*BC$3</f>
        <v>60074.492370539469</v>
      </c>
      <c r="BD35" s="494">
        <f>Data!AH38/BD$4*100000*BD$3</f>
        <v>66192.865105908582</v>
      </c>
    </row>
    <row r="36" spans="1:56" ht="12" customHeight="1">
      <c r="A36" s="30"/>
      <c r="B36" s="125" t="str">
        <f>UPPER(LEFT(TRIM(Data!B39),1)) &amp; MID(TRIM(Data!B39),2,50)</f>
        <v>Hodžkino limfomos</v>
      </c>
      <c r="C36" s="125" t="str">
        <f>UPPER(LEFT(TRIM(Data!C39),1)) &amp; MID(TRIM(Data!C39),2,50)</f>
        <v>C81</v>
      </c>
      <c r="D36" s="126">
        <f>Data!D39</f>
        <v>23</v>
      </c>
      <c r="E36" s="127">
        <f t="shared" si="0"/>
        <v>1.702283872858638</v>
      </c>
      <c r="F36" s="128">
        <f t="shared" si="4"/>
        <v>1.6702768737599201</v>
      </c>
      <c r="G36" s="129">
        <f t="shared" si="1"/>
        <v>1.6268666515545294</v>
      </c>
      <c r="H36" s="74"/>
      <c r="I36" s="74"/>
      <c r="J36" s="74"/>
      <c r="K36" s="74"/>
      <c r="L36" s="74"/>
      <c r="M36" s="74"/>
      <c r="N36" s="74"/>
      <c r="O36" s="58"/>
      <c r="P36" s="484"/>
      <c r="Q36" s="500" t="s">
        <v>353</v>
      </c>
      <c r="R36" s="494">
        <f t="shared" si="2"/>
        <v>167027.68737599201</v>
      </c>
      <c r="S36" s="494">
        <f>Data!Q39/S$4*100000*S$3</f>
        <v>0</v>
      </c>
      <c r="T36" s="494">
        <f>Data!R39/T$4*100000*T$3</f>
        <v>0</v>
      </c>
      <c r="U36" s="494">
        <f>Data!S39/U$4*100000*U$3</f>
        <v>9721.9521679953341</v>
      </c>
      <c r="V36" s="494">
        <f>Data!T39/V$4*100000*V$3</f>
        <v>31360.250882007054</v>
      </c>
      <c r="W36" s="494">
        <f>Data!U39/W$4*100000*W$3</f>
        <v>25873.460298099224</v>
      </c>
      <c r="X36" s="494">
        <f>Data!V39/X$4*100000*X$3</f>
        <v>0</v>
      </c>
      <c r="Y36" s="494">
        <f>Data!W39/Y$4*100000*Y$3</f>
        <v>23494.926214743627</v>
      </c>
      <c r="Z36" s="494">
        <f>Data!X39/Z$4*100000*Z$3</f>
        <v>15694.539421319911</v>
      </c>
      <c r="AA36" s="494">
        <f>Data!Y39/AA$4*100000*AA$3</f>
        <v>0</v>
      </c>
      <c r="AB36" s="494">
        <f>Data!Z39/AB$4*100000*AB$3</f>
        <v>20894.898659741499</v>
      </c>
      <c r="AC36" s="494">
        <f>Data!AA39/AC$4*100000*AC$3</f>
        <v>12897.6388108377</v>
      </c>
      <c r="AD36" s="494">
        <f>Data!AB39/AD$4*100000*AD$3</f>
        <v>12945.263112472763</v>
      </c>
      <c r="AE36" s="494">
        <f>Data!AC39/AE$4*100000*AE$3</f>
        <v>6895.8859144634307</v>
      </c>
      <c r="AF36" s="494">
        <f>Data!AD39/AF$4*100000*AF$3</f>
        <v>7248.8718943114472</v>
      </c>
      <c r="AG36" s="494">
        <f>Data!AE39/AG$4*100000*AG$3</f>
        <v>0</v>
      </c>
      <c r="AH36" s="494">
        <f>Data!AF39/AH$4*100000*AH$3</f>
        <v>0</v>
      </c>
      <c r="AI36" s="494">
        <f>Data!AG39/AI$4*100000*AI$3</f>
        <v>0</v>
      </c>
      <c r="AJ36" s="494">
        <f>Data!AH39/AJ$4*100000*AJ$3</f>
        <v>0</v>
      </c>
      <c r="AK36" s="500" t="s">
        <v>353</v>
      </c>
      <c r="AL36" s="494">
        <f t="shared" si="3"/>
        <v>162686.66515545294</v>
      </c>
      <c r="AM36" s="494">
        <f>Data!Q39/AM$4*100000*AM$3</f>
        <v>0</v>
      </c>
      <c r="AN36" s="494">
        <f>Data!R39/AN$4*100000*AN$3</f>
        <v>0</v>
      </c>
      <c r="AO36" s="494">
        <f>Data!S39/AO$4*100000*AO$3</f>
        <v>12499.652787422572</v>
      </c>
      <c r="AP36" s="494">
        <f>Data!T39/AP$4*100000*AP$3</f>
        <v>40320.322562580499</v>
      </c>
      <c r="AQ36" s="494">
        <f>Data!U39/AQ$4*100000*AQ$3</f>
        <v>29569.6689121134</v>
      </c>
      <c r="AR36" s="494">
        <f>Data!V39/AR$4*100000*AR$3</f>
        <v>0</v>
      </c>
      <c r="AS36" s="494">
        <f>Data!W39/AS$4*100000*AS$3</f>
        <v>20138.508184065966</v>
      </c>
      <c r="AT36" s="494">
        <f>Data!X39/AT$4*100000*AT$3</f>
        <v>13452.462361131353</v>
      </c>
      <c r="AU36" s="494">
        <f>Data!Y39/AU$4*100000*AU$3</f>
        <v>0</v>
      </c>
      <c r="AV36" s="494">
        <f>Data!Z39/AV$4*100000*AV$3</f>
        <v>17909.913136921285</v>
      </c>
      <c r="AW36" s="494">
        <f>Data!AA39/AW$4*100000*AW$3</f>
        <v>9212.5991505983566</v>
      </c>
      <c r="AX36" s="494">
        <f>Data!AB39/AX$4*100000*AX$3</f>
        <v>8630.1754083151754</v>
      </c>
      <c r="AY36" s="494">
        <f>Data!AC39/AY$4*100000*AY$3</f>
        <v>5516.7087315707449</v>
      </c>
      <c r="AZ36" s="494">
        <f>Data!AD39/AZ$4*100000*AZ$3</f>
        <v>5436.6539207335854</v>
      </c>
      <c r="BA36" s="494">
        <f>Data!AE39/BA$4*100000*BA$3</f>
        <v>0</v>
      </c>
      <c r="BB36" s="494">
        <f>Data!AF39/BB$4*100000*BB$3</f>
        <v>0</v>
      </c>
      <c r="BC36" s="494">
        <f>Data!AG39/BC$4*100000*BC$3</f>
        <v>0</v>
      </c>
      <c r="BD36" s="494">
        <f>Data!AH39/BD$4*100000*BD$3</f>
        <v>0</v>
      </c>
    </row>
    <row r="37" spans="1:56" ht="12" customHeight="1">
      <c r="A37" s="30"/>
      <c r="B37" s="130" t="str">
        <f>UPPER(LEFT(TRIM(Data!B40),1)) &amp; MID(TRIM(Data!B40),2,50)</f>
        <v>Ne Hodžkino limfomos</v>
      </c>
      <c r="C37" s="130" t="str">
        <f>UPPER(LEFT(TRIM(Data!C40),1)) &amp; MID(TRIM(Data!C40),2,50)</f>
        <v>C82-C85</v>
      </c>
      <c r="D37" s="131">
        <f>Data!D40</f>
        <v>161</v>
      </c>
      <c r="E37" s="132">
        <f t="shared" si="0"/>
        <v>11.915987110010464</v>
      </c>
      <c r="F37" s="133">
        <f t="shared" si="4"/>
        <v>10.227242002016665</v>
      </c>
      <c r="G37" s="133">
        <f t="shared" si="1"/>
        <v>7.3957985197872587</v>
      </c>
      <c r="H37" s="74"/>
      <c r="I37" s="74"/>
      <c r="J37" s="74"/>
      <c r="K37" s="74"/>
      <c r="L37" s="74"/>
      <c r="M37" s="74"/>
      <c r="N37" s="74"/>
      <c r="O37" s="58"/>
      <c r="P37" s="484"/>
      <c r="Q37" s="500" t="s">
        <v>353</v>
      </c>
      <c r="R37" s="494">
        <f t="shared" si="2"/>
        <v>1022724.2002016664</v>
      </c>
      <c r="S37" s="494">
        <f>Data!Q40/S$4*100000*S$3</f>
        <v>10356.121114836438</v>
      </c>
      <c r="T37" s="494">
        <f>Data!R40/T$4*100000*T$3</f>
        <v>10009.723731625007</v>
      </c>
      <c r="U37" s="494">
        <f>Data!S40/U$4*100000*U$3</f>
        <v>9721.9521679953341</v>
      </c>
      <c r="V37" s="494">
        <f>Data!T40/V$4*100000*V$3</f>
        <v>15680.125441003527</v>
      </c>
      <c r="W37" s="494">
        <f>Data!U40/W$4*100000*W$3</f>
        <v>6468.365074524806</v>
      </c>
      <c r="X37" s="494">
        <f>Data!V40/X$4*100000*X$3</f>
        <v>7005.6745964231022</v>
      </c>
      <c r="Y37" s="494">
        <f>Data!W40/Y$4*100000*Y$3</f>
        <v>7831.6420715812073</v>
      </c>
      <c r="Z37" s="494">
        <f>Data!X40/Z$4*100000*Z$3</f>
        <v>39236.348553299773</v>
      </c>
      <c r="AA37" s="494">
        <f>Data!Y40/AA$4*100000*AA$3</f>
        <v>35531.191310085778</v>
      </c>
      <c r="AB37" s="494">
        <f>Data!Z40/AB$4*100000*AB$3</f>
        <v>41789.797319482997</v>
      </c>
      <c r="AC37" s="494">
        <f>Data!AA40/AC$4*100000*AC$3</f>
        <v>109629.92989212046</v>
      </c>
      <c r="AD37" s="494">
        <f>Data!AB40/AD$4*100000*AD$3</f>
        <v>90616.841787309342</v>
      </c>
      <c r="AE37" s="494">
        <f>Data!AC40/AE$4*100000*AE$3</f>
        <v>165501.26194712234</v>
      </c>
      <c r="AF37" s="494">
        <f>Data!AD40/AF$4*100000*AF$3</f>
        <v>115981.95030898316</v>
      </c>
      <c r="AG37" s="494">
        <f>Data!AE40/AG$4*100000*AG$3</f>
        <v>109684.75788105297</v>
      </c>
      <c r="AH37" s="494">
        <f>Data!AF40/AH$4*100000*AH$3</f>
        <v>136909.89300745397</v>
      </c>
      <c r="AI37" s="494">
        <f>Data!AG40/AI$4*100000*AI$3</f>
        <v>48059.593896431572</v>
      </c>
      <c r="AJ37" s="494">
        <f>Data!AH40/AJ$4*100000*AJ$3</f>
        <v>62709.03010033445</v>
      </c>
      <c r="AK37" s="500" t="s">
        <v>353</v>
      </c>
      <c r="AL37" s="494">
        <f t="shared" si="3"/>
        <v>739579.85197872587</v>
      </c>
      <c r="AM37" s="494">
        <f>Data!Q40/AM$4*100000*AM$3</f>
        <v>15534.181672254659</v>
      </c>
      <c r="AN37" s="494">
        <f>Data!R40/AN$4*100000*AN$3</f>
        <v>14299.605330892866</v>
      </c>
      <c r="AO37" s="494">
        <f>Data!S40/AO$4*100000*AO$3</f>
        <v>12499.652787422572</v>
      </c>
      <c r="AP37" s="494">
        <f>Data!T40/AP$4*100000*AP$3</f>
        <v>20160.161281290249</v>
      </c>
      <c r="AQ37" s="494">
        <f>Data!U40/AQ$4*100000*AQ$3</f>
        <v>7392.4172280283501</v>
      </c>
      <c r="AR37" s="494">
        <f>Data!V40/AR$4*100000*AR$3</f>
        <v>8006.4852530549742</v>
      </c>
      <c r="AS37" s="494">
        <f>Data!W40/AS$4*100000*AS$3</f>
        <v>6712.8360613553205</v>
      </c>
      <c r="AT37" s="494">
        <f>Data!X40/AT$4*100000*AT$3</f>
        <v>33631.155902828381</v>
      </c>
      <c r="AU37" s="494">
        <f>Data!Y40/AU$4*100000*AU$3</f>
        <v>30455.306837216383</v>
      </c>
      <c r="AV37" s="494">
        <f>Data!Z40/AV$4*100000*AV$3</f>
        <v>35819.826273842569</v>
      </c>
      <c r="AW37" s="494">
        <f>Data!AA40/AW$4*100000*AW$3</f>
        <v>78307.092780086037</v>
      </c>
      <c r="AX37" s="494">
        <f>Data!AB40/AX$4*100000*AX$3</f>
        <v>60411.227858206228</v>
      </c>
      <c r="AY37" s="494">
        <f>Data!AC40/AY$4*100000*AY$3</f>
        <v>132401.00955769786</v>
      </c>
      <c r="AZ37" s="494">
        <f>Data!AD40/AZ$4*100000*AZ$3</f>
        <v>86986.462731737367</v>
      </c>
      <c r="BA37" s="494">
        <f>Data!AE40/BA$4*100000*BA$3</f>
        <v>73123.171920701978</v>
      </c>
      <c r="BB37" s="494">
        <f>Data!AF40/BB$4*100000*BB$3</f>
        <v>68454.946503726984</v>
      </c>
      <c r="BC37" s="494">
        <f>Data!AG40/BC$4*100000*BC$3</f>
        <v>24029.796948215786</v>
      </c>
      <c r="BD37" s="494">
        <f>Data!AH40/BD$4*100000*BD$3</f>
        <v>31354.515050167225</v>
      </c>
    </row>
    <row r="38" spans="1:56" ht="12" customHeight="1">
      <c r="A38" s="30"/>
      <c r="B38" s="125" t="str">
        <f>UPPER(LEFT(TRIM(Data!B41),1)) &amp; MID(TRIM(Data!B41),2,50)</f>
        <v>Mielominės ligos</v>
      </c>
      <c r="C38" s="125" t="str">
        <f>UPPER(LEFT(TRIM(Data!C41),1)) &amp; MID(TRIM(Data!C41),2,50)</f>
        <v>C90</v>
      </c>
      <c r="D38" s="126">
        <f>Data!D41</f>
        <v>83</v>
      </c>
      <c r="E38" s="127">
        <f t="shared" si="0"/>
        <v>6.143024410750737</v>
      </c>
      <c r="F38" s="128">
        <f t="shared" si="4"/>
        <v>4.9480770009913204</v>
      </c>
      <c r="G38" s="129">
        <f t="shared" si="1"/>
        <v>3.2240316799233377</v>
      </c>
      <c r="H38" s="74"/>
      <c r="I38" s="74"/>
      <c r="J38" s="74"/>
      <c r="K38" s="74"/>
      <c r="L38" s="74"/>
      <c r="M38" s="74"/>
      <c r="N38" s="74"/>
      <c r="O38" s="58"/>
      <c r="P38" s="484"/>
      <c r="Q38" s="500" t="s">
        <v>353</v>
      </c>
      <c r="R38" s="494">
        <f t="shared" si="2"/>
        <v>494807.70009913208</v>
      </c>
      <c r="S38" s="494">
        <f>Data!Q41/S$4*100000*S$3</f>
        <v>0</v>
      </c>
      <c r="T38" s="494">
        <f>Data!R41/T$4*100000*T$3</f>
        <v>0</v>
      </c>
      <c r="U38" s="494">
        <f>Data!S41/U$4*100000*U$3</f>
        <v>0</v>
      </c>
      <c r="V38" s="494">
        <f>Data!T41/V$4*100000*V$3</f>
        <v>0</v>
      </c>
      <c r="W38" s="494">
        <f>Data!U41/W$4*100000*W$3</f>
        <v>0</v>
      </c>
      <c r="X38" s="494">
        <f>Data!V41/X$4*100000*X$3</f>
        <v>0</v>
      </c>
      <c r="Y38" s="494">
        <f>Data!W41/Y$4*100000*Y$3</f>
        <v>0</v>
      </c>
      <c r="Z38" s="494">
        <f>Data!X41/Z$4*100000*Z$3</f>
        <v>0</v>
      </c>
      <c r="AA38" s="494">
        <f>Data!Y41/AA$4*100000*AA$3</f>
        <v>7106.2382620171566</v>
      </c>
      <c r="AB38" s="494">
        <f>Data!Z41/AB$4*100000*AB$3</f>
        <v>20894.898659741499</v>
      </c>
      <c r="AC38" s="494">
        <f>Data!AA41/AC$4*100000*AC$3</f>
        <v>51590.555243350798</v>
      </c>
      <c r="AD38" s="494">
        <f>Data!AB41/AD$4*100000*AD$3</f>
        <v>90616.841787309342</v>
      </c>
      <c r="AE38" s="494">
        <f>Data!AC41/AE$4*100000*AE$3</f>
        <v>34479.429572317153</v>
      </c>
      <c r="AF38" s="494">
        <f>Data!AD41/AF$4*100000*AF$3</f>
        <v>65239.847048803029</v>
      </c>
      <c r="AG38" s="494">
        <f>Data!AE41/AG$4*100000*AG$3</f>
        <v>73123.171920701978</v>
      </c>
      <c r="AH38" s="494">
        <f>Data!AF41/AH$4*100000*AH$3</f>
        <v>60848.841336646219</v>
      </c>
      <c r="AI38" s="494">
        <f>Data!AG41/AI$4*100000*AI$3</f>
        <v>56069.526212503508</v>
      </c>
      <c r="AJ38" s="494">
        <f>Data!AH41/AJ$4*100000*AJ$3</f>
        <v>34838.350055741364</v>
      </c>
      <c r="AK38" s="500" t="s">
        <v>353</v>
      </c>
      <c r="AL38" s="494">
        <f t="shared" si="3"/>
        <v>322403.16799233377</v>
      </c>
      <c r="AM38" s="494">
        <f>Data!Q41/AM$4*100000*AM$3</f>
        <v>0</v>
      </c>
      <c r="AN38" s="494">
        <f>Data!R41/AN$4*100000*AN$3</f>
        <v>0</v>
      </c>
      <c r="AO38" s="494">
        <f>Data!S41/AO$4*100000*AO$3</f>
        <v>0</v>
      </c>
      <c r="AP38" s="494">
        <f>Data!T41/AP$4*100000*AP$3</f>
        <v>0</v>
      </c>
      <c r="AQ38" s="494">
        <f>Data!U41/AQ$4*100000*AQ$3</f>
        <v>0</v>
      </c>
      <c r="AR38" s="494">
        <f>Data!V41/AR$4*100000*AR$3</f>
        <v>0</v>
      </c>
      <c r="AS38" s="494">
        <f>Data!W41/AS$4*100000*AS$3</f>
        <v>0</v>
      </c>
      <c r="AT38" s="494">
        <f>Data!X41/AT$4*100000*AT$3</f>
        <v>0</v>
      </c>
      <c r="AU38" s="494">
        <f>Data!Y41/AU$4*100000*AU$3</f>
        <v>6091.061367443277</v>
      </c>
      <c r="AV38" s="494">
        <f>Data!Z41/AV$4*100000*AV$3</f>
        <v>17909.913136921285</v>
      </c>
      <c r="AW38" s="494">
        <f>Data!AA41/AW$4*100000*AW$3</f>
        <v>36850.396602393426</v>
      </c>
      <c r="AX38" s="494">
        <f>Data!AB41/AX$4*100000*AX$3</f>
        <v>60411.227858206228</v>
      </c>
      <c r="AY38" s="494">
        <f>Data!AC41/AY$4*100000*AY$3</f>
        <v>27583.543657853723</v>
      </c>
      <c r="AZ38" s="494">
        <f>Data!AD41/AZ$4*100000*AZ$3</f>
        <v>48929.885286602272</v>
      </c>
      <c r="BA38" s="494">
        <f>Data!AE41/BA$4*100000*BA$3</f>
        <v>48748.781280467985</v>
      </c>
      <c r="BB38" s="494">
        <f>Data!AF41/BB$4*100000*BB$3</f>
        <v>30424.42066832311</v>
      </c>
      <c r="BC38" s="494">
        <f>Data!AG41/BC$4*100000*BC$3</f>
        <v>28034.763106251754</v>
      </c>
      <c r="BD38" s="494">
        <f>Data!AH41/BD$4*100000*BD$3</f>
        <v>17419.175027870682</v>
      </c>
    </row>
    <row r="39" spans="1:56" ht="12" customHeight="1">
      <c r="A39" s="30"/>
      <c r="B39" s="130" t="str">
        <f>UPPER(LEFT(TRIM(Data!B42),1)) &amp; MID(TRIM(Data!B42),2,50)</f>
        <v>Leukemijos</v>
      </c>
      <c r="C39" s="130" t="str">
        <f>UPPER(LEFT(TRIM(Data!C42),1)) &amp; MID(TRIM(Data!C42),2,50)</f>
        <v>C91-C95</v>
      </c>
      <c r="D39" s="131">
        <f>Data!D42</f>
        <v>224</v>
      </c>
      <c r="E39" s="132">
        <f t="shared" si="0"/>
        <v>16.578764674797171</v>
      </c>
      <c r="F39" s="133">
        <f t="shared" si="4"/>
        <v>14.154346441503534</v>
      </c>
      <c r="G39" s="133">
        <f t="shared" si="1"/>
        <v>10.7102211833528</v>
      </c>
      <c r="H39" s="74"/>
      <c r="I39" s="74"/>
      <c r="J39" s="74"/>
      <c r="K39" s="74"/>
      <c r="L39" s="74"/>
      <c r="M39" s="74"/>
      <c r="N39" s="74"/>
      <c r="O39" s="58"/>
      <c r="P39" s="484"/>
      <c r="Q39" s="500" t="s">
        <v>353</v>
      </c>
      <c r="R39" s="494">
        <f t="shared" si="2"/>
        <v>1415434.6441503535</v>
      </c>
      <c r="S39" s="494">
        <f>Data!Q42/S$4*100000*S$3</f>
        <v>124273.45337803726</v>
      </c>
      <c r="T39" s="494">
        <f>Data!R42/T$4*100000*T$3</f>
        <v>20019.447463250013</v>
      </c>
      <c r="U39" s="494">
        <f>Data!S42/U$4*100000*U$3</f>
        <v>9721.9521679953341</v>
      </c>
      <c r="V39" s="494">
        <f>Data!T42/V$4*100000*V$3</f>
        <v>7840.0627205017636</v>
      </c>
      <c r="W39" s="494">
        <f>Data!U42/W$4*100000*W$3</f>
        <v>12936.730149049612</v>
      </c>
      <c r="X39" s="494">
        <f>Data!V42/X$4*100000*X$3</f>
        <v>14011.349192846204</v>
      </c>
      <c r="Y39" s="494">
        <f>Data!W42/Y$4*100000*Y$3</f>
        <v>39158.210357906042</v>
      </c>
      <c r="Z39" s="494">
        <f>Data!X42/Z$4*100000*Z$3</f>
        <v>15694.539421319911</v>
      </c>
      <c r="AA39" s="494">
        <f>Data!Y42/AA$4*100000*AA$3</f>
        <v>21318.714786051467</v>
      </c>
      <c r="AB39" s="494">
        <f>Data!Z42/AB$4*100000*AB$3</f>
        <v>27859.864879655335</v>
      </c>
      <c r="AC39" s="494">
        <f>Data!AA42/AC$4*100000*AC$3</f>
        <v>103181.1104867016</v>
      </c>
      <c r="AD39" s="494">
        <f>Data!AB42/AD$4*100000*AD$3</f>
        <v>84144.210231072953</v>
      </c>
      <c r="AE39" s="494">
        <f>Data!AC42/AE$4*100000*AE$3</f>
        <v>144813.60420373207</v>
      </c>
      <c r="AF39" s="494">
        <f>Data!AD42/AF$4*100000*AF$3</f>
        <v>152226.30978054038</v>
      </c>
      <c r="AG39" s="494">
        <f>Data!AE42/AG$4*100000*AG$3</f>
        <v>207182.32044198891</v>
      </c>
      <c r="AH39" s="494">
        <f>Data!AF42/AH$4*100000*AH$3</f>
        <v>177475.78723188478</v>
      </c>
      <c r="AI39" s="494">
        <f>Data!AG42/AI$4*100000*AI$3</f>
        <v>128158.91705715086</v>
      </c>
      <c r="AJ39" s="494">
        <f>Data!AH42/AJ$4*100000*AJ$3</f>
        <v>125418.0602006689</v>
      </c>
      <c r="AK39" s="500" t="s">
        <v>353</v>
      </c>
      <c r="AL39" s="494">
        <f t="shared" si="3"/>
        <v>1071022.1183352801</v>
      </c>
      <c r="AM39" s="494">
        <f>Data!Q42/AM$4*100000*AM$3</f>
        <v>186410.18006705589</v>
      </c>
      <c r="AN39" s="494">
        <f>Data!R42/AN$4*100000*AN$3</f>
        <v>28599.210661785732</v>
      </c>
      <c r="AO39" s="494">
        <f>Data!S42/AO$4*100000*AO$3</f>
        <v>12499.652787422572</v>
      </c>
      <c r="AP39" s="494">
        <f>Data!T42/AP$4*100000*AP$3</f>
        <v>10080.080640645125</v>
      </c>
      <c r="AQ39" s="494">
        <f>Data!U42/AQ$4*100000*AQ$3</f>
        <v>14784.8344560567</v>
      </c>
      <c r="AR39" s="494">
        <f>Data!V42/AR$4*100000*AR$3</f>
        <v>16012.970506109948</v>
      </c>
      <c r="AS39" s="494">
        <f>Data!W42/AS$4*100000*AS$3</f>
        <v>33564.180306776609</v>
      </c>
      <c r="AT39" s="494">
        <f>Data!X42/AT$4*100000*AT$3</f>
        <v>13452.462361131353</v>
      </c>
      <c r="AU39" s="494">
        <f>Data!Y42/AU$4*100000*AU$3</f>
        <v>18273.184102329829</v>
      </c>
      <c r="AV39" s="494">
        <f>Data!Z42/AV$4*100000*AV$3</f>
        <v>23879.884182561716</v>
      </c>
      <c r="AW39" s="494">
        <f>Data!AA42/AW$4*100000*AW$3</f>
        <v>73700.793204786853</v>
      </c>
      <c r="AX39" s="494">
        <f>Data!AB42/AX$4*100000*AX$3</f>
        <v>56096.140154048633</v>
      </c>
      <c r="AY39" s="494">
        <f>Data!AC42/AY$4*100000*AY$3</f>
        <v>115850.88336298565</v>
      </c>
      <c r="AZ39" s="494">
        <f>Data!AD42/AZ$4*100000*AZ$3</f>
        <v>114169.73233540529</v>
      </c>
      <c r="BA39" s="494">
        <f>Data!AE42/BA$4*100000*BA$3</f>
        <v>138121.54696132595</v>
      </c>
      <c r="BB39" s="494">
        <f>Data!AF42/BB$4*100000*BB$3</f>
        <v>88737.89361594239</v>
      </c>
      <c r="BC39" s="494">
        <f>Data!AG42/BC$4*100000*BC$3</f>
        <v>64079.458528575429</v>
      </c>
      <c r="BD39" s="494">
        <f>Data!AH42/BD$4*100000*BD$3</f>
        <v>62709.03010033445</v>
      </c>
    </row>
    <row r="40" spans="1:56" ht="12" customHeight="1">
      <c r="A40" s="30"/>
      <c r="B40" s="125" t="str">
        <f>UPPER(LEFT(TRIM(Data!B43),1)) &amp; MID(TRIM(Data!B43),2,50)</f>
        <v>Kiti limfinio, kraujodaros audinių</v>
      </c>
      <c r="C40" s="125" t="str">
        <f>UPPER(LEFT(TRIM(Data!C43),1)) &amp; MID(TRIM(Data!C43),2,50)</f>
        <v>C88, C96</v>
      </c>
      <c r="D40" s="126">
        <f>Data!D43</f>
        <v>7</v>
      </c>
      <c r="E40" s="127">
        <f t="shared" si="0"/>
        <v>0.51808639608741158</v>
      </c>
      <c r="F40" s="128">
        <f t="shared" si="4"/>
        <v>0.44008727086285843</v>
      </c>
      <c r="G40" s="129">
        <f t="shared" si="1"/>
        <v>0.33924950233100853</v>
      </c>
      <c r="H40" s="74"/>
      <c r="I40" s="74"/>
      <c r="J40" s="74"/>
      <c r="K40" s="74"/>
      <c r="L40" s="74"/>
      <c r="M40" s="74"/>
      <c r="N40" s="74"/>
      <c r="O40" s="58"/>
      <c r="P40" s="484"/>
      <c r="Q40" s="500" t="s">
        <v>353</v>
      </c>
      <c r="R40" s="494">
        <f t="shared" si="2"/>
        <v>44008.727086285842</v>
      </c>
      <c r="S40" s="494">
        <f>Data!Q43/S$4*100000*S$3</f>
        <v>0</v>
      </c>
      <c r="T40" s="494">
        <f>Data!R43/T$4*100000*T$3</f>
        <v>0</v>
      </c>
      <c r="U40" s="494">
        <f>Data!S43/U$4*100000*U$3</f>
        <v>0</v>
      </c>
      <c r="V40" s="494">
        <f>Data!T43/V$4*100000*V$3</f>
        <v>0</v>
      </c>
      <c r="W40" s="494">
        <f>Data!U43/W$4*100000*W$3</f>
        <v>6468.365074524806</v>
      </c>
      <c r="X40" s="494">
        <f>Data!V43/X$4*100000*X$3</f>
        <v>0</v>
      </c>
      <c r="Y40" s="494">
        <f>Data!W43/Y$4*100000*Y$3</f>
        <v>0</v>
      </c>
      <c r="Z40" s="494">
        <f>Data!X43/Z$4*100000*Z$3</f>
        <v>7847.2697106599553</v>
      </c>
      <c r="AA40" s="494">
        <f>Data!Y43/AA$4*100000*AA$3</f>
        <v>0</v>
      </c>
      <c r="AB40" s="494">
        <f>Data!Z43/AB$4*100000*AB$3</f>
        <v>0</v>
      </c>
      <c r="AC40" s="494">
        <f>Data!AA43/AC$4*100000*AC$3</f>
        <v>0</v>
      </c>
      <c r="AD40" s="494">
        <f>Data!AB43/AD$4*100000*AD$3</f>
        <v>6472.6315562363816</v>
      </c>
      <c r="AE40" s="494">
        <f>Data!AC43/AE$4*100000*AE$3</f>
        <v>6895.8859144634307</v>
      </c>
      <c r="AF40" s="494">
        <f>Data!AD43/AF$4*100000*AF$3</f>
        <v>7248.8718943114472</v>
      </c>
      <c r="AG40" s="494">
        <f>Data!AE43/AG$4*100000*AG$3</f>
        <v>0</v>
      </c>
      <c r="AH40" s="494">
        <f>Data!AF43/AH$4*100000*AH$3</f>
        <v>5070.7367780538516</v>
      </c>
      <c r="AI40" s="494">
        <f>Data!AG43/AI$4*100000*AI$3</f>
        <v>4004.9661580359643</v>
      </c>
      <c r="AJ40" s="494">
        <f>Data!AH43/AJ$4*100000*AJ$3</f>
        <v>0</v>
      </c>
      <c r="AK40" s="500" t="s">
        <v>353</v>
      </c>
      <c r="AL40" s="494">
        <f t="shared" si="3"/>
        <v>33924.950233100855</v>
      </c>
      <c r="AM40" s="494">
        <f>Data!Q43/AM$4*100000*AM$3</f>
        <v>0</v>
      </c>
      <c r="AN40" s="494">
        <f>Data!R43/AN$4*100000*AN$3</f>
        <v>0</v>
      </c>
      <c r="AO40" s="494">
        <f>Data!S43/AO$4*100000*AO$3</f>
        <v>0</v>
      </c>
      <c r="AP40" s="494">
        <f>Data!T43/AP$4*100000*AP$3</f>
        <v>0</v>
      </c>
      <c r="AQ40" s="494">
        <f>Data!U43/AQ$4*100000*AQ$3</f>
        <v>7392.4172280283501</v>
      </c>
      <c r="AR40" s="494">
        <f>Data!V43/AR$4*100000*AR$3</f>
        <v>0</v>
      </c>
      <c r="AS40" s="494">
        <f>Data!W43/AS$4*100000*AS$3</f>
        <v>0</v>
      </c>
      <c r="AT40" s="494">
        <f>Data!X43/AT$4*100000*AT$3</f>
        <v>6726.2311805656764</v>
      </c>
      <c r="AU40" s="494">
        <f>Data!Y43/AU$4*100000*AU$3</f>
        <v>0</v>
      </c>
      <c r="AV40" s="494">
        <f>Data!Z43/AV$4*100000*AV$3</f>
        <v>0</v>
      </c>
      <c r="AW40" s="494">
        <f>Data!AA43/AW$4*100000*AW$3</f>
        <v>0</v>
      </c>
      <c r="AX40" s="494">
        <f>Data!AB43/AX$4*100000*AX$3</f>
        <v>4315.0877041575877</v>
      </c>
      <c r="AY40" s="494">
        <f>Data!AC43/AY$4*100000*AY$3</f>
        <v>5516.7087315707449</v>
      </c>
      <c r="AZ40" s="494">
        <f>Data!AD43/AZ$4*100000*AZ$3</f>
        <v>5436.6539207335854</v>
      </c>
      <c r="BA40" s="494">
        <f>Data!AE43/BA$4*100000*BA$3</f>
        <v>0</v>
      </c>
      <c r="BB40" s="494">
        <f>Data!AF43/BB$4*100000*BB$3</f>
        <v>2535.3683890269258</v>
      </c>
      <c r="BC40" s="494">
        <f>Data!AG43/BC$4*100000*BC$3</f>
        <v>2002.4830790179822</v>
      </c>
      <c r="BD40" s="494">
        <f>Data!AH43/BD$4*100000*BD$3</f>
        <v>0</v>
      </c>
    </row>
    <row r="41" spans="1:56" ht="24" customHeight="1">
      <c r="A41" s="30"/>
      <c r="B41" s="134"/>
      <c r="C41" s="134"/>
      <c r="D41" s="135"/>
      <c r="E41" s="136"/>
      <c r="F41" s="137"/>
      <c r="G41" s="137"/>
      <c r="H41" s="74"/>
      <c r="I41" s="74"/>
      <c r="J41" s="74"/>
      <c r="K41" s="74"/>
      <c r="L41" s="74"/>
      <c r="M41" s="74"/>
      <c r="N41" s="74"/>
      <c r="O41" s="58"/>
      <c r="P41" s="484"/>
      <c r="Q41" s="500"/>
      <c r="R41" s="494"/>
      <c r="S41" s="494"/>
      <c r="T41" s="494"/>
      <c r="U41" s="494"/>
      <c r="V41" s="494"/>
      <c r="W41" s="494"/>
      <c r="X41" s="494"/>
      <c r="Y41" s="494"/>
      <c r="Z41" s="494"/>
      <c r="AA41" s="494"/>
      <c r="AB41" s="494"/>
      <c r="AC41" s="494"/>
      <c r="AD41" s="494"/>
      <c r="AE41" s="494"/>
      <c r="AF41" s="494"/>
      <c r="AG41" s="494"/>
      <c r="AH41" s="494"/>
      <c r="AI41" s="494"/>
      <c r="AJ41" s="494"/>
      <c r="AK41" s="500"/>
      <c r="AL41" s="494"/>
      <c r="AM41" s="494"/>
      <c r="AN41" s="494"/>
      <c r="AO41" s="494"/>
      <c r="AP41" s="494"/>
      <c r="AQ41" s="494"/>
      <c r="AR41" s="494"/>
      <c r="AS41" s="494"/>
      <c r="AT41" s="494"/>
      <c r="AU41" s="494"/>
      <c r="AV41" s="494"/>
      <c r="AW41" s="494"/>
      <c r="AX41" s="494"/>
      <c r="AY41" s="494"/>
      <c r="AZ41" s="494"/>
      <c r="BA41" s="494"/>
      <c r="BB41" s="494"/>
      <c r="BC41" s="494"/>
      <c r="BD41" s="494"/>
    </row>
    <row r="42" spans="1:56" ht="12" customHeight="1">
      <c r="A42" s="30"/>
      <c r="B42" s="125" t="str">
        <f>UPPER(LEFT(TRIM(Data!B44),1)) &amp; MID(TRIM(Data!B44),2,50)</f>
        <v>Melanoma in situ</v>
      </c>
      <c r="C42" s="125" t="str">
        <f>UPPER(LEFT(TRIM(Data!C44),1)) &amp; MID(TRIM(Data!C44),2,50)</f>
        <v>D03</v>
      </c>
      <c r="D42" s="126">
        <f>Data!D44</f>
        <v>13</v>
      </c>
      <c r="E42" s="127">
        <f t="shared" si="0"/>
        <v>0.96216044987662142</v>
      </c>
      <c r="F42" s="128">
        <f t="shared" si="4"/>
        <v>0.84922865246329937</v>
      </c>
      <c r="G42" s="129">
        <f t="shared" si="1"/>
        <v>0.62150171235366947</v>
      </c>
      <c r="H42" s="74"/>
      <c r="I42" s="74"/>
      <c r="J42" s="74"/>
      <c r="K42" s="74"/>
      <c r="L42" s="74"/>
      <c r="M42" s="74"/>
      <c r="N42" s="74"/>
      <c r="O42" s="58"/>
      <c r="P42" s="484"/>
      <c r="Q42" s="500" t="s">
        <v>353</v>
      </c>
      <c r="R42" s="494">
        <f t="shared" si="2"/>
        <v>84922.865246329937</v>
      </c>
      <c r="S42" s="494">
        <f>Data!Q44/S$4*100000*S$3</f>
        <v>0</v>
      </c>
      <c r="T42" s="494">
        <f>Data!R44/T$4*100000*T$3</f>
        <v>0</v>
      </c>
      <c r="U42" s="494">
        <f>Data!S44/U$4*100000*U$3</f>
        <v>0</v>
      </c>
      <c r="V42" s="494">
        <f>Data!T44/V$4*100000*V$3</f>
        <v>0</v>
      </c>
      <c r="W42" s="494">
        <f>Data!U44/W$4*100000*W$3</f>
        <v>0</v>
      </c>
      <c r="X42" s="494">
        <f>Data!V44/X$4*100000*X$3</f>
        <v>0</v>
      </c>
      <c r="Y42" s="494">
        <f>Data!W44/Y$4*100000*Y$3</f>
        <v>0</v>
      </c>
      <c r="Z42" s="494">
        <f>Data!X44/Z$4*100000*Z$3</f>
        <v>7847.2697106599553</v>
      </c>
      <c r="AA42" s="494">
        <f>Data!Y44/AA$4*100000*AA$3</f>
        <v>7106.2382620171566</v>
      </c>
      <c r="AB42" s="494">
        <f>Data!Z44/AB$4*100000*AB$3</f>
        <v>0</v>
      </c>
      <c r="AC42" s="494">
        <f>Data!AA44/AC$4*100000*AC$3</f>
        <v>6448.8194054188498</v>
      </c>
      <c r="AD42" s="494">
        <f>Data!AB44/AD$4*100000*AD$3</f>
        <v>12945.263112472763</v>
      </c>
      <c r="AE42" s="494">
        <f>Data!AC44/AE$4*100000*AE$3</f>
        <v>13791.771828926861</v>
      </c>
      <c r="AF42" s="494">
        <f>Data!AD44/AF$4*100000*AF$3</f>
        <v>14497.743788622894</v>
      </c>
      <c r="AG42" s="494">
        <f>Data!AE44/AG$4*100000*AG$3</f>
        <v>18280.792980175494</v>
      </c>
      <c r="AH42" s="494">
        <f>Data!AF44/AH$4*100000*AH$3</f>
        <v>0</v>
      </c>
      <c r="AI42" s="494">
        <f>Data!AG44/AI$4*100000*AI$3</f>
        <v>4004.9661580359643</v>
      </c>
      <c r="AJ42" s="494">
        <f>Data!AH44/AJ$4*100000*AJ$3</f>
        <v>0</v>
      </c>
      <c r="AK42" s="500" t="s">
        <v>353</v>
      </c>
      <c r="AL42" s="494">
        <f t="shared" si="3"/>
        <v>62150.17123536695</v>
      </c>
      <c r="AM42" s="494">
        <f>Data!Q44/AM$4*100000*AM$3</f>
        <v>0</v>
      </c>
      <c r="AN42" s="494">
        <f>Data!R44/AN$4*100000*AN$3</f>
        <v>0</v>
      </c>
      <c r="AO42" s="494">
        <f>Data!S44/AO$4*100000*AO$3</f>
        <v>0</v>
      </c>
      <c r="AP42" s="494">
        <f>Data!T44/AP$4*100000*AP$3</f>
        <v>0</v>
      </c>
      <c r="AQ42" s="494">
        <f>Data!U44/AQ$4*100000*AQ$3</f>
        <v>0</v>
      </c>
      <c r="AR42" s="494">
        <f>Data!V44/AR$4*100000*AR$3</f>
        <v>0</v>
      </c>
      <c r="AS42" s="494">
        <f>Data!W44/AS$4*100000*AS$3</f>
        <v>0</v>
      </c>
      <c r="AT42" s="494">
        <f>Data!X44/AT$4*100000*AT$3</f>
        <v>6726.2311805656764</v>
      </c>
      <c r="AU42" s="494">
        <f>Data!Y44/AU$4*100000*AU$3</f>
        <v>6091.061367443277</v>
      </c>
      <c r="AV42" s="494">
        <f>Data!Z44/AV$4*100000*AV$3</f>
        <v>0</v>
      </c>
      <c r="AW42" s="494">
        <f>Data!AA44/AW$4*100000*AW$3</f>
        <v>4606.2995752991783</v>
      </c>
      <c r="AX42" s="494">
        <f>Data!AB44/AX$4*100000*AX$3</f>
        <v>8630.1754083151754</v>
      </c>
      <c r="AY42" s="494">
        <f>Data!AC44/AY$4*100000*AY$3</f>
        <v>11033.41746314149</v>
      </c>
      <c r="AZ42" s="494">
        <f>Data!AD44/AZ$4*100000*AZ$3</f>
        <v>10873.307841467171</v>
      </c>
      <c r="BA42" s="494">
        <f>Data!AE44/BA$4*100000*BA$3</f>
        <v>12187.195320116996</v>
      </c>
      <c r="BB42" s="494">
        <f>Data!AF44/BB$4*100000*BB$3</f>
        <v>0</v>
      </c>
      <c r="BC42" s="494">
        <f>Data!AG44/BC$4*100000*BC$3</f>
        <v>2002.4830790179822</v>
      </c>
      <c r="BD42" s="494">
        <f>Data!AH44/BD$4*100000*BD$3</f>
        <v>0</v>
      </c>
    </row>
    <row r="43" spans="1:56" ht="12" customHeight="1">
      <c r="A43" s="30"/>
      <c r="B43" s="130" t="str">
        <f>UPPER(LEFT(TRIM(Data!B45),1)) &amp; MID(TRIM(Data!B45),2,50)</f>
        <v>Krūties navikai in situ</v>
      </c>
      <c r="C43" s="130" t="str">
        <f>UPPER(LEFT(TRIM(Data!C45),1)) &amp; MID(TRIM(Data!C45),2,50)</f>
        <v>D05</v>
      </c>
      <c r="D43" s="131">
        <f>Data!D45</f>
        <v>0</v>
      </c>
      <c r="E43" s="132">
        <f t="shared" si="0"/>
        <v>0</v>
      </c>
      <c r="F43" s="133">
        <f t="shared" si="4"/>
        <v>0</v>
      </c>
      <c r="G43" s="133">
        <f t="shared" si="1"/>
        <v>0</v>
      </c>
      <c r="H43" s="74"/>
      <c r="I43" s="74"/>
      <c r="J43" s="74"/>
      <c r="K43" s="74"/>
      <c r="L43" s="74"/>
      <c r="M43" s="74"/>
      <c r="N43" s="74"/>
      <c r="O43" s="58"/>
      <c r="P43" s="484"/>
      <c r="Q43" s="500" t="s">
        <v>353</v>
      </c>
      <c r="R43" s="494">
        <f t="shared" si="2"/>
        <v>0</v>
      </c>
      <c r="S43" s="494">
        <f>Data!Q45/S$4*100000*S$3</f>
        <v>0</v>
      </c>
      <c r="T43" s="494">
        <f>Data!R45/T$4*100000*T$3</f>
        <v>0</v>
      </c>
      <c r="U43" s="494">
        <f>Data!S45/U$4*100000*U$3</f>
        <v>0</v>
      </c>
      <c r="V43" s="494">
        <f>Data!T45/V$4*100000*V$3</f>
        <v>0</v>
      </c>
      <c r="W43" s="494">
        <f>Data!U45/W$4*100000*W$3</f>
        <v>0</v>
      </c>
      <c r="X43" s="494">
        <f>Data!V45/X$4*100000*X$3</f>
        <v>0</v>
      </c>
      <c r="Y43" s="494">
        <f>Data!W45/Y$4*100000*Y$3</f>
        <v>0</v>
      </c>
      <c r="Z43" s="494">
        <f>Data!X45/Z$4*100000*Z$3</f>
        <v>0</v>
      </c>
      <c r="AA43" s="494">
        <f>Data!Y45/AA$4*100000*AA$3</f>
        <v>0</v>
      </c>
      <c r="AB43" s="494">
        <f>Data!Z45/AB$4*100000*AB$3</f>
        <v>0</v>
      </c>
      <c r="AC43" s="494">
        <f>Data!AA45/AC$4*100000*AC$3</f>
        <v>0</v>
      </c>
      <c r="AD43" s="494">
        <f>Data!AB45/AD$4*100000*AD$3</f>
        <v>0</v>
      </c>
      <c r="AE43" s="494">
        <f>Data!AC45/AE$4*100000*AE$3</f>
        <v>0</v>
      </c>
      <c r="AF43" s="494">
        <f>Data!AD45/AF$4*100000*AF$3</f>
        <v>0</v>
      </c>
      <c r="AG43" s="494">
        <f>Data!AE45/AG$4*100000*AG$3</f>
        <v>0</v>
      </c>
      <c r="AH43" s="494">
        <f>Data!AF45/AH$4*100000*AH$3</f>
        <v>0</v>
      </c>
      <c r="AI43" s="494">
        <f>Data!AG45/AI$4*100000*AI$3</f>
        <v>0</v>
      </c>
      <c r="AJ43" s="494">
        <f>Data!AH45/AJ$4*100000*AJ$3</f>
        <v>0</v>
      </c>
      <c r="AK43" s="500" t="s">
        <v>353</v>
      </c>
      <c r="AL43" s="494">
        <f t="shared" si="3"/>
        <v>0</v>
      </c>
      <c r="AM43" s="494">
        <f>Data!Q45/AM$4*100000*AM$3</f>
        <v>0</v>
      </c>
      <c r="AN43" s="494">
        <f>Data!R45/AN$4*100000*AN$3</f>
        <v>0</v>
      </c>
      <c r="AO43" s="494">
        <f>Data!S45/AO$4*100000*AO$3</f>
        <v>0</v>
      </c>
      <c r="AP43" s="494">
        <f>Data!T45/AP$4*100000*AP$3</f>
        <v>0</v>
      </c>
      <c r="AQ43" s="494">
        <f>Data!U45/AQ$4*100000*AQ$3</f>
        <v>0</v>
      </c>
      <c r="AR43" s="494">
        <f>Data!V45/AR$4*100000*AR$3</f>
        <v>0</v>
      </c>
      <c r="AS43" s="494">
        <f>Data!W45/AS$4*100000*AS$3</f>
        <v>0</v>
      </c>
      <c r="AT43" s="494">
        <f>Data!X45/AT$4*100000*AT$3</f>
        <v>0</v>
      </c>
      <c r="AU43" s="494">
        <f>Data!Y45/AU$4*100000*AU$3</f>
        <v>0</v>
      </c>
      <c r="AV43" s="494">
        <f>Data!Z45/AV$4*100000*AV$3</f>
        <v>0</v>
      </c>
      <c r="AW43" s="494">
        <f>Data!AA45/AW$4*100000*AW$3</f>
        <v>0</v>
      </c>
      <c r="AX43" s="494">
        <f>Data!AB45/AX$4*100000*AX$3</f>
        <v>0</v>
      </c>
      <c r="AY43" s="494">
        <f>Data!AC45/AY$4*100000*AY$3</f>
        <v>0</v>
      </c>
      <c r="AZ43" s="494">
        <f>Data!AD45/AZ$4*100000*AZ$3</f>
        <v>0</v>
      </c>
      <c r="BA43" s="494">
        <f>Data!AE45/BA$4*100000*BA$3</f>
        <v>0</v>
      </c>
      <c r="BB43" s="494">
        <f>Data!AF45/BB$4*100000*BB$3</f>
        <v>0</v>
      </c>
      <c r="BC43" s="494">
        <f>Data!AG45/BC$4*100000*BC$3</f>
        <v>0</v>
      </c>
      <c r="BD43" s="494">
        <f>Data!AH45/BD$4*100000*BD$3</f>
        <v>0</v>
      </c>
    </row>
    <row r="44" spans="1:56" ht="12" customHeight="1">
      <c r="A44" s="30"/>
      <c r="B44" s="125" t="str">
        <f>UPPER(LEFT(TRIM(Data!B47),1)) &amp; MID(TRIM(Data!B47),2,50)</f>
        <v>Šlapimo pūslės in situ</v>
      </c>
      <c r="C44" s="125" t="str">
        <f>UPPER(LEFT(TRIM(Data!C47),1)) &amp; MID(TRIM(Data!C47),2,50)</f>
        <v>D09.0</v>
      </c>
      <c r="D44" s="126">
        <f>Data!D47</f>
        <v>108</v>
      </c>
      <c r="E44" s="127">
        <f t="shared" si="0"/>
        <v>7.9933329682057783</v>
      </c>
      <c r="F44" s="128">
        <f t="shared" si="4"/>
        <v>6.6941663846111856</v>
      </c>
      <c r="G44" s="129">
        <f t="shared" si="1"/>
        <v>4.5990091002021725</v>
      </c>
      <c r="H44" s="74"/>
      <c r="I44" s="74"/>
      <c r="J44" s="74"/>
      <c r="K44" s="74"/>
      <c r="L44" s="74"/>
      <c r="M44" s="74"/>
      <c r="N44" s="74"/>
      <c r="O44" s="58"/>
      <c r="P44" s="484"/>
      <c r="Q44" s="500" t="s">
        <v>353</v>
      </c>
      <c r="R44" s="494">
        <f t="shared" si="2"/>
        <v>669416.63846111856</v>
      </c>
      <c r="S44" s="494">
        <f>Data!Q47/S$4*100000*S$3</f>
        <v>0</v>
      </c>
      <c r="T44" s="494">
        <f>Data!R47/T$4*100000*T$3</f>
        <v>0</v>
      </c>
      <c r="U44" s="494">
        <f>Data!S47/U$4*100000*U$3</f>
        <v>0</v>
      </c>
      <c r="V44" s="494">
        <f>Data!T47/V$4*100000*V$3</f>
        <v>0</v>
      </c>
      <c r="W44" s="494">
        <f>Data!U47/W$4*100000*W$3</f>
        <v>0</v>
      </c>
      <c r="X44" s="494">
        <f>Data!V47/X$4*100000*X$3</f>
        <v>0</v>
      </c>
      <c r="Y44" s="494">
        <f>Data!W47/Y$4*100000*Y$3</f>
        <v>0</v>
      </c>
      <c r="Z44" s="494">
        <f>Data!X47/Z$4*100000*Z$3</f>
        <v>7847.2697106599553</v>
      </c>
      <c r="AA44" s="494">
        <f>Data!Y47/AA$4*100000*AA$3</f>
        <v>14212.476524034313</v>
      </c>
      <c r="AB44" s="494">
        <f>Data!Z47/AB$4*100000*AB$3</f>
        <v>13929.932439827668</v>
      </c>
      <c r="AC44" s="494">
        <f>Data!AA47/AC$4*100000*AC$3</f>
        <v>32244.09702709426</v>
      </c>
      <c r="AD44" s="494">
        <f>Data!AB47/AD$4*100000*AD$3</f>
        <v>77671.578674836564</v>
      </c>
      <c r="AE44" s="494">
        <f>Data!AC47/AE$4*100000*AE$3</f>
        <v>110334.17463141489</v>
      </c>
      <c r="AF44" s="494">
        <f>Data!AD47/AF$4*100000*AF$3</f>
        <v>152226.30978054038</v>
      </c>
      <c r="AG44" s="494">
        <f>Data!AE47/AG$4*100000*AG$3</f>
        <v>127965.55086122846</v>
      </c>
      <c r="AH44" s="494">
        <f>Data!AF47/AH$4*100000*AH$3</f>
        <v>70990.314892753915</v>
      </c>
      <c r="AI44" s="494">
        <f>Data!AG47/AI$4*100000*AI$3</f>
        <v>48059.593896431572</v>
      </c>
      <c r="AJ44" s="494">
        <f>Data!AH47/AJ$4*100000*AJ$3</f>
        <v>13935.340022296543</v>
      </c>
      <c r="AK44" s="500" t="s">
        <v>353</v>
      </c>
      <c r="AL44" s="494">
        <f t="shared" si="3"/>
        <v>459900.91002021724</v>
      </c>
      <c r="AM44" s="494">
        <f>Data!Q47/AM$4*100000*AM$3</f>
        <v>0</v>
      </c>
      <c r="AN44" s="494">
        <f>Data!R47/AN$4*100000*AN$3</f>
        <v>0</v>
      </c>
      <c r="AO44" s="494">
        <f>Data!S47/AO$4*100000*AO$3</f>
        <v>0</v>
      </c>
      <c r="AP44" s="494">
        <f>Data!T47/AP$4*100000*AP$3</f>
        <v>0</v>
      </c>
      <c r="AQ44" s="494">
        <f>Data!U47/AQ$4*100000*AQ$3</f>
        <v>0</v>
      </c>
      <c r="AR44" s="494">
        <f>Data!V47/AR$4*100000*AR$3</f>
        <v>0</v>
      </c>
      <c r="AS44" s="494">
        <f>Data!W47/AS$4*100000*AS$3</f>
        <v>0</v>
      </c>
      <c r="AT44" s="494">
        <f>Data!X47/AT$4*100000*AT$3</f>
        <v>6726.2311805656764</v>
      </c>
      <c r="AU44" s="494">
        <f>Data!Y47/AU$4*100000*AU$3</f>
        <v>12182.122734886554</v>
      </c>
      <c r="AV44" s="494">
        <f>Data!Z47/AV$4*100000*AV$3</f>
        <v>11939.942091280858</v>
      </c>
      <c r="AW44" s="494">
        <f>Data!AA47/AW$4*100000*AW$3</f>
        <v>23031.497876495898</v>
      </c>
      <c r="AX44" s="494">
        <f>Data!AB47/AX$4*100000*AX$3</f>
        <v>51781.052449891045</v>
      </c>
      <c r="AY44" s="494">
        <f>Data!AC47/AY$4*100000*AY$3</f>
        <v>88267.339705131919</v>
      </c>
      <c r="AZ44" s="494">
        <f>Data!AD47/AZ$4*100000*AZ$3</f>
        <v>114169.73233540529</v>
      </c>
      <c r="BA44" s="494">
        <f>Data!AE47/BA$4*100000*BA$3</f>
        <v>85310.367240818974</v>
      </c>
      <c r="BB44" s="494">
        <f>Data!AF47/BB$4*100000*BB$3</f>
        <v>35495.157446376958</v>
      </c>
      <c r="BC44" s="494">
        <f>Data!AG47/BC$4*100000*BC$3</f>
        <v>24029.796948215786</v>
      </c>
      <c r="BD44" s="494">
        <f>Data!AH47/BD$4*100000*BD$3</f>
        <v>6967.6700111482714</v>
      </c>
    </row>
    <row r="45" spans="1:56" ht="12" customHeight="1">
      <c r="A45" s="30"/>
      <c r="B45" s="130" t="str">
        <f>UPPER(LEFT(TRIM(Data!B48),1)) &amp; MID(TRIM(Data!B48),2,50)</f>
        <v>Nervų sistemos gerybiniai navikai</v>
      </c>
      <c r="C45" s="130" t="str">
        <f>UPPER(LEFT(TRIM(Data!C48),1)) &amp; MID(TRIM(Data!C48),2,50)</f>
        <v>D32, D33</v>
      </c>
      <c r="D45" s="131">
        <f>Data!D48</f>
        <v>46</v>
      </c>
      <c r="E45" s="132">
        <f t="shared" si="0"/>
        <v>3.4045677457172761</v>
      </c>
      <c r="F45" s="133">
        <f t="shared" si="4"/>
        <v>3.061897780830575</v>
      </c>
      <c r="G45" s="133">
        <f t="shared" si="1"/>
        <v>2.3650095209091715</v>
      </c>
      <c r="H45" s="74"/>
      <c r="I45" s="74"/>
      <c r="J45" s="74"/>
      <c r="K45" s="74"/>
      <c r="L45" s="74"/>
      <c r="M45" s="74"/>
      <c r="N45" s="74"/>
      <c r="O45" s="58"/>
      <c r="P45" s="484"/>
      <c r="Q45" s="500" t="s">
        <v>353</v>
      </c>
      <c r="R45" s="494">
        <f t="shared" si="2"/>
        <v>306189.77808305749</v>
      </c>
      <c r="S45" s="494">
        <f>Data!Q48/S$4*100000*S$3</f>
        <v>10356.121114836438</v>
      </c>
      <c r="T45" s="494">
        <f>Data!R48/T$4*100000*T$3</f>
        <v>0</v>
      </c>
      <c r="U45" s="494">
        <f>Data!S48/U$4*100000*U$3</f>
        <v>9721.9521679953341</v>
      </c>
      <c r="V45" s="494">
        <f>Data!T48/V$4*100000*V$3</f>
        <v>7840.0627205017636</v>
      </c>
      <c r="W45" s="494">
        <f>Data!U48/W$4*100000*W$3</f>
        <v>0</v>
      </c>
      <c r="X45" s="494">
        <f>Data!V48/X$4*100000*X$3</f>
        <v>7005.6745964231022</v>
      </c>
      <c r="Y45" s="494">
        <f>Data!W48/Y$4*100000*Y$3</f>
        <v>7831.6420715812073</v>
      </c>
      <c r="Z45" s="494">
        <f>Data!X48/Z$4*100000*Z$3</f>
        <v>23541.809131979866</v>
      </c>
      <c r="AA45" s="494">
        <f>Data!Y48/AA$4*100000*AA$3</f>
        <v>28424.953048068626</v>
      </c>
      <c r="AB45" s="494">
        <f>Data!Z48/AB$4*100000*AB$3</f>
        <v>6964.9662199138338</v>
      </c>
      <c r="AC45" s="494">
        <f>Data!AA48/AC$4*100000*AC$3</f>
        <v>32244.09702709426</v>
      </c>
      <c r="AD45" s="494">
        <f>Data!AB48/AD$4*100000*AD$3</f>
        <v>12945.263112472763</v>
      </c>
      <c r="AE45" s="494">
        <f>Data!AC48/AE$4*100000*AE$3</f>
        <v>27583.543657853723</v>
      </c>
      <c r="AF45" s="494">
        <f>Data!AD48/AF$4*100000*AF$3</f>
        <v>21746.615682934345</v>
      </c>
      <c r="AG45" s="494">
        <f>Data!AE48/AG$4*100000*AG$3</f>
        <v>48748.781280467985</v>
      </c>
      <c r="AH45" s="494">
        <f>Data!AF48/AH$4*100000*AH$3</f>
        <v>25353.683890269254</v>
      </c>
      <c r="AI45" s="494">
        <f>Data!AG48/AI$4*100000*AI$3</f>
        <v>8009.9323160719287</v>
      </c>
      <c r="AJ45" s="494">
        <f>Data!AH48/AJ$4*100000*AJ$3</f>
        <v>27870.680044593086</v>
      </c>
      <c r="AK45" s="500" t="s">
        <v>353</v>
      </c>
      <c r="AL45" s="494">
        <f t="shared" si="3"/>
        <v>236500.95209091716</v>
      </c>
      <c r="AM45" s="494">
        <f>Data!Q48/AM$4*100000*AM$3</f>
        <v>15534.181672254659</v>
      </c>
      <c r="AN45" s="494">
        <f>Data!R48/AN$4*100000*AN$3</f>
        <v>0</v>
      </c>
      <c r="AO45" s="494">
        <f>Data!S48/AO$4*100000*AO$3</f>
        <v>12499.652787422572</v>
      </c>
      <c r="AP45" s="494">
        <f>Data!T48/AP$4*100000*AP$3</f>
        <v>10080.080640645125</v>
      </c>
      <c r="AQ45" s="494">
        <f>Data!U48/AQ$4*100000*AQ$3</f>
        <v>0</v>
      </c>
      <c r="AR45" s="494">
        <f>Data!V48/AR$4*100000*AR$3</f>
        <v>8006.4852530549742</v>
      </c>
      <c r="AS45" s="494">
        <f>Data!W48/AS$4*100000*AS$3</f>
        <v>6712.8360613553205</v>
      </c>
      <c r="AT45" s="494">
        <f>Data!X48/AT$4*100000*AT$3</f>
        <v>20178.693541697026</v>
      </c>
      <c r="AU45" s="494">
        <f>Data!Y48/AU$4*100000*AU$3</f>
        <v>24364.245469773108</v>
      </c>
      <c r="AV45" s="494">
        <f>Data!Z48/AV$4*100000*AV$3</f>
        <v>5969.9710456404291</v>
      </c>
      <c r="AW45" s="494">
        <f>Data!AA48/AW$4*100000*AW$3</f>
        <v>23031.497876495898</v>
      </c>
      <c r="AX45" s="494">
        <f>Data!AB48/AX$4*100000*AX$3</f>
        <v>8630.1754083151754</v>
      </c>
      <c r="AY45" s="494">
        <f>Data!AC48/AY$4*100000*AY$3</f>
        <v>22066.83492628298</v>
      </c>
      <c r="AZ45" s="494">
        <f>Data!AD48/AZ$4*100000*AZ$3</f>
        <v>16309.961762200757</v>
      </c>
      <c r="BA45" s="494">
        <f>Data!AE48/BA$4*100000*BA$3</f>
        <v>32499.187520311993</v>
      </c>
      <c r="BB45" s="494">
        <f>Data!AF48/BB$4*100000*BB$3</f>
        <v>12676.841945134627</v>
      </c>
      <c r="BC45" s="494">
        <f>Data!AG48/BC$4*100000*BC$3</f>
        <v>4004.9661580359643</v>
      </c>
      <c r="BD45" s="494">
        <f>Data!AH48/BD$4*100000*BD$3</f>
        <v>13935.340022296543</v>
      </c>
    </row>
    <row r="46" spans="1:56" ht="12" customHeight="1">
      <c r="A46" s="30"/>
      <c r="B46" s="125" t="str">
        <f>UPPER(LEFT(TRIM(Data!B50),1)) &amp; MID(TRIM(Data!B50),2,50)</f>
        <v>Kiti nervų sistemos</v>
      </c>
      <c r="C46" s="125" t="str">
        <f>UPPER(LEFT(TRIM(Data!C50),1)) &amp; MID(TRIM(Data!C50),2,50)</f>
        <v>D42, D43</v>
      </c>
      <c r="D46" s="126">
        <f>Data!D50</f>
        <v>18</v>
      </c>
      <c r="E46" s="127">
        <f t="shared" si="0"/>
        <v>1.3322221613676297</v>
      </c>
      <c r="F46" s="128">
        <f t="shared" si="4"/>
        <v>1.295612350644592</v>
      </c>
      <c r="G46" s="129">
        <f t="shared" si="1"/>
        <v>1.3299259875065719</v>
      </c>
      <c r="H46" s="74"/>
      <c r="I46" s="74"/>
      <c r="J46" s="74"/>
      <c r="K46" s="74"/>
      <c r="L46" s="74"/>
      <c r="M46" s="74"/>
      <c r="N46" s="74"/>
      <c r="O46" s="58"/>
      <c r="P46" s="484"/>
      <c r="Q46" s="500" t="s">
        <v>353</v>
      </c>
      <c r="R46" s="494">
        <f t="shared" si="2"/>
        <v>129561.23506445921</v>
      </c>
      <c r="S46" s="494">
        <f>Data!Q50/S$4*100000*S$3</f>
        <v>20712.242229672876</v>
      </c>
      <c r="T46" s="494">
        <f>Data!R50/T$4*100000*T$3</f>
        <v>20019.447463250013</v>
      </c>
      <c r="U46" s="494">
        <f>Data!S50/U$4*100000*U$3</f>
        <v>19443.904335990668</v>
      </c>
      <c r="V46" s="494">
        <f>Data!T50/V$4*100000*V$3</f>
        <v>7840.0627205017636</v>
      </c>
      <c r="W46" s="494">
        <f>Data!U50/W$4*100000*W$3</f>
        <v>0</v>
      </c>
      <c r="X46" s="494">
        <f>Data!V50/X$4*100000*X$3</f>
        <v>0</v>
      </c>
      <c r="Y46" s="494">
        <f>Data!W50/Y$4*100000*Y$3</f>
        <v>0</v>
      </c>
      <c r="Z46" s="494">
        <f>Data!X50/Z$4*100000*Z$3</f>
        <v>0</v>
      </c>
      <c r="AA46" s="494">
        <f>Data!Y50/AA$4*100000*AA$3</f>
        <v>0</v>
      </c>
      <c r="AB46" s="494">
        <f>Data!Z50/AB$4*100000*AB$3</f>
        <v>6964.9662199138338</v>
      </c>
      <c r="AC46" s="494">
        <f>Data!AA50/AC$4*100000*AC$3</f>
        <v>0</v>
      </c>
      <c r="AD46" s="494">
        <f>Data!AB50/AD$4*100000*AD$3</f>
        <v>12945.263112472763</v>
      </c>
      <c r="AE46" s="494">
        <f>Data!AC50/AE$4*100000*AE$3</f>
        <v>0</v>
      </c>
      <c r="AF46" s="494">
        <f>Data!AD50/AF$4*100000*AF$3</f>
        <v>7248.8718943114472</v>
      </c>
      <c r="AG46" s="494">
        <f>Data!AE50/AG$4*100000*AG$3</f>
        <v>6093.5976600584981</v>
      </c>
      <c r="AH46" s="494">
        <f>Data!AF50/AH$4*100000*AH$3</f>
        <v>20282.947112215406</v>
      </c>
      <c r="AI46" s="494">
        <f>Data!AG50/AI$4*100000*AI$3</f>
        <v>8009.9323160719287</v>
      </c>
      <c r="AJ46" s="494">
        <f>Data!AH50/AJ$4*100000*AJ$3</f>
        <v>0</v>
      </c>
      <c r="AK46" s="500" t="s">
        <v>353</v>
      </c>
      <c r="AL46" s="494">
        <f t="shared" si="3"/>
        <v>132992.5987506572</v>
      </c>
      <c r="AM46" s="494">
        <f>Data!Q50/AM$4*100000*AM$3</f>
        <v>31068.363344509318</v>
      </c>
      <c r="AN46" s="494">
        <f>Data!R50/AN$4*100000*AN$3</f>
        <v>28599.210661785732</v>
      </c>
      <c r="AO46" s="494">
        <f>Data!S50/AO$4*100000*AO$3</f>
        <v>24999.305574845144</v>
      </c>
      <c r="AP46" s="494">
        <f>Data!T50/AP$4*100000*AP$3</f>
        <v>10080.080640645125</v>
      </c>
      <c r="AQ46" s="494">
        <f>Data!U50/AQ$4*100000*AQ$3</f>
        <v>0</v>
      </c>
      <c r="AR46" s="494">
        <f>Data!V50/AR$4*100000*AR$3</f>
        <v>0</v>
      </c>
      <c r="AS46" s="494">
        <f>Data!W50/AS$4*100000*AS$3</f>
        <v>0</v>
      </c>
      <c r="AT46" s="494">
        <f>Data!X50/AT$4*100000*AT$3</f>
        <v>0</v>
      </c>
      <c r="AU46" s="494">
        <f>Data!Y50/AU$4*100000*AU$3</f>
        <v>0</v>
      </c>
      <c r="AV46" s="494">
        <f>Data!Z50/AV$4*100000*AV$3</f>
        <v>5969.9710456404291</v>
      </c>
      <c r="AW46" s="494">
        <f>Data!AA50/AW$4*100000*AW$3</f>
        <v>0</v>
      </c>
      <c r="AX46" s="494">
        <f>Data!AB50/AX$4*100000*AX$3</f>
        <v>8630.1754083151754</v>
      </c>
      <c r="AY46" s="494">
        <f>Data!AC50/AY$4*100000*AY$3</f>
        <v>0</v>
      </c>
      <c r="AZ46" s="494">
        <f>Data!AD50/AZ$4*100000*AZ$3</f>
        <v>5436.6539207335854</v>
      </c>
      <c r="BA46" s="494">
        <f>Data!AE50/BA$4*100000*BA$3</f>
        <v>4062.3984400389991</v>
      </c>
      <c r="BB46" s="494">
        <f>Data!AF50/BB$4*100000*BB$3</f>
        <v>10141.473556107703</v>
      </c>
      <c r="BC46" s="494">
        <f>Data!AG50/BC$4*100000*BC$3</f>
        <v>4004.9661580359643</v>
      </c>
      <c r="BD46" s="494">
        <f>Data!AH50/BD$4*100000*BD$3</f>
        <v>0</v>
      </c>
    </row>
    <row r="47" spans="1:56" ht="12" customHeight="1">
      <c r="A47" s="30"/>
      <c r="B47" s="130" t="str">
        <f>UPPER(LEFT(TRIM(Data!B51),1)) &amp; MID(TRIM(Data!B51),2,50)</f>
        <v>Limfinio ir kraujodaros audinių</v>
      </c>
      <c r="C47" s="130" t="str">
        <f>UPPER(LEFT(TRIM(Data!C51),1)) &amp; MID(TRIM(Data!C51),2,50)</f>
        <v>D45-D47</v>
      </c>
      <c r="D47" s="131">
        <f>Data!D51</f>
        <v>166</v>
      </c>
      <c r="E47" s="132">
        <f t="shared" si="0"/>
        <v>12.286048821501474</v>
      </c>
      <c r="F47" s="133">
        <f t="shared" si="4"/>
        <v>10.13164229808193</v>
      </c>
      <c r="G47" s="133">
        <f t="shared" si="1"/>
        <v>6.781782588852014</v>
      </c>
      <c r="H47" s="74"/>
      <c r="I47" s="74"/>
      <c r="J47" s="74"/>
      <c r="K47" s="74"/>
      <c r="L47" s="74"/>
      <c r="M47" s="74"/>
      <c r="N47" s="74"/>
      <c r="O47" s="58"/>
      <c r="P47" s="484"/>
      <c r="Q47" s="500" t="s">
        <v>353</v>
      </c>
      <c r="R47" s="494">
        <f t="shared" si="2"/>
        <v>1013164.2298081929</v>
      </c>
      <c r="S47" s="494">
        <f>Data!Q51/S$4*100000*S$3</f>
        <v>0</v>
      </c>
      <c r="T47" s="494">
        <f>Data!R51/T$4*100000*T$3</f>
        <v>0</v>
      </c>
      <c r="U47" s="494">
        <f>Data!S51/U$4*100000*U$3</f>
        <v>0</v>
      </c>
      <c r="V47" s="494">
        <f>Data!T51/V$4*100000*V$3</f>
        <v>0</v>
      </c>
      <c r="W47" s="494">
        <f>Data!U51/W$4*100000*W$3</f>
        <v>6468.365074524806</v>
      </c>
      <c r="X47" s="494">
        <f>Data!V51/X$4*100000*X$3</f>
        <v>7005.6745964231022</v>
      </c>
      <c r="Y47" s="494">
        <f>Data!W51/Y$4*100000*Y$3</f>
        <v>7831.6420715812073</v>
      </c>
      <c r="Z47" s="494">
        <f>Data!X51/Z$4*100000*Z$3</f>
        <v>39236.348553299773</v>
      </c>
      <c r="AA47" s="494">
        <f>Data!Y51/AA$4*100000*AA$3</f>
        <v>14212.476524034313</v>
      </c>
      <c r="AB47" s="494">
        <f>Data!Z51/AB$4*100000*AB$3</f>
        <v>69649.662199138329</v>
      </c>
      <c r="AC47" s="494">
        <f>Data!AA51/AC$4*100000*AC$3</f>
        <v>51590.555243350798</v>
      </c>
      <c r="AD47" s="494">
        <f>Data!AB51/AD$4*100000*AD$3</f>
        <v>116507.36801225485</v>
      </c>
      <c r="AE47" s="494">
        <f>Data!AC51/AE$4*100000*AE$3</f>
        <v>89646.516888024606</v>
      </c>
      <c r="AF47" s="494">
        <f>Data!AD51/AF$4*100000*AF$3</f>
        <v>137728.56599191751</v>
      </c>
      <c r="AG47" s="494">
        <f>Data!AE51/AG$4*100000*AG$3</f>
        <v>146246.34384140396</v>
      </c>
      <c r="AH47" s="494">
        <f>Data!AF51/AH$4*100000*AH$3</f>
        <v>167334.31367577711</v>
      </c>
      <c r="AI47" s="494">
        <f>Data!AG51/AI$4*100000*AI$3</f>
        <v>76094.357002683319</v>
      </c>
      <c r="AJ47" s="494">
        <f>Data!AH51/AJ$4*100000*AJ$3</f>
        <v>83612.040133779257</v>
      </c>
      <c r="AK47" s="500" t="s">
        <v>353</v>
      </c>
      <c r="AL47" s="494">
        <f t="shared" si="3"/>
        <v>678178.25888520142</v>
      </c>
      <c r="AM47" s="494">
        <f>Data!Q51/AM$4*100000*AM$3</f>
        <v>0</v>
      </c>
      <c r="AN47" s="494">
        <f>Data!R51/AN$4*100000*AN$3</f>
        <v>0</v>
      </c>
      <c r="AO47" s="494">
        <f>Data!S51/AO$4*100000*AO$3</f>
        <v>0</v>
      </c>
      <c r="AP47" s="494">
        <f>Data!T51/AP$4*100000*AP$3</f>
        <v>0</v>
      </c>
      <c r="AQ47" s="494">
        <f>Data!U51/AQ$4*100000*AQ$3</f>
        <v>7392.4172280283501</v>
      </c>
      <c r="AR47" s="494">
        <f>Data!V51/AR$4*100000*AR$3</f>
        <v>8006.4852530549742</v>
      </c>
      <c r="AS47" s="494">
        <f>Data!W51/AS$4*100000*AS$3</f>
        <v>6712.8360613553205</v>
      </c>
      <c r="AT47" s="494">
        <f>Data!X51/AT$4*100000*AT$3</f>
        <v>33631.155902828381</v>
      </c>
      <c r="AU47" s="494">
        <f>Data!Y51/AU$4*100000*AU$3</f>
        <v>12182.122734886554</v>
      </c>
      <c r="AV47" s="494">
        <f>Data!Z51/AV$4*100000*AV$3</f>
        <v>59699.710456404282</v>
      </c>
      <c r="AW47" s="494">
        <f>Data!AA51/AW$4*100000*AW$3</f>
        <v>36850.396602393426</v>
      </c>
      <c r="AX47" s="494">
        <f>Data!AB51/AX$4*100000*AX$3</f>
        <v>77671.578674836564</v>
      </c>
      <c r="AY47" s="494">
        <f>Data!AC51/AY$4*100000*AY$3</f>
        <v>71717.213510419679</v>
      </c>
      <c r="AZ47" s="494">
        <f>Data!AD51/AZ$4*100000*AZ$3</f>
        <v>103296.42449393815</v>
      </c>
      <c r="BA47" s="494">
        <f>Data!AE51/BA$4*100000*BA$3</f>
        <v>97497.56256093597</v>
      </c>
      <c r="BB47" s="494">
        <f>Data!AF51/BB$4*100000*BB$3</f>
        <v>83667.156837888557</v>
      </c>
      <c r="BC47" s="494">
        <f>Data!AG51/BC$4*100000*BC$3</f>
        <v>38047.178501341659</v>
      </c>
      <c r="BD47" s="494">
        <f>Data!AH51/BD$4*100000*BD$3</f>
        <v>41806.020066889629</v>
      </c>
    </row>
    <row r="48" spans="1:56">
      <c r="A48" s="30"/>
      <c r="B48" s="30"/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58"/>
      <c r="P48" s="484"/>
      <c r="Q48" s="488"/>
      <c r="R48" s="488"/>
      <c r="S48" s="488"/>
      <c r="T48" s="488"/>
      <c r="U48" s="488"/>
      <c r="V48" s="488"/>
      <c r="W48" s="488"/>
      <c r="X48" s="488"/>
      <c r="Y48" s="488"/>
      <c r="Z48" s="488"/>
      <c r="AA48" s="488"/>
      <c r="AB48" s="488"/>
      <c r="AC48" s="488"/>
      <c r="AD48" s="488"/>
      <c r="AE48" s="488"/>
      <c r="AF48" s="488"/>
      <c r="AG48" s="488"/>
      <c r="AH48" s="488"/>
      <c r="AI48" s="488"/>
      <c r="AJ48" s="488"/>
      <c r="AK48" s="488"/>
      <c r="AL48" s="488"/>
      <c r="AM48" s="488"/>
      <c r="AN48" s="488"/>
      <c r="AO48" s="488"/>
      <c r="AP48" s="488"/>
      <c r="AQ48" s="488"/>
      <c r="AR48" s="488"/>
      <c r="AS48" s="488"/>
      <c r="AT48" s="488"/>
      <c r="AU48" s="488"/>
      <c r="AV48" s="488"/>
      <c r="AW48" s="488"/>
      <c r="AX48" s="488"/>
      <c r="AY48" s="488"/>
      <c r="AZ48" s="488"/>
      <c r="BA48" s="488"/>
      <c r="BB48" s="488"/>
      <c r="BC48" s="488"/>
      <c r="BD48" s="488"/>
    </row>
    <row r="49" spans="1:56">
      <c r="A49" s="30"/>
      <c r="B49" s="30"/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58"/>
      <c r="P49" s="484"/>
      <c r="Q49" s="488"/>
      <c r="R49" s="488"/>
      <c r="S49" s="488"/>
      <c r="T49" s="488"/>
      <c r="U49" s="488"/>
      <c r="V49" s="488"/>
      <c r="W49" s="488"/>
      <c r="X49" s="488"/>
      <c r="Y49" s="488"/>
      <c r="Z49" s="488"/>
      <c r="AA49" s="488"/>
      <c r="AB49" s="488"/>
      <c r="AC49" s="488"/>
      <c r="AD49" s="488"/>
      <c r="AE49" s="488"/>
      <c r="AF49" s="488"/>
      <c r="AG49" s="488"/>
      <c r="AH49" s="488"/>
      <c r="AI49" s="488"/>
      <c r="AJ49" s="488"/>
      <c r="AK49" s="488"/>
      <c r="AL49" s="488"/>
      <c r="AM49" s="488"/>
      <c r="AN49" s="488"/>
      <c r="AO49" s="488"/>
      <c r="AP49" s="488"/>
      <c r="AQ49" s="488"/>
      <c r="AR49" s="488"/>
      <c r="AS49" s="488"/>
      <c r="AT49" s="488"/>
      <c r="AU49" s="488"/>
      <c r="AV49" s="488"/>
      <c r="AW49" s="488"/>
      <c r="AX49" s="488"/>
      <c r="AY49" s="488"/>
      <c r="AZ49" s="488"/>
      <c r="BA49" s="488"/>
      <c r="BB49" s="488"/>
      <c r="BC49" s="488"/>
      <c r="BD49" s="488"/>
    </row>
    <row r="50" spans="1:56">
      <c r="A50" s="31"/>
      <c r="B50" s="31"/>
      <c r="C50" s="31"/>
      <c r="D50" s="31"/>
      <c r="E50" s="31"/>
      <c r="F50" s="31"/>
      <c r="G50" s="31"/>
      <c r="H50" s="31"/>
      <c r="I50" s="31"/>
      <c r="J50" s="31"/>
      <c r="K50" s="31"/>
      <c r="L50" s="31"/>
      <c r="M50" s="31"/>
      <c r="N50" s="31"/>
      <c r="O50" s="261"/>
      <c r="P50" s="484"/>
      <c r="Q50" s="488" t="s">
        <v>408</v>
      </c>
      <c r="R50" s="494">
        <f>SUM(S50:AJ50)</f>
        <v>100000</v>
      </c>
      <c r="S50" s="495">
        <v>8000</v>
      </c>
      <c r="T50" s="495">
        <v>7000</v>
      </c>
      <c r="U50" s="495">
        <v>7000</v>
      </c>
      <c r="V50" s="495">
        <v>7000</v>
      </c>
      <c r="W50" s="495">
        <v>7000</v>
      </c>
      <c r="X50" s="495">
        <v>7000</v>
      </c>
      <c r="Y50" s="495">
        <v>7000</v>
      </c>
      <c r="Z50" s="495">
        <v>7000</v>
      </c>
      <c r="AA50" s="495">
        <v>7000</v>
      </c>
      <c r="AB50" s="495">
        <v>7000</v>
      </c>
      <c r="AC50" s="495">
        <v>7000</v>
      </c>
      <c r="AD50" s="495">
        <v>6000</v>
      </c>
      <c r="AE50" s="495">
        <v>5000</v>
      </c>
      <c r="AF50" s="495">
        <v>4000</v>
      </c>
      <c r="AG50" s="495">
        <v>3000</v>
      </c>
      <c r="AH50" s="495">
        <v>2000</v>
      </c>
      <c r="AI50" s="495">
        <v>1000</v>
      </c>
      <c r="AJ50" s="495">
        <v>1000</v>
      </c>
      <c r="AK50" s="488" t="s">
        <v>408</v>
      </c>
      <c r="AL50" s="494">
        <v>100000</v>
      </c>
      <c r="AM50" s="495">
        <v>8000</v>
      </c>
      <c r="AN50" s="495">
        <v>7000</v>
      </c>
      <c r="AO50" s="495">
        <v>7000</v>
      </c>
      <c r="AP50" s="495">
        <v>7000</v>
      </c>
      <c r="AQ50" s="495">
        <v>7000</v>
      </c>
      <c r="AR50" s="495">
        <v>7000</v>
      </c>
      <c r="AS50" s="495">
        <v>7000</v>
      </c>
      <c r="AT50" s="495">
        <v>7000</v>
      </c>
      <c r="AU50" s="495">
        <v>7000</v>
      </c>
      <c r="AV50" s="495">
        <v>7000</v>
      </c>
      <c r="AW50" s="495">
        <v>7000</v>
      </c>
      <c r="AX50" s="495">
        <v>6000</v>
      </c>
      <c r="AY50" s="495">
        <v>5000</v>
      </c>
      <c r="AZ50" s="495">
        <v>4000</v>
      </c>
      <c r="BA50" s="495">
        <v>3000</v>
      </c>
      <c r="BB50" s="495">
        <v>2000</v>
      </c>
      <c r="BC50" s="495">
        <v>1000</v>
      </c>
      <c r="BD50" s="495">
        <v>1000</v>
      </c>
    </row>
    <row r="51" spans="1:56">
      <c r="A51" s="31"/>
      <c r="B51" s="31"/>
      <c r="C51" s="31"/>
      <c r="D51" s="31"/>
      <c r="E51" s="31"/>
      <c r="F51" s="31"/>
      <c r="G51" s="31"/>
      <c r="H51" s="31"/>
      <c r="I51" s="31"/>
      <c r="J51" s="31"/>
      <c r="K51" s="31"/>
      <c r="L51" s="31"/>
      <c r="M51" s="31"/>
      <c r="N51" s="31"/>
      <c r="O51" s="261"/>
      <c r="P51" s="484"/>
      <c r="Q51" s="488" t="s">
        <v>409</v>
      </c>
      <c r="R51" s="488">
        <v>100000</v>
      </c>
      <c r="S51" s="488">
        <v>12000</v>
      </c>
      <c r="T51" s="488">
        <v>10000</v>
      </c>
      <c r="U51" s="488">
        <v>9000</v>
      </c>
      <c r="V51" s="488">
        <v>9000</v>
      </c>
      <c r="W51" s="488">
        <v>8000</v>
      </c>
      <c r="X51" s="488">
        <v>8000</v>
      </c>
      <c r="Y51" s="488">
        <v>6000</v>
      </c>
      <c r="Z51" s="488">
        <v>6000</v>
      </c>
      <c r="AA51" s="488">
        <v>6000</v>
      </c>
      <c r="AB51" s="488">
        <v>6000</v>
      </c>
      <c r="AC51" s="488">
        <v>5000</v>
      </c>
      <c r="AD51" s="488">
        <v>4000</v>
      </c>
      <c r="AE51" s="488">
        <v>4000</v>
      </c>
      <c r="AF51" s="488">
        <v>3000</v>
      </c>
      <c r="AG51" s="488">
        <v>2000</v>
      </c>
      <c r="AH51" s="488">
        <v>1000</v>
      </c>
      <c r="AI51" s="488">
        <v>500</v>
      </c>
      <c r="AJ51" s="488">
        <v>500</v>
      </c>
      <c r="AK51" s="488" t="s">
        <v>409</v>
      </c>
      <c r="AL51" s="488">
        <v>100000</v>
      </c>
      <c r="AM51" s="488">
        <v>12000</v>
      </c>
      <c r="AN51" s="488">
        <v>10000</v>
      </c>
      <c r="AO51" s="488">
        <v>9000</v>
      </c>
      <c r="AP51" s="488">
        <v>9000</v>
      </c>
      <c r="AQ51" s="488">
        <v>8000</v>
      </c>
      <c r="AR51" s="488">
        <v>8000</v>
      </c>
      <c r="AS51" s="488">
        <v>6000</v>
      </c>
      <c r="AT51" s="488">
        <v>6000</v>
      </c>
      <c r="AU51" s="488">
        <v>6000</v>
      </c>
      <c r="AV51" s="488">
        <v>6000</v>
      </c>
      <c r="AW51" s="488">
        <v>5000</v>
      </c>
      <c r="AX51" s="488">
        <v>4000</v>
      </c>
      <c r="AY51" s="488">
        <v>4000</v>
      </c>
      <c r="AZ51" s="488">
        <v>3000</v>
      </c>
      <c r="BA51" s="488">
        <v>2000</v>
      </c>
      <c r="BB51" s="488">
        <v>1000</v>
      </c>
      <c r="BC51" s="488">
        <v>500</v>
      </c>
      <c r="BD51" s="488">
        <v>500</v>
      </c>
    </row>
  </sheetData>
  <mergeCells count="8">
    <mergeCell ref="AK1:AK2"/>
    <mergeCell ref="B1:D1"/>
    <mergeCell ref="Q1:Q2"/>
    <mergeCell ref="B4:B5"/>
    <mergeCell ref="C4:C5"/>
    <mergeCell ref="D4:D5"/>
    <mergeCell ref="E4:E5"/>
    <mergeCell ref="F4:G4"/>
  </mergeCells>
  <pageMargins left="0.59055118110236215" right="0.62992125984251968" top="1.5748031496062993" bottom="1.9685039370078741" header="0" footer="0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tabColor theme="6" tint="0.39997558519241921"/>
  </sheetPr>
  <dimension ref="A1:BF65"/>
  <sheetViews>
    <sheetView workbookViewId="0">
      <selection activeCell="B3" sqref="B3"/>
    </sheetView>
  </sheetViews>
  <sheetFormatPr defaultRowHeight="12.75"/>
  <cols>
    <col min="1" max="1" width="1.7109375" customWidth="1"/>
    <col min="2" max="2" width="28.7109375" customWidth="1"/>
    <col min="3" max="3" width="19.7109375" customWidth="1"/>
    <col min="4" max="5" width="7.7109375" customWidth="1"/>
    <col min="6" max="7" width="10.7109375" customWidth="1"/>
    <col min="8" max="8" width="3.28515625" style="56" customWidth="1"/>
    <col min="9" max="15" width="0.85546875" style="73" customWidth="1"/>
    <col min="16" max="16" width="9.42578125" style="56" customWidth="1"/>
    <col min="17" max="17" width="38.42578125" bestFit="1" customWidth="1"/>
    <col min="18" max="18" width="9.140625" bestFit="1" customWidth="1"/>
    <col min="19" max="23" width="7.140625" bestFit="1" customWidth="1"/>
    <col min="24" max="24" width="8" bestFit="1" customWidth="1"/>
    <col min="25" max="30" width="8.140625" bestFit="1" customWidth="1"/>
    <col min="31" max="33" width="9.140625" bestFit="1" customWidth="1"/>
    <col min="34" max="36" width="8.140625" bestFit="1" customWidth="1"/>
    <col min="37" max="37" width="38.42578125" bestFit="1" customWidth="1"/>
    <col min="38" max="56" width="9.28515625" bestFit="1" customWidth="1"/>
  </cols>
  <sheetData>
    <row r="1" spans="1:58" ht="15">
      <c r="A1" s="67"/>
      <c r="B1" s="506" t="s">
        <v>402</v>
      </c>
      <c r="C1" s="506"/>
      <c r="D1" s="506"/>
      <c r="E1" s="507"/>
      <c r="F1" s="508"/>
      <c r="G1" s="508"/>
      <c r="H1" s="509"/>
      <c r="I1" s="70"/>
      <c r="J1" s="70"/>
      <c r="K1" s="70"/>
      <c r="L1" s="70"/>
      <c r="M1" s="70"/>
      <c r="N1" s="70"/>
      <c r="O1" s="70"/>
      <c r="P1" s="261"/>
      <c r="Q1" s="414" t="s">
        <v>414</v>
      </c>
      <c r="R1" s="350"/>
      <c r="S1" s="350"/>
      <c r="T1" s="350"/>
      <c r="U1" s="350"/>
      <c r="V1" s="350"/>
      <c r="W1" s="350"/>
      <c r="X1" s="350"/>
      <c r="Y1" s="350"/>
      <c r="Z1" s="350"/>
      <c r="AA1" s="350"/>
      <c r="AB1" s="350"/>
      <c r="AC1" s="350"/>
      <c r="AD1" s="350"/>
      <c r="AE1" s="350"/>
      <c r="AF1" s="350"/>
      <c r="AG1" s="350"/>
      <c r="AH1" s="350"/>
      <c r="AI1" s="350"/>
      <c r="AJ1" s="350"/>
      <c r="AK1" s="350"/>
      <c r="AL1" s="350"/>
      <c r="AM1" s="350"/>
      <c r="AN1" s="350"/>
      <c r="AO1" s="350"/>
      <c r="AP1" s="350"/>
      <c r="AQ1" s="350"/>
      <c r="AR1" s="350"/>
      <c r="AS1" s="350"/>
      <c r="AT1" s="350"/>
      <c r="AU1" s="350"/>
      <c r="AV1" s="350"/>
      <c r="AW1" s="350"/>
      <c r="AX1" s="350"/>
      <c r="AY1" s="350"/>
      <c r="AZ1" s="350"/>
      <c r="BA1" s="350"/>
      <c r="BB1" s="350"/>
      <c r="BC1" s="350"/>
      <c r="BD1" s="350"/>
    </row>
    <row r="2" spans="1:58" ht="12.75" customHeight="1">
      <c r="A2" s="66"/>
      <c r="B2" s="508" t="str">
        <f>"Diagnozuotų onkologinių susirgimų skaičius ir sergamumo rodikliai Lietuvoje pagal lokalizaciją  " &amp; GrafikaiSerg!A1 &amp; " metais. Moterys"</f>
        <v>Diagnozuotų onkologinių susirgimų skaičius ir sergamumo rodikliai Lietuvoje pagal lokalizaciją  2014 metais. Moterys</v>
      </c>
      <c r="C2" s="508"/>
      <c r="D2" s="508"/>
      <c r="E2" s="510"/>
      <c r="F2" s="508"/>
      <c r="G2" s="508"/>
      <c r="H2" s="509"/>
      <c r="I2" s="70"/>
      <c r="J2" s="70"/>
      <c r="K2" s="70"/>
      <c r="L2" s="70"/>
      <c r="M2" s="70"/>
      <c r="N2" s="70"/>
      <c r="O2" s="70"/>
      <c r="P2" s="261"/>
      <c r="Q2" s="414"/>
      <c r="R2" s="351" t="s">
        <v>354</v>
      </c>
      <c r="S2" s="422" t="s">
        <v>358</v>
      </c>
      <c r="T2" s="422"/>
      <c r="U2" s="422"/>
      <c r="V2" s="352">
        <f>GrafikaiSerg!A1</f>
        <v>2014</v>
      </c>
      <c r="W2" s="350" t="s">
        <v>357</v>
      </c>
      <c r="X2" s="350" t="str">
        <f>CONCATENATE("pop",RIGHT(V2,2),"m")</f>
        <v>pop14m</v>
      </c>
      <c r="Y2" s="350"/>
      <c r="Z2" s="350"/>
      <c r="AA2" s="350"/>
      <c r="AB2" s="350"/>
      <c r="AC2" s="350"/>
      <c r="AD2" s="350"/>
      <c r="AE2" s="350"/>
      <c r="AF2" s="350"/>
      <c r="AG2" s="350"/>
      <c r="AH2" s="350"/>
      <c r="AI2" s="350"/>
      <c r="AJ2" s="350"/>
      <c r="AK2" s="353" t="s">
        <v>415</v>
      </c>
      <c r="AL2" s="351" t="s">
        <v>354</v>
      </c>
      <c r="AM2" s="422" t="s">
        <v>358</v>
      </c>
      <c r="AN2" s="422"/>
      <c r="AO2" s="422"/>
      <c r="AP2" s="352" t="e">
        <f>#REF!</f>
        <v>#REF!</v>
      </c>
      <c r="AQ2" s="350" t="s">
        <v>357</v>
      </c>
      <c r="AR2" s="350" t="e">
        <f>CONCATENATE("pop",RIGHT(AP2,2),"m")</f>
        <v>#REF!</v>
      </c>
      <c r="AS2" s="350"/>
      <c r="AT2" s="350"/>
      <c r="AU2" s="350"/>
      <c r="AV2" s="350"/>
      <c r="AW2" s="350"/>
      <c r="AX2" s="350"/>
      <c r="AY2" s="350"/>
      <c r="AZ2" s="350"/>
      <c r="BA2" s="350"/>
      <c r="BB2" s="350"/>
      <c r="BC2" s="350"/>
      <c r="BD2" s="350"/>
    </row>
    <row r="3" spans="1:58" ht="12.75" customHeight="1">
      <c r="A3" s="66"/>
      <c r="B3" s="72" t="s">
        <v>618</v>
      </c>
      <c r="C3" s="66"/>
      <c r="D3" s="66"/>
      <c r="E3" s="66"/>
      <c r="F3" s="67"/>
      <c r="G3" s="67"/>
      <c r="H3" s="70"/>
      <c r="I3" s="70"/>
      <c r="J3" s="70"/>
      <c r="K3" s="70"/>
      <c r="L3" s="70"/>
      <c r="M3" s="70"/>
      <c r="N3" s="70"/>
      <c r="O3" s="70"/>
      <c r="P3" s="264"/>
      <c r="Q3" s="354" t="s">
        <v>408</v>
      </c>
      <c r="R3" s="355">
        <f>SUM(S3:AJ3)</f>
        <v>100000</v>
      </c>
      <c r="S3" s="356">
        <v>8000</v>
      </c>
      <c r="T3" s="356">
        <v>7000</v>
      </c>
      <c r="U3" s="356">
        <v>7000</v>
      </c>
      <c r="V3" s="356">
        <v>7000</v>
      </c>
      <c r="W3" s="356">
        <v>7000</v>
      </c>
      <c r="X3" s="356">
        <v>7000</v>
      </c>
      <c r="Y3" s="356">
        <v>7000</v>
      </c>
      <c r="Z3" s="356">
        <v>7000</v>
      </c>
      <c r="AA3" s="356">
        <v>7000</v>
      </c>
      <c r="AB3" s="356">
        <v>7000</v>
      </c>
      <c r="AC3" s="356">
        <v>7000</v>
      </c>
      <c r="AD3" s="356">
        <v>6000</v>
      </c>
      <c r="AE3" s="356">
        <v>5000</v>
      </c>
      <c r="AF3" s="356">
        <v>4000</v>
      </c>
      <c r="AG3" s="356">
        <v>3000</v>
      </c>
      <c r="AH3" s="356">
        <v>2000</v>
      </c>
      <c r="AI3" s="356">
        <v>1000</v>
      </c>
      <c r="AJ3" s="356">
        <v>1000</v>
      </c>
      <c r="AK3" s="354" t="s">
        <v>409</v>
      </c>
      <c r="AL3" s="355">
        <f>SUM(AM3:BD3)</f>
        <v>100000</v>
      </c>
      <c r="AM3" s="350">
        <v>12000</v>
      </c>
      <c r="AN3" s="350">
        <v>10000</v>
      </c>
      <c r="AO3" s="350">
        <v>9000</v>
      </c>
      <c r="AP3" s="350">
        <v>9000</v>
      </c>
      <c r="AQ3" s="350">
        <v>8000</v>
      </c>
      <c r="AR3" s="350">
        <v>8000</v>
      </c>
      <c r="AS3" s="350">
        <v>6000</v>
      </c>
      <c r="AT3" s="350">
        <v>6000</v>
      </c>
      <c r="AU3" s="350">
        <v>6000</v>
      </c>
      <c r="AV3" s="350">
        <v>6000</v>
      </c>
      <c r="AW3" s="350">
        <v>5000</v>
      </c>
      <c r="AX3" s="350">
        <v>4000</v>
      </c>
      <c r="AY3" s="350">
        <v>4000</v>
      </c>
      <c r="AZ3" s="350">
        <v>3000</v>
      </c>
      <c r="BA3" s="350">
        <v>2000</v>
      </c>
      <c r="BB3" s="350">
        <v>1000</v>
      </c>
      <c r="BC3" s="350">
        <v>500</v>
      </c>
      <c r="BD3" s="350">
        <v>500</v>
      </c>
    </row>
    <row r="4" spans="1:58" ht="12.95" customHeight="1">
      <c r="A4" s="66"/>
      <c r="B4" s="415" t="s">
        <v>351</v>
      </c>
      <c r="C4" s="415" t="s">
        <v>244</v>
      </c>
      <c r="D4" s="418" t="s">
        <v>268</v>
      </c>
      <c r="E4" s="420" t="s">
        <v>355</v>
      </c>
      <c r="F4" s="423" t="s">
        <v>359</v>
      </c>
      <c r="G4" s="424"/>
      <c r="H4" s="70"/>
      <c r="I4" s="70"/>
      <c r="J4" s="70"/>
      <c r="K4" s="70"/>
      <c r="L4" s="70"/>
      <c r="M4" s="70"/>
      <c r="N4" s="70"/>
      <c r="O4" s="70"/>
      <c r="P4" s="265"/>
      <c r="Q4" s="350" t="s">
        <v>450</v>
      </c>
      <c r="R4" s="511">
        <f>SUM(S4:AJ4)</f>
        <v>1581241</v>
      </c>
      <c r="S4" s="512">
        <f>HLOOKUP($X$2,Populiacija!$B$1:$BB$40,23,FALSE)</f>
        <v>73541</v>
      </c>
      <c r="T4" s="512">
        <f>HLOOKUP($X$2,Populiacija!$B$1:$BB$40,24,FALSE)</f>
        <v>66902</v>
      </c>
      <c r="U4" s="512">
        <f>HLOOKUP($X$2,Populiacija!$B$1:$BB$40,25,FALSE)</f>
        <v>68149</v>
      </c>
      <c r="V4" s="512">
        <f>HLOOKUP($X$2,Populiacija!$B$1:$BB$40,26,FALSE)</f>
        <v>84512</v>
      </c>
      <c r="W4" s="512">
        <f>HLOOKUP($X$2,Populiacija!$B$1:$BB$40,27,FALSE)</f>
        <v>101894</v>
      </c>
      <c r="X4" s="512">
        <f>HLOOKUP($X$2,Populiacija!$B$1:$BB$40,28,FALSE)</f>
        <v>94972</v>
      </c>
      <c r="Y4" s="512">
        <f>HLOOKUP($X$2,Populiacija!$B$1:$BB$40,29,FALSE)</f>
        <v>87211</v>
      </c>
      <c r="Z4" s="512">
        <f>HLOOKUP($X$2,Populiacija!$B$1:$BB$40,30,FALSE)</f>
        <v>92351</v>
      </c>
      <c r="AA4" s="512">
        <f>HLOOKUP($X$2,Populiacija!$B$1:$BB$40,31,FALSE)</f>
        <v>105582</v>
      </c>
      <c r="AB4" s="512">
        <f>HLOOKUP($X$2,Populiacija!$B$1:$BB$40,32,FALSE)</f>
        <v>110249</v>
      </c>
      <c r="AC4" s="512">
        <f>HLOOKUP($X$2,Populiacija!$B$1:$BB$40,33,FALSE)</f>
        <v>123313</v>
      </c>
      <c r="AD4" s="512">
        <f>HLOOKUP($X$2,Populiacija!$B$1:$BB$40,34,FALSE)</f>
        <v>112753</v>
      </c>
      <c r="AE4" s="512">
        <f>HLOOKUP($X$2,Populiacija!$B$1:$BB$40,35,FALSE)</f>
        <v>98061</v>
      </c>
      <c r="AF4" s="512">
        <f>HLOOKUP($X$2,Populiacija!$B$1:$BB$40,36,FALSE)</f>
        <v>85261</v>
      </c>
      <c r="AG4" s="512">
        <f>HLOOKUP($X$2,Populiacija!$B$1:$BB$40,37,FALSE)</f>
        <v>87053</v>
      </c>
      <c r="AH4" s="512">
        <f>HLOOKUP($X$2,Populiacija!$B$1:$BB$40,38,FALSE)</f>
        <v>81043</v>
      </c>
      <c r="AI4" s="512">
        <f>HLOOKUP($X$2,Populiacija!$B$1:$BB$40,39,FALSE)</f>
        <v>60746</v>
      </c>
      <c r="AJ4" s="512">
        <f>HLOOKUP($X$2,Populiacija!$B$1:$BB$40,40,FALSE)</f>
        <v>47648</v>
      </c>
      <c r="AK4" s="460" t="s">
        <v>450</v>
      </c>
      <c r="AL4" s="511">
        <f>SUM(AM4:BD4)</f>
        <v>1581241</v>
      </c>
      <c r="AM4" s="512">
        <f>HLOOKUP($X$2,Populiacija!$B$1:$BB$40,23,FALSE)</f>
        <v>73541</v>
      </c>
      <c r="AN4" s="512">
        <f>HLOOKUP($X$2,Populiacija!$B$1:$BB$40,24,FALSE)</f>
        <v>66902</v>
      </c>
      <c r="AO4" s="512">
        <f>HLOOKUP($X$2,Populiacija!$B$1:$BB$40,25,FALSE)</f>
        <v>68149</v>
      </c>
      <c r="AP4" s="512">
        <f>HLOOKUP($X$2,Populiacija!$B$1:$BB$40,26,FALSE)</f>
        <v>84512</v>
      </c>
      <c r="AQ4" s="512">
        <f>HLOOKUP($X$2,Populiacija!$B$1:$BB$40,27,FALSE)</f>
        <v>101894</v>
      </c>
      <c r="AR4" s="512">
        <f>HLOOKUP($X$2,Populiacija!$B$1:$BB$40,28,FALSE)</f>
        <v>94972</v>
      </c>
      <c r="AS4" s="512">
        <f>HLOOKUP($X$2,Populiacija!$B$1:$BB$40,29,FALSE)</f>
        <v>87211</v>
      </c>
      <c r="AT4" s="512">
        <f>HLOOKUP($X$2,Populiacija!$B$1:$BB$40,30,FALSE)</f>
        <v>92351</v>
      </c>
      <c r="AU4" s="512">
        <f>HLOOKUP($X$2,Populiacija!$B$1:$BB$40,31,FALSE)</f>
        <v>105582</v>
      </c>
      <c r="AV4" s="512">
        <f>HLOOKUP($X$2,Populiacija!$B$1:$BB$40,32,FALSE)</f>
        <v>110249</v>
      </c>
      <c r="AW4" s="512">
        <f>HLOOKUP($X$2,Populiacija!$B$1:$BB$40,33,FALSE)</f>
        <v>123313</v>
      </c>
      <c r="AX4" s="512">
        <f>HLOOKUP($X$2,Populiacija!$B$1:$BB$40,34,FALSE)</f>
        <v>112753</v>
      </c>
      <c r="AY4" s="512">
        <f>HLOOKUP($X$2,Populiacija!$B$1:$BB$40,35,FALSE)</f>
        <v>98061</v>
      </c>
      <c r="AZ4" s="512">
        <f>HLOOKUP($X$2,Populiacija!$B$1:$BB$40,36,FALSE)</f>
        <v>85261</v>
      </c>
      <c r="BA4" s="512">
        <f>HLOOKUP($X$2,Populiacija!$B$1:$BB$40,37,FALSE)</f>
        <v>87053</v>
      </c>
      <c r="BB4" s="512">
        <f>HLOOKUP($X$2,Populiacija!$B$1:$BB$40,38,FALSE)</f>
        <v>81043</v>
      </c>
      <c r="BC4" s="512">
        <f>HLOOKUP($X$2,Populiacija!$B$1:$BB$40,39,FALSE)</f>
        <v>60746</v>
      </c>
      <c r="BD4" s="512">
        <f>HLOOKUP($X$2,Populiacija!$B$1:$BB$40,40,FALSE)</f>
        <v>47648</v>
      </c>
      <c r="BE4" s="477"/>
      <c r="BF4" s="477"/>
    </row>
    <row r="5" spans="1:58" ht="12.95" customHeight="1" thickBot="1">
      <c r="A5" s="66"/>
      <c r="B5" s="416"/>
      <c r="C5" s="416"/>
      <c r="D5" s="419"/>
      <c r="E5" s="421"/>
      <c r="F5" s="275" t="s">
        <v>427</v>
      </c>
      <c r="G5" s="275" t="s">
        <v>428</v>
      </c>
      <c r="H5" s="71"/>
      <c r="I5" s="71"/>
      <c r="J5" s="71"/>
      <c r="K5" s="71"/>
      <c r="L5" s="71"/>
      <c r="M5" s="71"/>
      <c r="N5" s="71"/>
      <c r="O5" s="71"/>
      <c r="P5" s="266"/>
      <c r="Q5" s="350" t="s">
        <v>352</v>
      </c>
      <c r="R5" s="462"/>
      <c r="S5" s="513" t="s">
        <v>13</v>
      </c>
      <c r="T5" s="514" t="s">
        <v>11</v>
      </c>
      <c r="U5" s="514" t="s">
        <v>12</v>
      </c>
      <c r="V5" s="513" t="s">
        <v>14</v>
      </c>
      <c r="W5" s="513" t="s">
        <v>15</v>
      </c>
      <c r="X5" s="513" t="s">
        <v>16</v>
      </c>
      <c r="Y5" s="513" t="s">
        <v>158</v>
      </c>
      <c r="Z5" s="513" t="s">
        <v>17</v>
      </c>
      <c r="AA5" s="513" t="s">
        <v>18</v>
      </c>
      <c r="AB5" s="513" t="s">
        <v>19</v>
      </c>
      <c r="AC5" s="513" t="s">
        <v>20</v>
      </c>
      <c r="AD5" s="513" t="s">
        <v>21</v>
      </c>
      <c r="AE5" s="513" t="s">
        <v>159</v>
      </c>
      <c r="AF5" s="513" t="s">
        <v>160</v>
      </c>
      <c r="AG5" s="513" t="s">
        <v>161</v>
      </c>
      <c r="AH5" s="513" t="s">
        <v>162</v>
      </c>
      <c r="AI5" s="513" t="s">
        <v>22</v>
      </c>
      <c r="AJ5" s="513" t="s">
        <v>23</v>
      </c>
      <c r="AK5" s="460" t="s">
        <v>352</v>
      </c>
      <c r="AL5" s="462"/>
      <c r="AM5" s="513" t="s">
        <v>13</v>
      </c>
      <c r="AN5" s="514" t="s">
        <v>11</v>
      </c>
      <c r="AO5" s="514" t="s">
        <v>12</v>
      </c>
      <c r="AP5" s="513" t="s">
        <v>14</v>
      </c>
      <c r="AQ5" s="513" t="s">
        <v>15</v>
      </c>
      <c r="AR5" s="513" t="s">
        <v>16</v>
      </c>
      <c r="AS5" s="513" t="s">
        <v>158</v>
      </c>
      <c r="AT5" s="513" t="s">
        <v>17</v>
      </c>
      <c r="AU5" s="513" t="s">
        <v>18</v>
      </c>
      <c r="AV5" s="513" t="s">
        <v>19</v>
      </c>
      <c r="AW5" s="513" t="s">
        <v>20</v>
      </c>
      <c r="AX5" s="513" t="s">
        <v>21</v>
      </c>
      <c r="AY5" s="513" t="s">
        <v>159</v>
      </c>
      <c r="AZ5" s="513" t="s">
        <v>160</v>
      </c>
      <c r="BA5" s="513" t="s">
        <v>161</v>
      </c>
      <c r="BB5" s="513" t="s">
        <v>162</v>
      </c>
      <c r="BC5" s="513" t="s">
        <v>22</v>
      </c>
      <c r="BD5" s="513" t="s">
        <v>23</v>
      </c>
      <c r="BE5" s="477"/>
      <c r="BF5" s="477"/>
    </row>
    <row r="6" spans="1:58" ht="12" customHeight="1" thickTop="1">
      <c r="A6" s="66"/>
      <c r="B6" s="146" t="str">
        <f>UPPER(LEFT(TRIM(Data!B5),1)) &amp; MID(TRIM(Data!B5),2,50)</f>
        <v>Piktybiniai navikai</v>
      </c>
      <c r="C6" s="125" t="str">
        <f>UPPER(LEFT(TRIM(Data!C5),1)) &amp; MID(TRIM(Data!C5),2,50)</f>
        <v>C00-C96</v>
      </c>
      <c r="D6" s="126">
        <f>Data!BQ5</f>
        <v>8277</v>
      </c>
      <c r="E6" s="127">
        <f t="shared" ref="E6:E7" si="0">D6/$R$4*100000</f>
        <v>523.44961963419871</v>
      </c>
      <c r="F6" s="128">
        <f>R6/$R$3</f>
        <v>345.09169477006719</v>
      </c>
      <c r="G6" s="128">
        <f t="shared" ref="G6:G7" si="1">AL6/$AL$3</f>
        <v>251.41007746798795</v>
      </c>
      <c r="H6" s="71"/>
      <c r="I6" s="71"/>
      <c r="J6" s="71"/>
      <c r="K6" s="71"/>
      <c r="L6" s="71"/>
      <c r="M6" s="71"/>
      <c r="N6" s="71"/>
      <c r="O6" s="71"/>
      <c r="P6" s="267"/>
      <c r="Q6" s="357" t="s">
        <v>353</v>
      </c>
      <c r="R6" s="511">
        <f t="shared" ref="R6:R51" si="2">SUM(S6:AJ6)</f>
        <v>34509169.477006719</v>
      </c>
      <c r="S6" s="511">
        <f>Data!CD5/S$4*100000*S$3</f>
        <v>119661.14140411471</v>
      </c>
      <c r="T6" s="511">
        <f>Data!CE5/T$4*100000*T$3</f>
        <v>31389.196137634153</v>
      </c>
      <c r="U6" s="511">
        <f>Data!CF5/U$4*100000*U$3</f>
        <v>92444.496617705314</v>
      </c>
      <c r="V6" s="511">
        <f>Data!CG5/V$4*100000*V$3</f>
        <v>190505.49034456647</v>
      </c>
      <c r="W6" s="511">
        <f>Data!CH5/W$4*100000*W$3</f>
        <v>240445.95363809448</v>
      </c>
      <c r="X6" s="511">
        <f>Data!CI5/X$4*100000*X$3</f>
        <v>538053.32097881474</v>
      </c>
      <c r="Y6" s="511">
        <f>Data!CJ5/Y$4*100000*Y$3</f>
        <v>714359.427136485</v>
      </c>
      <c r="Z6" s="511">
        <f>Data!CK5/Z$4*100000*Z$3</f>
        <v>1008110.3615553703</v>
      </c>
      <c r="AA6" s="511">
        <f>Data!CL5/AA$4*100000*AA$3</f>
        <v>1856377.0339641226</v>
      </c>
      <c r="AB6" s="511">
        <f>Data!CM5/AB$4*100000*AB$3</f>
        <v>3073043.746428539</v>
      </c>
      <c r="AC6" s="511">
        <f>Data!CN5/AC$4*100000*AC$3</f>
        <v>4041747.4232238284</v>
      </c>
      <c r="AD6" s="511">
        <f>Data!CO5/AD$4*100000*AD$3</f>
        <v>4257092.9376601949</v>
      </c>
      <c r="AE6" s="511">
        <f>Data!CP5/AE$4*100000*AE$3</f>
        <v>4532892.79122179</v>
      </c>
      <c r="AF6" s="511">
        <f>Data!CQ5/AF$4*100000*AF$3</f>
        <v>4377147.8167040031</v>
      </c>
      <c r="AG6" s="511">
        <f>Data!CR5/AG$4*100000*AG$3</f>
        <v>3656393.2317094184</v>
      </c>
      <c r="AH6" s="511">
        <f>Data!CS5/AH$4*100000*AH$3</f>
        <v>2840467.4061917746</v>
      </c>
      <c r="AI6" s="511">
        <f>Data!CT5/AI$4*100000*AI$3</f>
        <v>1455239.851183617</v>
      </c>
      <c r="AJ6" s="511">
        <f>Data!CU5/AJ$4*100000*AJ$3</f>
        <v>1483797.8509066487</v>
      </c>
      <c r="AK6" s="515" t="s">
        <v>353</v>
      </c>
      <c r="AL6" s="511">
        <f t="shared" ref="AL6:AL51" si="3">SUM(AM6:BD6)</f>
        <v>25141007.746798795</v>
      </c>
      <c r="AM6" s="511">
        <f>Data!CD5/AM$4*100000*AM$3</f>
        <v>179491.71210617205</v>
      </c>
      <c r="AN6" s="511">
        <f>Data!CE5/AN$4*100000*AN$3</f>
        <v>44841.708768048789</v>
      </c>
      <c r="AO6" s="511">
        <f>Data!CF5/AO$4*100000*AO$3</f>
        <v>118857.2099370497</v>
      </c>
      <c r="AP6" s="511">
        <f>Data!CG5/AP$4*100000*AP$3</f>
        <v>244935.63044301403</v>
      </c>
      <c r="AQ6" s="511">
        <f>Data!CH5/AQ$4*100000*AQ$3</f>
        <v>274795.3755863937</v>
      </c>
      <c r="AR6" s="511">
        <f>Data!CI5/AR$4*100000*AR$3</f>
        <v>614918.08111864538</v>
      </c>
      <c r="AS6" s="511">
        <f>Data!CJ5/AS$4*100000*AS$3</f>
        <v>612308.08040270139</v>
      </c>
      <c r="AT6" s="511">
        <f>Data!CK5/AT$4*100000*AT$3</f>
        <v>864094.59561888885</v>
      </c>
      <c r="AU6" s="511">
        <f>Data!CL5/AU$4*100000*AU$3</f>
        <v>1591180.3148263909</v>
      </c>
      <c r="AV6" s="511">
        <f>Data!CM5/AV$4*100000*AV$3</f>
        <v>2634037.4969387478</v>
      </c>
      <c r="AW6" s="511">
        <f>Data!CN5/AW$4*100000*AW$3</f>
        <v>2886962.4451598777</v>
      </c>
      <c r="AX6" s="511">
        <f>Data!CO5/AX$4*100000*AX$3</f>
        <v>2838061.9584401301</v>
      </c>
      <c r="AY6" s="511">
        <f>Data!CP5/AY$4*100000*AY$3</f>
        <v>3626314.2329774322</v>
      </c>
      <c r="AZ6" s="511">
        <f>Data!CQ5/AZ$4*100000*AZ$3</f>
        <v>3282860.8625280024</v>
      </c>
      <c r="BA6" s="511">
        <f>Data!CR5/BA$4*100000*BA$3</f>
        <v>2437595.4878062787</v>
      </c>
      <c r="BB6" s="511">
        <f>Data!CS5/BB$4*100000*BB$3</f>
        <v>1420233.7030958873</v>
      </c>
      <c r="BC6" s="511">
        <f>Data!CT5/BC$4*100000*BC$3</f>
        <v>727619.92559180851</v>
      </c>
      <c r="BD6" s="511">
        <f>Data!CU5/BD$4*100000*BD$3</f>
        <v>741898.92545332434</v>
      </c>
      <c r="BE6" s="477"/>
      <c r="BF6" s="477"/>
    </row>
    <row r="7" spans="1:58" ht="12" customHeight="1">
      <c r="A7" s="66"/>
      <c r="B7" s="286" t="str">
        <f>UPPER(LEFT(TRIM(Data!B6),1)) &amp; MID(TRIM(Data!B6),2,50)</f>
        <v>Lūpos</v>
      </c>
      <c r="C7" s="287" t="str">
        <f>UPPER(LEFT(TRIM(Data!C6),1)) &amp; MID(TRIM(Data!C6),2,50)</f>
        <v>C00</v>
      </c>
      <c r="D7" s="288">
        <f>Data!BQ6</f>
        <v>5</v>
      </c>
      <c r="E7" s="289">
        <f t="shared" si="0"/>
        <v>0.3162073333539922</v>
      </c>
      <c r="F7" s="290">
        <f>R7/$R$3</f>
        <v>0.14905079099599094</v>
      </c>
      <c r="G7" s="290">
        <f t="shared" si="1"/>
        <v>9.1756277834043637E-2</v>
      </c>
      <c r="H7" s="71"/>
      <c r="I7" s="71"/>
      <c r="J7" s="71"/>
      <c r="K7" s="71"/>
      <c r="L7" s="71"/>
      <c r="M7" s="71"/>
      <c r="N7" s="71"/>
      <c r="O7" s="71"/>
      <c r="P7" s="267"/>
      <c r="Q7" s="357" t="s">
        <v>353</v>
      </c>
      <c r="R7" s="511">
        <f t="shared" si="2"/>
        <v>14905.079099599096</v>
      </c>
      <c r="S7" s="511">
        <f>Data!CD6/S$4*100000*S$3</f>
        <v>0</v>
      </c>
      <c r="T7" s="511">
        <f>Data!CE6/T$4*100000*T$3</f>
        <v>0</v>
      </c>
      <c r="U7" s="511">
        <f>Data!CF6/U$4*100000*U$3</f>
        <v>0</v>
      </c>
      <c r="V7" s="511">
        <f>Data!CG6/V$4*100000*V$3</f>
        <v>0</v>
      </c>
      <c r="W7" s="511">
        <f>Data!CH6/W$4*100000*W$3</f>
        <v>0</v>
      </c>
      <c r="X7" s="511">
        <f>Data!CI6/X$4*100000*X$3</f>
        <v>0</v>
      </c>
      <c r="Y7" s="511">
        <f>Data!CJ6/Y$4*100000*Y$3</f>
        <v>0</v>
      </c>
      <c r="Z7" s="511">
        <f>Data!CK6/Z$4*100000*Z$3</f>
        <v>0</v>
      </c>
      <c r="AA7" s="511">
        <f>Data!CL6/AA$4*100000*AA$3</f>
        <v>0</v>
      </c>
      <c r="AB7" s="511">
        <f>Data!CM6/AB$4*100000*AB$3</f>
        <v>0</v>
      </c>
      <c r="AC7" s="511">
        <f>Data!CN6/AC$4*100000*AC$3</f>
        <v>0</v>
      </c>
      <c r="AD7" s="511">
        <f>Data!CO6/AD$4*100000*AD$3</f>
        <v>0</v>
      </c>
      <c r="AE7" s="511">
        <f>Data!CP6/AE$4*100000*AE$3</f>
        <v>0</v>
      </c>
      <c r="AF7" s="511">
        <f>Data!CQ6/AF$4*100000*AF$3</f>
        <v>0</v>
      </c>
      <c r="AG7" s="511">
        <f>Data!CR6/AG$4*100000*AG$3</f>
        <v>10338.529401628894</v>
      </c>
      <c r="AH7" s="511">
        <f>Data!CS6/AH$4*100000*AH$3</f>
        <v>2467.8257221475019</v>
      </c>
      <c r="AI7" s="511">
        <f>Data!CT6/AI$4*100000*AI$3</f>
        <v>0</v>
      </c>
      <c r="AJ7" s="511">
        <f>Data!CU6/AJ$4*100000*AJ$3</f>
        <v>2098.7239758227001</v>
      </c>
      <c r="AK7" s="515" t="s">
        <v>353</v>
      </c>
      <c r="AL7" s="511">
        <f t="shared" si="3"/>
        <v>9175.6277834043631</v>
      </c>
      <c r="AM7" s="511">
        <f>Data!CD6/AM$4*100000*AM$3</f>
        <v>0</v>
      </c>
      <c r="AN7" s="511">
        <f>Data!CE6/AN$4*100000*AN$3</f>
        <v>0</v>
      </c>
      <c r="AO7" s="511">
        <f>Data!CF6/AO$4*100000*AO$3</f>
        <v>0</v>
      </c>
      <c r="AP7" s="511">
        <f>Data!CG6/AP$4*100000*AP$3</f>
        <v>0</v>
      </c>
      <c r="AQ7" s="511">
        <f>Data!CH6/AQ$4*100000*AQ$3</f>
        <v>0</v>
      </c>
      <c r="AR7" s="511">
        <f>Data!CI6/AR$4*100000*AR$3</f>
        <v>0</v>
      </c>
      <c r="AS7" s="511">
        <f>Data!CJ6/AS$4*100000*AS$3</f>
        <v>0</v>
      </c>
      <c r="AT7" s="511">
        <f>Data!CK6/AT$4*100000*AT$3</f>
        <v>0</v>
      </c>
      <c r="AU7" s="511">
        <f>Data!CL6/AU$4*100000*AU$3</f>
        <v>0</v>
      </c>
      <c r="AV7" s="511">
        <f>Data!CM6/AV$4*100000*AV$3</f>
        <v>0</v>
      </c>
      <c r="AW7" s="511">
        <f>Data!CN6/AW$4*100000*AW$3</f>
        <v>0</v>
      </c>
      <c r="AX7" s="511">
        <f>Data!CO6/AX$4*100000*AX$3</f>
        <v>0</v>
      </c>
      <c r="AY7" s="511">
        <f>Data!CP6/AY$4*100000*AY$3</f>
        <v>0</v>
      </c>
      <c r="AZ7" s="511">
        <f>Data!CQ6/AZ$4*100000*AZ$3</f>
        <v>0</v>
      </c>
      <c r="BA7" s="511">
        <f>Data!CR6/BA$4*100000*BA$3</f>
        <v>6892.3529344192621</v>
      </c>
      <c r="BB7" s="511">
        <f>Data!CS6/BB$4*100000*BB$3</f>
        <v>1233.9128610737509</v>
      </c>
      <c r="BC7" s="511">
        <f>Data!CT6/BC$4*100000*BC$3</f>
        <v>0</v>
      </c>
      <c r="BD7" s="511">
        <f>Data!CU6/BD$4*100000*BD$3</f>
        <v>1049.3619879113501</v>
      </c>
      <c r="BE7" s="477"/>
      <c r="BF7" s="477"/>
    </row>
    <row r="8" spans="1:58" ht="12" customHeight="1">
      <c r="A8" s="66"/>
      <c r="B8" s="146" t="str">
        <f>UPPER(LEFT(TRIM(Data!B7),1)) &amp; MID(TRIM(Data!B7),2,50)</f>
        <v>Burnos ertmės ir ryklės</v>
      </c>
      <c r="C8" s="125" t="str">
        <f>UPPER(LEFT(TRIM(Data!C7),1)) &amp; MID(TRIM(Data!C7),2,50)</f>
        <v>C01-C14</v>
      </c>
      <c r="D8" s="126">
        <f>Data!BQ7</f>
        <v>72</v>
      </c>
      <c r="E8" s="127">
        <f t="shared" ref="E8:E51" si="4">D8/$R$4*100000</f>
        <v>4.5533856002974877</v>
      </c>
      <c r="F8" s="128">
        <f t="shared" ref="F8:F51" si="5">R8/$R$3</f>
        <v>3.3159456525413749</v>
      </c>
      <c r="G8" s="128">
        <f t="shared" ref="G8:G51" si="6">AL8/$AL$3</f>
        <v>2.4313401329176076</v>
      </c>
      <c r="H8" s="71"/>
      <c r="I8" s="71"/>
      <c r="J8" s="71"/>
      <c r="K8" s="71"/>
      <c r="L8" s="71"/>
      <c r="M8" s="71"/>
      <c r="N8" s="71"/>
      <c r="O8" s="71"/>
      <c r="P8" s="261"/>
      <c r="Q8" s="357" t="s">
        <v>353</v>
      </c>
      <c r="R8" s="511">
        <f t="shared" si="2"/>
        <v>331594.5652541375</v>
      </c>
      <c r="S8" s="511">
        <f>Data!CD7/S$4*100000*S$3</f>
        <v>0</v>
      </c>
      <c r="T8" s="511">
        <f>Data!CE7/T$4*100000*T$3</f>
        <v>0</v>
      </c>
      <c r="U8" s="511">
        <f>Data!CF7/U$4*100000*U$3</f>
        <v>0</v>
      </c>
      <c r="V8" s="511">
        <f>Data!CG7/V$4*100000*V$3</f>
        <v>0</v>
      </c>
      <c r="W8" s="511">
        <f>Data!CH7/W$4*100000*W$3</f>
        <v>0</v>
      </c>
      <c r="X8" s="511">
        <f>Data!CI7/X$4*100000*X$3</f>
        <v>0</v>
      </c>
      <c r="Y8" s="511">
        <f>Data!CJ7/Y$4*100000*Y$3</f>
        <v>0</v>
      </c>
      <c r="Z8" s="511">
        <f>Data!CK7/Z$4*100000*Z$3</f>
        <v>7579.7771545516553</v>
      </c>
      <c r="AA8" s="511">
        <f>Data!CL7/AA$4*100000*AA$3</f>
        <v>13259.835956886589</v>
      </c>
      <c r="AB8" s="511">
        <f>Data!CM7/AB$4*100000*AB$3</f>
        <v>50794.111511215524</v>
      </c>
      <c r="AC8" s="511">
        <f>Data!CN7/AC$4*100000*AC$3</f>
        <v>39736.280846301685</v>
      </c>
      <c r="AD8" s="511">
        <f>Data!CO7/AD$4*100000*AD$3</f>
        <v>58535.027892827682</v>
      </c>
      <c r="AE8" s="511">
        <f>Data!CP7/AE$4*100000*AE$3</f>
        <v>61186.404380946558</v>
      </c>
      <c r="AF8" s="511">
        <f>Data!CQ7/AF$4*100000*AF$3</f>
        <v>37531.814076776012</v>
      </c>
      <c r="AG8" s="511">
        <f>Data!CR7/AG$4*100000*AG$3</f>
        <v>34461.764672096309</v>
      </c>
      <c r="AH8" s="511">
        <f>Data!CS7/AH$4*100000*AH$3</f>
        <v>17274.780055032516</v>
      </c>
      <c r="AI8" s="511">
        <f>Data!CT7/AI$4*100000*AI$3</f>
        <v>4938.596780034899</v>
      </c>
      <c r="AJ8" s="511">
        <f>Data!CU7/AJ$4*100000*AJ$3</f>
        <v>6296.1719274680991</v>
      </c>
      <c r="AK8" s="515" t="s">
        <v>353</v>
      </c>
      <c r="AL8" s="511">
        <f t="shared" si="3"/>
        <v>243134.01329176078</v>
      </c>
      <c r="AM8" s="511">
        <f>Data!CD7/AM$4*100000*AM$3</f>
        <v>0</v>
      </c>
      <c r="AN8" s="511">
        <f>Data!CE7/AN$4*100000*AN$3</f>
        <v>0</v>
      </c>
      <c r="AO8" s="511">
        <f>Data!CF7/AO$4*100000*AO$3</f>
        <v>0</v>
      </c>
      <c r="AP8" s="511">
        <f>Data!CG7/AP$4*100000*AP$3</f>
        <v>0</v>
      </c>
      <c r="AQ8" s="511">
        <f>Data!CH7/AQ$4*100000*AQ$3</f>
        <v>0</v>
      </c>
      <c r="AR8" s="511">
        <f>Data!CI7/AR$4*100000*AR$3</f>
        <v>0</v>
      </c>
      <c r="AS8" s="511">
        <f>Data!CJ7/AS$4*100000*AS$3</f>
        <v>0</v>
      </c>
      <c r="AT8" s="511">
        <f>Data!CK7/AT$4*100000*AT$3</f>
        <v>6496.9518467585613</v>
      </c>
      <c r="AU8" s="511">
        <f>Data!CL7/AU$4*100000*AU$3</f>
        <v>11365.573677331362</v>
      </c>
      <c r="AV8" s="511">
        <f>Data!CM7/AV$4*100000*AV$3</f>
        <v>43537.809866756164</v>
      </c>
      <c r="AW8" s="511">
        <f>Data!CN7/AW$4*100000*AW$3</f>
        <v>28383.057747358347</v>
      </c>
      <c r="AX8" s="511">
        <f>Data!CO7/AX$4*100000*AX$3</f>
        <v>39023.35192855179</v>
      </c>
      <c r="AY8" s="511">
        <f>Data!CP7/AY$4*100000*AY$3</f>
        <v>48949.123504757248</v>
      </c>
      <c r="AZ8" s="511">
        <f>Data!CQ7/AZ$4*100000*AZ$3</f>
        <v>28148.860557582011</v>
      </c>
      <c r="BA8" s="511">
        <f>Data!CR7/BA$4*100000*BA$3</f>
        <v>22974.509781397541</v>
      </c>
      <c r="BB8" s="511">
        <f>Data!CS7/BB$4*100000*BB$3</f>
        <v>8637.3900275162578</v>
      </c>
      <c r="BC8" s="511">
        <f>Data!CT7/BC$4*100000*BC$3</f>
        <v>2469.2983900174495</v>
      </c>
      <c r="BD8" s="511">
        <f>Data!CU7/BD$4*100000*BD$3</f>
        <v>3148.0859637340495</v>
      </c>
      <c r="BE8" s="477"/>
      <c r="BF8" s="477"/>
    </row>
    <row r="9" spans="1:58" ht="12" customHeight="1">
      <c r="A9" s="66"/>
      <c r="B9" s="286" t="str">
        <f>UPPER(LEFT(TRIM(Data!B8),1)) &amp; MID(TRIM(Data!B8),2,50)</f>
        <v>Stemplės</v>
      </c>
      <c r="C9" s="287" t="str">
        <f>UPPER(LEFT(TRIM(Data!C8),1)) &amp; MID(TRIM(Data!C8),2,50)</f>
        <v>C15</v>
      </c>
      <c r="D9" s="288">
        <f>Data!BQ8</f>
        <v>30</v>
      </c>
      <c r="E9" s="289">
        <f t="shared" si="4"/>
        <v>1.8972440001239532</v>
      </c>
      <c r="F9" s="290">
        <f t="shared" si="5"/>
        <v>1.1054689221016123</v>
      </c>
      <c r="G9" s="290">
        <f t="shared" si="6"/>
        <v>0.76150328293535019</v>
      </c>
      <c r="H9" s="71"/>
      <c r="I9" s="71"/>
      <c r="J9" s="71"/>
      <c r="K9" s="71"/>
      <c r="L9" s="71"/>
      <c r="M9" s="71"/>
      <c r="N9" s="71"/>
      <c r="O9" s="71"/>
      <c r="P9" s="261"/>
      <c r="Q9" s="357" t="s">
        <v>353</v>
      </c>
      <c r="R9" s="511">
        <f t="shared" si="2"/>
        <v>110546.89221016123</v>
      </c>
      <c r="S9" s="511">
        <f>Data!CD8/S$4*100000*S$3</f>
        <v>0</v>
      </c>
      <c r="T9" s="511">
        <f>Data!CE8/T$4*100000*T$3</f>
        <v>0</v>
      </c>
      <c r="U9" s="511">
        <f>Data!CF8/U$4*100000*U$3</f>
        <v>0</v>
      </c>
      <c r="V9" s="511">
        <f>Data!CG8/V$4*100000*V$3</f>
        <v>0</v>
      </c>
      <c r="W9" s="511">
        <f>Data!CH8/W$4*100000*W$3</f>
        <v>0</v>
      </c>
      <c r="X9" s="511">
        <f>Data!CI8/X$4*100000*X$3</f>
        <v>0</v>
      </c>
      <c r="Y9" s="511">
        <f>Data!CJ8/Y$4*100000*Y$3</f>
        <v>0</v>
      </c>
      <c r="Z9" s="511">
        <f>Data!CK8/Z$4*100000*Z$3</f>
        <v>0</v>
      </c>
      <c r="AA9" s="511">
        <f>Data!CL8/AA$4*100000*AA$3</f>
        <v>0</v>
      </c>
      <c r="AB9" s="511">
        <f>Data!CM8/AB$4*100000*AB$3</f>
        <v>6349.2639389019405</v>
      </c>
      <c r="AC9" s="511">
        <f>Data!CN8/AC$4*100000*AC$3</f>
        <v>5676.6115494716696</v>
      </c>
      <c r="AD9" s="511">
        <f>Data!CO8/AD$4*100000*AD$3</f>
        <v>21285.464688300977</v>
      </c>
      <c r="AE9" s="511">
        <f>Data!CP8/AE$4*100000*AE$3</f>
        <v>30593.202190473279</v>
      </c>
      <c r="AF9" s="511">
        <f>Data!CQ8/AF$4*100000*AF$3</f>
        <v>14074.430278791006</v>
      </c>
      <c r="AG9" s="511">
        <f>Data!CR8/AG$4*100000*AG$3</f>
        <v>6892.3529344192621</v>
      </c>
      <c r="AH9" s="511">
        <f>Data!CS8/AH$4*100000*AH$3</f>
        <v>7403.4771664425052</v>
      </c>
      <c r="AI9" s="511">
        <f>Data!CT8/AI$4*100000*AI$3</f>
        <v>9877.193560069798</v>
      </c>
      <c r="AJ9" s="511">
        <f>Data!CU8/AJ$4*100000*AJ$3</f>
        <v>8394.8959032908006</v>
      </c>
      <c r="AK9" s="515" t="s">
        <v>353</v>
      </c>
      <c r="AL9" s="511">
        <f t="shared" si="3"/>
        <v>76150.328293535014</v>
      </c>
      <c r="AM9" s="511">
        <f>Data!CD8/AM$4*100000*AM$3</f>
        <v>0</v>
      </c>
      <c r="AN9" s="511">
        <f>Data!CE8/AN$4*100000*AN$3</f>
        <v>0</v>
      </c>
      <c r="AO9" s="511">
        <f>Data!CF8/AO$4*100000*AO$3</f>
        <v>0</v>
      </c>
      <c r="AP9" s="511">
        <f>Data!CG8/AP$4*100000*AP$3</f>
        <v>0</v>
      </c>
      <c r="AQ9" s="511">
        <f>Data!CH8/AQ$4*100000*AQ$3</f>
        <v>0</v>
      </c>
      <c r="AR9" s="511">
        <f>Data!CI8/AR$4*100000*AR$3</f>
        <v>0</v>
      </c>
      <c r="AS9" s="511">
        <f>Data!CJ8/AS$4*100000*AS$3</f>
        <v>0</v>
      </c>
      <c r="AT9" s="511">
        <f>Data!CK8/AT$4*100000*AT$3</f>
        <v>0</v>
      </c>
      <c r="AU9" s="511">
        <f>Data!CL8/AU$4*100000*AU$3</f>
        <v>0</v>
      </c>
      <c r="AV9" s="511">
        <f>Data!CM8/AV$4*100000*AV$3</f>
        <v>5442.2262333445206</v>
      </c>
      <c r="AW9" s="511">
        <f>Data!CN8/AW$4*100000*AW$3</f>
        <v>4054.7225353369072</v>
      </c>
      <c r="AX9" s="511">
        <f>Data!CO8/AX$4*100000*AX$3</f>
        <v>14190.309792200653</v>
      </c>
      <c r="AY9" s="511">
        <f>Data!CP8/AY$4*100000*AY$3</f>
        <v>24474.561752378624</v>
      </c>
      <c r="AZ9" s="511">
        <f>Data!CQ8/AZ$4*100000*AZ$3</f>
        <v>10555.822709093254</v>
      </c>
      <c r="BA9" s="511">
        <f>Data!CR8/BA$4*100000*BA$3</f>
        <v>4594.9019562795083</v>
      </c>
      <c r="BB9" s="511">
        <f>Data!CS8/BB$4*100000*BB$3</f>
        <v>3701.7385832212526</v>
      </c>
      <c r="BC9" s="511">
        <f>Data!CT8/BC$4*100000*BC$3</f>
        <v>4938.596780034899</v>
      </c>
      <c r="BD9" s="511">
        <f>Data!CU8/BD$4*100000*BD$3</f>
        <v>4197.4479516454003</v>
      </c>
      <c r="BE9" s="477"/>
      <c r="BF9" s="477"/>
    </row>
    <row r="10" spans="1:58" ht="12" customHeight="1">
      <c r="A10" s="66"/>
      <c r="B10" s="146" t="str">
        <f>UPPER(LEFT(TRIM(Data!B9),1)) &amp; MID(TRIM(Data!B9),2,50)</f>
        <v>Skrandžio</v>
      </c>
      <c r="C10" s="125" t="str">
        <f>UPPER(LEFT(TRIM(Data!C9),1)) &amp; MID(TRIM(Data!C9),2,50)</f>
        <v>C16</v>
      </c>
      <c r="D10" s="126">
        <f>Data!BQ9</f>
        <v>353</v>
      </c>
      <c r="E10" s="127">
        <f t="shared" si="4"/>
        <v>22.324237734791851</v>
      </c>
      <c r="F10" s="128">
        <f t="shared" si="5"/>
        <v>13.159876511955494</v>
      </c>
      <c r="G10" s="128">
        <f t="shared" si="6"/>
        <v>9.2009861359928031</v>
      </c>
      <c r="H10" s="71"/>
      <c r="I10" s="71"/>
      <c r="J10" s="71"/>
      <c r="K10" s="71"/>
      <c r="L10" s="71"/>
      <c r="M10" s="71"/>
      <c r="N10" s="71"/>
      <c r="O10" s="71"/>
      <c r="P10" s="261"/>
      <c r="Q10" s="357" t="s">
        <v>353</v>
      </c>
      <c r="R10" s="511">
        <f t="shared" si="2"/>
        <v>1315987.6511955494</v>
      </c>
      <c r="S10" s="511">
        <f>Data!CD9/S$4*100000*S$3</f>
        <v>0</v>
      </c>
      <c r="T10" s="511">
        <f>Data!CE9/T$4*100000*T$3</f>
        <v>0</v>
      </c>
      <c r="U10" s="511">
        <f>Data!CF9/U$4*100000*U$3</f>
        <v>0</v>
      </c>
      <c r="V10" s="511">
        <f>Data!CG9/V$4*100000*V$3</f>
        <v>0</v>
      </c>
      <c r="W10" s="511">
        <f>Data!CH9/W$4*100000*W$3</f>
        <v>13739.768779319686</v>
      </c>
      <c r="X10" s="511">
        <f>Data!CI9/X$4*100000*X$3</f>
        <v>22111.780314197869</v>
      </c>
      <c r="Y10" s="511">
        <f>Data!CJ9/Y$4*100000*Y$3</f>
        <v>24079.531251791632</v>
      </c>
      <c r="Z10" s="511">
        <f>Data!CK9/Z$4*100000*Z$3</f>
        <v>83377.548700068219</v>
      </c>
      <c r="AA10" s="511">
        <f>Data!CL9/AA$4*100000*AA$3</f>
        <v>53039.343827546356</v>
      </c>
      <c r="AB10" s="511">
        <f>Data!CM9/AB$4*100000*AB$3</f>
        <v>57143.375450117463</v>
      </c>
      <c r="AC10" s="511">
        <f>Data!CN9/AC$4*100000*AC$3</f>
        <v>136238.67718732008</v>
      </c>
      <c r="AD10" s="511">
        <f>Data!CO9/AD$4*100000*AD$3</f>
        <v>117070.05578565536</v>
      </c>
      <c r="AE10" s="511">
        <f>Data!CP9/AE$4*100000*AE$3</f>
        <v>142768.27688887529</v>
      </c>
      <c r="AF10" s="511">
        <f>Data!CQ9/AF$4*100000*AF$3</f>
        <v>168893.16334549207</v>
      </c>
      <c r="AG10" s="511">
        <f>Data!CR9/AG$4*100000*AG$3</f>
        <v>165416.4704260623</v>
      </c>
      <c r="AH10" s="511">
        <f>Data!CS9/AH$4*100000*AH$3</f>
        <v>140666.06616240763</v>
      </c>
      <c r="AI10" s="511">
        <f>Data!CT9/AI$4*100000*AI$3</f>
        <v>82309.946333914995</v>
      </c>
      <c r="AJ10" s="511">
        <f>Data!CU9/AJ$4*100000*AJ$3</f>
        <v>109133.6467427804</v>
      </c>
      <c r="AK10" s="515" t="s">
        <v>353</v>
      </c>
      <c r="AL10" s="511">
        <f t="shared" si="3"/>
        <v>920098.61359928024</v>
      </c>
      <c r="AM10" s="511">
        <f>Data!CD9/AM$4*100000*AM$3</f>
        <v>0</v>
      </c>
      <c r="AN10" s="511">
        <f>Data!CE9/AN$4*100000*AN$3</f>
        <v>0</v>
      </c>
      <c r="AO10" s="511">
        <f>Data!CF9/AO$4*100000*AO$3</f>
        <v>0</v>
      </c>
      <c r="AP10" s="511">
        <f>Data!CG9/AP$4*100000*AP$3</f>
        <v>0</v>
      </c>
      <c r="AQ10" s="511">
        <f>Data!CH9/AQ$4*100000*AQ$3</f>
        <v>15702.592890651069</v>
      </c>
      <c r="AR10" s="511">
        <f>Data!CI9/AR$4*100000*AR$3</f>
        <v>25270.606073368996</v>
      </c>
      <c r="AS10" s="511">
        <f>Data!CJ9/AS$4*100000*AS$3</f>
        <v>20639.598215821399</v>
      </c>
      <c r="AT10" s="511">
        <f>Data!CK9/AT$4*100000*AT$3</f>
        <v>71466.470314344187</v>
      </c>
      <c r="AU10" s="511">
        <f>Data!CL9/AU$4*100000*AU$3</f>
        <v>45462.294709325448</v>
      </c>
      <c r="AV10" s="511">
        <f>Data!CM9/AV$4*100000*AV$3</f>
        <v>48980.036100100682</v>
      </c>
      <c r="AW10" s="511">
        <f>Data!CN9/AW$4*100000*AW$3</f>
        <v>97313.340848085762</v>
      </c>
      <c r="AX10" s="511">
        <f>Data!CO9/AX$4*100000*AX$3</f>
        <v>78046.703857103581</v>
      </c>
      <c r="AY10" s="511">
        <f>Data!CP9/AY$4*100000*AY$3</f>
        <v>114214.62151110024</v>
      </c>
      <c r="AZ10" s="511">
        <f>Data!CQ9/AZ$4*100000*AZ$3</f>
        <v>126669.87250911906</v>
      </c>
      <c r="BA10" s="511">
        <f>Data!CR9/BA$4*100000*BA$3</f>
        <v>110277.64695070819</v>
      </c>
      <c r="BB10" s="511">
        <f>Data!CS9/BB$4*100000*BB$3</f>
        <v>70333.033081203816</v>
      </c>
      <c r="BC10" s="511">
        <f>Data!CT9/BC$4*100000*BC$3</f>
        <v>41154.973166957498</v>
      </c>
      <c r="BD10" s="511">
        <f>Data!CU9/BD$4*100000*BD$3</f>
        <v>54566.823371390201</v>
      </c>
      <c r="BE10" s="477"/>
      <c r="BF10" s="477"/>
    </row>
    <row r="11" spans="1:58" ht="12" customHeight="1">
      <c r="A11" s="66"/>
      <c r="B11" s="286" t="str">
        <f>UPPER(LEFT(TRIM(Data!B10),1)) &amp; MID(TRIM(Data!B10),2,50)</f>
        <v>Gaubtinės žarnos</v>
      </c>
      <c r="C11" s="287" t="str">
        <f>UPPER(LEFT(TRIM(Data!C10),1)) &amp; MID(TRIM(Data!C10),2,50)</f>
        <v>C18</v>
      </c>
      <c r="D11" s="288">
        <f>Data!BQ10</f>
        <v>468</v>
      </c>
      <c r="E11" s="289">
        <f t="shared" si="4"/>
        <v>29.597006401933672</v>
      </c>
      <c r="F11" s="290">
        <f t="shared" si="5"/>
        <v>16.761746067442562</v>
      </c>
      <c r="G11" s="290">
        <f t="shared" si="6"/>
        <v>11.470920264481379</v>
      </c>
      <c r="H11" s="71"/>
      <c r="I11" s="71"/>
      <c r="J11" s="71"/>
      <c r="K11" s="71"/>
      <c r="L11" s="71"/>
      <c r="M11" s="71"/>
      <c r="N11" s="71"/>
      <c r="O11" s="71"/>
      <c r="P11" s="261"/>
      <c r="Q11" s="357" t="s">
        <v>353</v>
      </c>
      <c r="R11" s="511">
        <f t="shared" si="2"/>
        <v>1676174.6067442563</v>
      </c>
      <c r="S11" s="511">
        <f>Data!CD10/S$4*100000*S$3</f>
        <v>0</v>
      </c>
      <c r="T11" s="511">
        <f>Data!CE10/T$4*100000*T$3</f>
        <v>0</v>
      </c>
      <c r="U11" s="511">
        <f>Data!CF10/U$4*100000*U$3</f>
        <v>0</v>
      </c>
      <c r="V11" s="511">
        <f>Data!CG10/V$4*100000*V$3</f>
        <v>8282.8474062854984</v>
      </c>
      <c r="W11" s="511">
        <f>Data!CH10/W$4*100000*W$3</f>
        <v>6869.8843896598428</v>
      </c>
      <c r="X11" s="511">
        <f>Data!CI10/X$4*100000*X$3</f>
        <v>0</v>
      </c>
      <c r="Y11" s="511">
        <f>Data!CJ10/Y$4*100000*Y$3</f>
        <v>0</v>
      </c>
      <c r="Z11" s="511">
        <f>Data!CK10/Z$4*100000*Z$3</f>
        <v>15159.554309103311</v>
      </c>
      <c r="AA11" s="511">
        <f>Data!CL10/AA$4*100000*AA$3</f>
        <v>33149.589892216478</v>
      </c>
      <c r="AB11" s="511">
        <f>Data!CM10/AB$4*100000*AB$3</f>
        <v>82540.431205725225</v>
      </c>
      <c r="AC11" s="511">
        <f>Data!CN10/AC$4*100000*AC$3</f>
        <v>113532.23098943337</v>
      </c>
      <c r="AD11" s="511">
        <f>Data!CO10/AD$4*100000*AD$3</f>
        <v>170283.71750640782</v>
      </c>
      <c r="AE11" s="511">
        <f>Data!CP10/AE$4*100000*AE$3</f>
        <v>321228.6229999694</v>
      </c>
      <c r="AF11" s="511">
        <f>Data!CQ10/AF$4*100000*AF$3</f>
        <v>229882.36122025311</v>
      </c>
      <c r="AG11" s="511">
        <f>Data!CR10/AG$4*100000*AG$3</f>
        <v>268801.76444235124</v>
      </c>
      <c r="AH11" s="511">
        <f>Data!CS10/AH$4*100000*AH$3</f>
        <v>197426.05777180017</v>
      </c>
      <c r="AI11" s="511">
        <f>Data!CT10/AI$4*100000*AI$3</f>
        <v>113587.7259408027</v>
      </c>
      <c r="AJ11" s="511">
        <f>Data!CU10/AJ$4*100000*AJ$3</f>
        <v>115429.81867024848</v>
      </c>
      <c r="AK11" s="515" t="s">
        <v>353</v>
      </c>
      <c r="AL11" s="511">
        <f t="shared" si="3"/>
        <v>1147092.0264481378</v>
      </c>
      <c r="AM11" s="511">
        <f>Data!CD10/AM$4*100000*AM$3</f>
        <v>0</v>
      </c>
      <c r="AN11" s="511">
        <f>Data!CE10/AN$4*100000*AN$3</f>
        <v>0</v>
      </c>
      <c r="AO11" s="511">
        <f>Data!CF10/AO$4*100000*AO$3</f>
        <v>0</v>
      </c>
      <c r="AP11" s="511">
        <f>Data!CG10/AP$4*100000*AP$3</f>
        <v>10649.375236652784</v>
      </c>
      <c r="AQ11" s="511">
        <f>Data!CH10/AQ$4*100000*AQ$3</f>
        <v>7851.2964453255345</v>
      </c>
      <c r="AR11" s="511">
        <f>Data!CI10/AR$4*100000*AR$3</f>
        <v>0</v>
      </c>
      <c r="AS11" s="511">
        <f>Data!CJ10/AS$4*100000*AS$3</f>
        <v>0</v>
      </c>
      <c r="AT11" s="511">
        <f>Data!CK10/AT$4*100000*AT$3</f>
        <v>12993.903693517123</v>
      </c>
      <c r="AU11" s="511">
        <f>Data!CL10/AU$4*100000*AU$3</f>
        <v>28413.934193328409</v>
      </c>
      <c r="AV11" s="511">
        <f>Data!CM10/AV$4*100000*AV$3</f>
        <v>70748.941033478768</v>
      </c>
      <c r="AW11" s="511">
        <f>Data!CN10/AW$4*100000*AW$3</f>
        <v>81094.45070673812</v>
      </c>
      <c r="AX11" s="511">
        <f>Data!CO10/AX$4*100000*AX$3</f>
        <v>113522.47833760522</v>
      </c>
      <c r="AY11" s="511">
        <f>Data!CP10/AY$4*100000*AY$3</f>
        <v>256982.8983999755</v>
      </c>
      <c r="AZ11" s="511">
        <f>Data!CQ10/AZ$4*100000*AZ$3</f>
        <v>172411.77091518982</v>
      </c>
      <c r="BA11" s="511">
        <f>Data!CR10/BA$4*100000*BA$3</f>
        <v>179201.17629490083</v>
      </c>
      <c r="BB11" s="511">
        <f>Data!CS10/BB$4*100000*BB$3</f>
        <v>98713.028885900087</v>
      </c>
      <c r="BC11" s="511">
        <f>Data!CT10/BC$4*100000*BC$3</f>
        <v>56793.862970401351</v>
      </c>
      <c r="BD11" s="511">
        <f>Data!CU10/BD$4*100000*BD$3</f>
        <v>57714.909335124241</v>
      </c>
      <c r="BE11" s="477"/>
      <c r="BF11" s="477"/>
    </row>
    <row r="12" spans="1:58" ht="12" customHeight="1">
      <c r="A12" s="66"/>
      <c r="B12" s="146" t="str">
        <f>UPPER(LEFT(TRIM(Data!B11),1)) &amp; MID(TRIM(Data!B11),2,50)</f>
        <v>Tiesiosios žarnos, išangės</v>
      </c>
      <c r="C12" s="125" t="str">
        <f>UPPER(LEFT(TRIM(Data!C11),1)) &amp; MID(TRIM(Data!C11),2,50)</f>
        <v>C19-C21</v>
      </c>
      <c r="D12" s="126">
        <f>Data!BQ11</f>
        <v>327</v>
      </c>
      <c r="E12" s="127">
        <f t="shared" si="4"/>
        <v>20.67995960135109</v>
      </c>
      <c r="F12" s="128">
        <f t="shared" si="5"/>
        <v>12.398666619378609</v>
      </c>
      <c r="G12" s="128">
        <f t="shared" si="6"/>
        <v>8.5423330253795342</v>
      </c>
      <c r="H12" s="71"/>
      <c r="I12" s="71"/>
      <c r="J12" s="71"/>
      <c r="K12" s="71"/>
      <c r="L12" s="71"/>
      <c r="M12" s="71"/>
      <c r="N12" s="71"/>
      <c r="O12" s="71"/>
      <c r="P12" s="261"/>
      <c r="Q12" s="357" t="s">
        <v>353</v>
      </c>
      <c r="R12" s="511">
        <f t="shared" si="2"/>
        <v>1239866.661937861</v>
      </c>
      <c r="S12" s="511">
        <f>Data!CD11/S$4*100000*S$3</f>
        <v>0</v>
      </c>
      <c r="T12" s="511">
        <f>Data!CE11/T$4*100000*T$3</f>
        <v>0</v>
      </c>
      <c r="U12" s="511">
        <f>Data!CF11/U$4*100000*U$3</f>
        <v>0</v>
      </c>
      <c r="V12" s="511">
        <f>Data!CG11/V$4*100000*V$3</f>
        <v>0</v>
      </c>
      <c r="W12" s="511">
        <f>Data!CH11/W$4*100000*W$3</f>
        <v>0</v>
      </c>
      <c r="X12" s="511">
        <f>Data!CI11/X$4*100000*X$3</f>
        <v>0</v>
      </c>
      <c r="Y12" s="511">
        <f>Data!CJ11/Y$4*100000*Y$3</f>
        <v>32106.041669055507</v>
      </c>
      <c r="Z12" s="511">
        <f>Data!CK11/Z$4*100000*Z$3</f>
        <v>15159.554309103311</v>
      </c>
      <c r="AA12" s="511">
        <f>Data!CL11/AA$4*100000*AA$3</f>
        <v>19889.753935329885</v>
      </c>
      <c r="AB12" s="511">
        <f>Data!CM11/AB$4*100000*AB$3</f>
        <v>95238.959083529087</v>
      </c>
      <c r="AC12" s="511">
        <f>Data!CN11/AC$4*100000*AC$3</f>
        <v>193004.79268203679</v>
      </c>
      <c r="AD12" s="511">
        <f>Data!CO11/AD$4*100000*AD$3</f>
        <v>143676.88664603158</v>
      </c>
      <c r="AE12" s="511">
        <f>Data!CP11/AE$4*100000*AE$3</f>
        <v>193756.94720633078</v>
      </c>
      <c r="AF12" s="511">
        <f>Data!CQ11/AF$4*100000*AF$3</f>
        <v>117286.91898992505</v>
      </c>
      <c r="AG12" s="511">
        <f>Data!CR11/AG$4*100000*AG$3</f>
        <v>141293.23515559486</v>
      </c>
      <c r="AH12" s="511">
        <f>Data!CS11/AH$4*100000*AH$3</f>
        <v>128326.93755167008</v>
      </c>
      <c r="AI12" s="511">
        <f>Data!CT11/AI$4*100000*AI$3</f>
        <v>74078.951700523496</v>
      </c>
      <c r="AJ12" s="511">
        <f>Data!CU11/AJ$4*100000*AJ$3</f>
        <v>86047.683008730688</v>
      </c>
      <c r="AK12" s="515" t="s">
        <v>353</v>
      </c>
      <c r="AL12" s="511">
        <f t="shared" si="3"/>
        <v>854233.30253795348</v>
      </c>
      <c r="AM12" s="511">
        <f>Data!CD11/AM$4*100000*AM$3</f>
        <v>0</v>
      </c>
      <c r="AN12" s="511">
        <f>Data!CE11/AN$4*100000*AN$3</f>
        <v>0</v>
      </c>
      <c r="AO12" s="511">
        <f>Data!CF11/AO$4*100000*AO$3</f>
        <v>0</v>
      </c>
      <c r="AP12" s="511">
        <f>Data!CG11/AP$4*100000*AP$3</f>
        <v>0</v>
      </c>
      <c r="AQ12" s="511">
        <f>Data!CH11/AQ$4*100000*AQ$3</f>
        <v>0</v>
      </c>
      <c r="AR12" s="511">
        <f>Data!CI11/AR$4*100000*AR$3</f>
        <v>0</v>
      </c>
      <c r="AS12" s="511">
        <f>Data!CJ11/AS$4*100000*AS$3</f>
        <v>27519.464287761864</v>
      </c>
      <c r="AT12" s="511">
        <f>Data!CK11/AT$4*100000*AT$3</f>
        <v>12993.903693517123</v>
      </c>
      <c r="AU12" s="511">
        <f>Data!CL11/AU$4*100000*AU$3</f>
        <v>17048.360515997047</v>
      </c>
      <c r="AV12" s="511">
        <f>Data!CM11/AV$4*100000*AV$3</f>
        <v>81633.393500167789</v>
      </c>
      <c r="AW12" s="511">
        <f>Data!CN11/AW$4*100000*AW$3</f>
        <v>137860.56620145484</v>
      </c>
      <c r="AX12" s="511">
        <f>Data!CO11/AX$4*100000*AX$3</f>
        <v>95784.591097354394</v>
      </c>
      <c r="AY12" s="511">
        <f>Data!CP11/AY$4*100000*AY$3</f>
        <v>155005.55776506462</v>
      </c>
      <c r="AZ12" s="511">
        <f>Data!CQ11/AZ$4*100000*AZ$3</f>
        <v>87965.189242443797</v>
      </c>
      <c r="BA12" s="511">
        <f>Data!CR11/BA$4*100000*BA$3</f>
        <v>94195.490103729913</v>
      </c>
      <c r="BB12" s="511">
        <f>Data!CS11/BB$4*100000*BB$3</f>
        <v>64163.468775835041</v>
      </c>
      <c r="BC12" s="511">
        <f>Data!CT11/BC$4*100000*BC$3</f>
        <v>37039.475850261748</v>
      </c>
      <c r="BD12" s="511">
        <f>Data!CU11/BD$4*100000*BD$3</f>
        <v>43023.841504365344</v>
      </c>
      <c r="BE12" s="477"/>
      <c r="BF12" s="477"/>
    </row>
    <row r="13" spans="1:58" ht="12" customHeight="1">
      <c r="A13" s="66"/>
      <c r="B13" s="286" t="str">
        <f>UPPER(LEFT(TRIM(Data!B12),1)) &amp; MID(TRIM(Data!B12),2,50)</f>
        <v>Kepenų</v>
      </c>
      <c r="C13" s="287" t="str">
        <f>UPPER(LEFT(TRIM(Data!C12),1)) &amp; MID(TRIM(Data!C12),2,50)</f>
        <v>C22</v>
      </c>
      <c r="D13" s="288">
        <f>Data!BQ12</f>
        <v>68</v>
      </c>
      <c r="E13" s="289">
        <f t="shared" si="4"/>
        <v>4.3004197336142944</v>
      </c>
      <c r="F13" s="290">
        <f t="shared" si="5"/>
        <v>2.5028592397793248</v>
      </c>
      <c r="G13" s="290">
        <f t="shared" si="6"/>
        <v>1.7233606934131545</v>
      </c>
      <c r="H13" s="71"/>
      <c r="I13" s="71"/>
      <c r="J13" s="71"/>
      <c r="K13" s="71"/>
      <c r="L13" s="71"/>
      <c r="M13" s="71"/>
      <c r="N13" s="71"/>
      <c r="O13" s="71"/>
      <c r="P13" s="261"/>
      <c r="Q13" s="357" t="s">
        <v>353</v>
      </c>
      <c r="R13" s="511">
        <f t="shared" si="2"/>
        <v>250285.92397793249</v>
      </c>
      <c r="S13" s="511">
        <f>Data!CD12/S$4*100000*S$3</f>
        <v>0</v>
      </c>
      <c r="T13" s="511">
        <f>Data!CE12/T$4*100000*T$3</f>
        <v>0</v>
      </c>
      <c r="U13" s="511">
        <f>Data!CF12/U$4*100000*U$3</f>
        <v>0</v>
      </c>
      <c r="V13" s="511">
        <f>Data!CG12/V$4*100000*V$3</f>
        <v>0</v>
      </c>
      <c r="W13" s="511">
        <f>Data!CH12/W$4*100000*W$3</f>
        <v>6869.8843896598428</v>
      </c>
      <c r="X13" s="511">
        <f>Data!CI12/X$4*100000*X$3</f>
        <v>0</v>
      </c>
      <c r="Y13" s="511">
        <f>Data!CJ12/Y$4*100000*Y$3</f>
        <v>0</v>
      </c>
      <c r="Z13" s="511">
        <f>Data!CK12/Z$4*100000*Z$3</f>
        <v>7579.7771545516553</v>
      </c>
      <c r="AA13" s="511">
        <f>Data!CL12/AA$4*100000*AA$3</f>
        <v>6629.9179784432945</v>
      </c>
      <c r="AB13" s="511">
        <f>Data!CM12/AB$4*100000*AB$3</f>
        <v>6349.2639389019405</v>
      </c>
      <c r="AC13" s="511">
        <f>Data!CN12/AC$4*100000*AC$3</f>
        <v>39736.280846301685</v>
      </c>
      <c r="AD13" s="511">
        <f>Data!CO12/AD$4*100000*AD$3</f>
        <v>26606.83086037622</v>
      </c>
      <c r="AE13" s="511">
        <f>Data!CP12/AE$4*100000*AE$3</f>
        <v>30593.202190473279</v>
      </c>
      <c r="AF13" s="511">
        <f>Data!CQ12/AF$4*100000*AF$3</f>
        <v>18765.907038388006</v>
      </c>
      <c r="AG13" s="511">
        <f>Data!CR12/AG$4*100000*AG$3</f>
        <v>51692.647008144464</v>
      </c>
      <c r="AH13" s="511">
        <f>Data!CS12/AH$4*100000*AH$3</f>
        <v>22210.431499327518</v>
      </c>
      <c r="AI13" s="511">
        <f>Data!CT12/AI$4*100000*AI$3</f>
        <v>16461.989266782995</v>
      </c>
      <c r="AJ13" s="511">
        <f>Data!CU12/AJ$4*100000*AJ$3</f>
        <v>16789.791806581601</v>
      </c>
      <c r="AK13" s="515" t="s">
        <v>353</v>
      </c>
      <c r="AL13" s="511">
        <f t="shared" si="3"/>
        <v>172336.06934131545</v>
      </c>
      <c r="AM13" s="511">
        <f>Data!CD12/AM$4*100000*AM$3</f>
        <v>0</v>
      </c>
      <c r="AN13" s="511">
        <f>Data!CE12/AN$4*100000*AN$3</f>
        <v>0</v>
      </c>
      <c r="AO13" s="511">
        <f>Data!CF12/AO$4*100000*AO$3</f>
        <v>0</v>
      </c>
      <c r="AP13" s="511">
        <f>Data!CG12/AP$4*100000*AP$3</f>
        <v>0</v>
      </c>
      <c r="AQ13" s="511">
        <f>Data!CH12/AQ$4*100000*AQ$3</f>
        <v>7851.2964453255345</v>
      </c>
      <c r="AR13" s="511">
        <f>Data!CI12/AR$4*100000*AR$3</f>
        <v>0</v>
      </c>
      <c r="AS13" s="511">
        <f>Data!CJ12/AS$4*100000*AS$3</f>
        <v>0</v>
      </c>
      <c r="AT13" s="511">
        <f>Data!CK12/AT$4*100000*AT$3</f>
        <v>6496.9518467585613</v>
      </c>
      <c r="AU13" s="511">
        <f>Data!CL12/AU$4*100000*AU$3</f>
        <v>5682.786838665681</v>
      </c>
      <c r="AV13" s="511">
        <f>Data!CM12/AV$4*100000*AV$3</f>
        <v>5442.2262333445206</v>
      </c>
      <c r="AW13" s="511">
        <f>Data!CN12/AW$4*100000*AW$3</f>
        <v>28383.057747358347</v>
      </c>
      <c r="AX13" s="511">
        <f>Data!CO12/AX$4*100000*AX$3</f>
        <v>17737.887240250813</v>
      </c>
      <c r="AY13" s="511">
        <f>Data!CP12/AY$4*100000*AY$3</f>
        <v>24474.561752378624</v>
      </c>
      <c r="AZ13" s="511">
        <f>Data!CQ12/AZ$4*100000*AZ$3</f>
        <v>14074.430278791006</v>
      </c>
      <c r="BA13" s="511">
        <f>Data!CR12/BA$4*100000*BA$3</f>
        <v>34461.764672096309</v>
      </c>
      <c r="BB13" s="511">
        <f>Data!CS12/BB$4*100000*BB$3</f>
        <v>11105.215749663759</v>
      </c>
      <c r="BC13" s="511">
        <f>Data!CT12/BC$4*100000*BC$3</f>
        <v>8230.9946333914977</v>
      </c>
      <c r="BD13" s="511">
        <f>Data!CU12/BD$4*100000*BD$3</f>
        <v>8394.8959032908006</v>
      </c>
      <c r="BE13" s="477"/>
      <c r="BF13" s="477"/>
    </row>
    <row r="14" spans="1:58" ht="12" customHeight="1">
      <c r="A14" s="66"/>
      <c r="B14" s="146" t="str">
        <f>UPPER(LEFT(TRIM(Data!B13),1)) &amp; MID(TRIM(Data!B13),2,50)</f>
        <v>Tulžies pūslės, ekstrahepatinių takų</v>
      </c>
      <c r="C14" s="125" t="str">
        <f>UPPER(LEFT(TRIM(Data!C13),1)) &amp; MID(TRIM(Data!C13),2,50)</f>
        <v>C23, C24</v>
      </c>
      <c r="D14" s="126">
        <f>Data!BQ13</f>
        <v>90</v>
      </c>
      <c r="E14" s="127">
        <f t="shared" si="4"/>
        <v>5.6917320003718599</v>
      </c>
      <c r="F14" s="128">
        <f t="shared" si="5"/>
        <v>3.1621509358989122</v>
      </c>
      <c r="G14" s="128">
        <f t="shared" si="6"/>
        <v>2.136511716032842</v>
      </c>
      <c r="H14" s="71"/>
      <c r="I14" s="71"/>
      <c r="J14" s="71"/>
      <c r="K14" s="71"/>
      <c r="L14" s="71"/>
      <c r="M14" s="71"/>
      <c r="N14" s="71"/>
      <c r="O14" s="71"/>
      <c r="P14" s="261"/>
      <c r="Q14" s="357" t="s">
        <v>353</v>
      </c>
      <c r="R14" s="511">
        <f t="shared" si="2"/>
        <v>316215.09358989121</v>
      </c>
      <c r="S14" s="511">
        <f>Data!CD13/S$4*100000*S$3</f>
        <v>0</v>
      </c>
      <c r="T14" s="511">
        <f>Data!CE13/T$4*100000*T$3</f>
        <v>0</v>
      </c>
      <c r="U14" s="511">
        <f>Data!CF13/U$4*100000*U$3</f>
        <v>0</v>
      </c>
      <c r="V14" s="511">
        <f>Data!CG13/V$4*100000*V$3</f>
        <v>0</v>
      </c>
      <c r="W14" s="511">
        <f>Data!CH13/W$4*100000*W$3</f>
        <v>0</v>
      </c>
      <c r="X14" s="511">
        <f>Data!CI13/X$4*100000*X$3</f>
        <v>0</v>
      </c>
      <c r="Y14" s="511">
        <f>Data!CJ13/Y$4*100000*Y$3</f>
        <v>8026.5104172638767</v>
      </c>
      <c r="Z14" s="511">
        <f>Data!CK13/Z$4*100000*Z$3</f>
        <v>0</v>
      </c>
      <c r="AA14" s="511">
        <f>Data!CL13/AA$4*100000*AA$3</f>
        <v>0</v>
      </c>
      <c r="AB14" s="511">
        <f>Data!CM13/AB$4*100000*AB$3</f>
        <v>12698.527877803881</v>
      </c>
      <c r="AC14" s="511">
        <f>Data!CN13/AC$4*100000*AC$3</f>
        <v>22706.446197886678</v>
      </c>
      <c r="AD14" s="511">
        <f>Data!CO13/AD$4*100000*AD$3</f>
        <v>37249.563204526712</v>
      </c>
      <c r="AE14" s="511">
        <f>Data!CP13/AE$4*100000*AE$3</f>
        <v>71384.138444437645</v>
      </c>
      <c r="AF14" s="511">
        <f>Data!CQ13/AF$4*100000*AF$3</f>
        <v>28148.860557582011</v>
      </c>
      <c r="AG14" s="511">
        <f>Data!CR13/AG$4*100000*AG$3</f>
        <v>51692.647008144464</v>
      </c>
      <c r="AH14" s="511">
        <f>Data!CS13/AH$4*100000*AH$3</f>
        <v>24678.257221475022</v>
      </c>
      <c r="AI14" s="511">
        <f>Data!CT13/AI$4*100000*AI$3</f>
        <v>19754.387120139596</v>
      </c>
      <c r="AJ14" s="511">
        <f>Data!CU13/AJ$4*100000*AJ$3</f>
        <v>39875.755540631297</v>
      </c>
      <c r="AK14" s="515" t="s">
        <v>353</v>
      </c>
      <c r="AL14" s="511">
        <f t="shared" si="3"/>
        <v>213651.17160328419</v>
      </c>
      <c r="AM14" s="511">
        <f>Data!CD13/AM$4*100000*AM$3</f>
        <v>0</v>
      </c>
      <c r="AN14" s="511">
        <f>Data!CE13/AN$4*100000*AN$3</f>
        <v>0</v>
      </c>
      <c r="AO14" s="511">
        <f>Data!CF13/AO$4*100000*AO$3</f>
        <v>0</v>
      </c>
      <c r="AP14" s="511">
        <f>Data!CG13/AP$4*100000*AP$3</f>
        <v>0</v>
      </c>
      <c r="AQ14" s="511">
        <f>Data!CH13/AQ$4*100000*AQ$3</f>
        <v>0</v>
      </c>
      <c r="AR14" s="511">
        <f>Data!CI13/AR$4*100000*AR$3</f>
        <v>0</v>
      </c>
      <c r="AS14" s="511">
        <f>Data!CJ13/AS$4*100000*AS$3</f>
        <v>6879.8660719404661</v>
      </c>
      <c r="AT14" s="511">
        <f>Data!CK13/AT$4*100000*AT$3</f>
        <v>0</v>
      </c>
      <c r="AU14" s="511">
        <f>Data!CL13/AU$4*100000*AU$3</f>
        <v>0</v>
      </c>
      <c r="AV14" s="511">
        <f>Data!CM13/AV$4*100000*AV$3</f>
        <v>10884.452466689041</v>
      </c>
      <c r="AW14" s="511">
        <f>Data!CN13/AW$4*100000*AW$3</f>
        <v>16218.890141347629</v>
      </c>
      <c r="AX14" s="511">
        <f>Data!CO13/AX$4*100000*AX$3</f>
        <v>24833.042136351141</v>
      </c>
      <c r="AY14" s="511">
        <f>Data!CP13/AY$4*100000*AY$3</f>
        <v>57107.310755550119</v>
      </c>
      <c r="AZ14" s="511">
        <f>Data!CQ13/AZ$4*100000*AZ$3</f>
        <v>21111.645418186508</v>
      </c>
      <c r="BA14" s="511">
        <f>Data!CR13/BA$4*100000*BA$3</f>
        <v>34461.764672096309</v>
      </c>
      <c r="BB14" s="511">
        <f>Data!CS13/BB$4*100000*BB$3</f>
        <v>12339.128610737511</v>
      </c>
      <c r="BC14" s="511">
        <f>Data!CT13/BC$4*100000*BC$3</f>
        <v>9877.193560069798</v>
      </c>
      <c r="BD14" s="511">
        <f>Data!CU13/BD$4*100000*BD$3</f>
        <v>19937.877770315648</v>
      </c>
      <c r="BE14" s="477"/>
      <c r="BF14" s="477"/>
    </row>
    <row r="15" spans="1:58" ht="12" customHeight="1">
      <c r="A15" s="66"/>
      <c r="B15" s="286" t="str">
        <f>UPPER(LEFT(TRIM(Data!B14),1)) &amp; MID(TRIM(Data!B14),2,50)</f>
        <v>Kasos</v>
      </c>
      <c r="C15" s="287" t="str">
        <f>UPPER(LEFT(TRIM(Data!C14),1)) &amp; MID(TRIM(Data!C14),2,50)</f>
        <v>C25</v>
      </c>
      <c r="D15" s="288">
        <f>Data!BQ14</f>
        <v>258</v>
      </c>
      <c r="E15" s="289">
        <f t="shared" si="4"/>
        <v>16.316298401066</v>
      </c>
      <c r="F15" s="290">
        <f t="shared" si="5"/>
        <v>8.801243185306534</v>
      </c>
      <c r="G15" s="290">
        <f t="shared" si="6"/>
        <v>5.8398622137946754</v>
      </c>
      <c r="H15" s="71"/>
      <c r="I15" s="71"/>
      <c r="J15" s="71"/>
      <c r="K15" s="71"/>
      <c r="L15" s="71"/>
      <c r="M15" s="71"/>
      <c r="N15" s="71"/>
      <c r="O15" s="71"/>
      <c r="P15" s="261"/>
      <c r="Q15" s="357" t="s">
        <v>353</v>
      </c>
      <c r="R15" s="511">
        <f t="shared" si="2"/>
        <v>880124.31853065337</v>
      </c>
      <c r="S15" s="511">
        <f>Data!CD14/S$4*100000*S$3</f>
        <v>0</v>
      </c>
      <c r="T15" s="511">
        <f>Data!CE14/T$4*100000*T$3</f>
        <v>0</v>
      </c>
      <c r="U15" s="511">
        <f>Data!CF14/U$4*100000*U$3</f>
        <v>0</v>
      </c>
      <c r="V15" s="511">
        <f>Data!CG14/V$4*100000*V$3</f>
        <v>0</v>
      </c>
      <c r="W15" s="511">
        <f>Data!CH14/W$4*100000*W$3</f>
        <v>0</v>
      </c>
      <c r="X15" s="511">
        <f>Data!CI14/X$4*100000*X$3</f>
        <v>0</v>
      </c>
      <c r="Y15" s="511">
        <f>Data!CJ14/Y$4*100000*Y$3</f>
        <v>0</v>
      </c>
      <c r="Z15" s="511">
        <f>Data!CK14/Z$4*100000*Z$3</f>
        <v>0</v>
      </c>
      <c r="AA15" s="511">
        <f>Data!CL14/AA$4*100000*AA$3</f>
        <v>6629.9179784432945</v>
      </c>
      <c r="AB15" s="511">
        <f>Data!CM14/AB$4*100000*AB$3</f>
        <v>31746.319694509701</v>
      </c>
      <c r="AC15" s="511">
        <f>Data!CN14/AC$4*100000*AC$3</f>
        <v>62442.727044188367</v>
      </c>
      <c r="AD15" s="511">
        <f>Data!CO14/AD$4*100000*AD$3</f>
        <v>85141.858753203909</v>
      </c>
      <c r="AE15" s="511">
        <f>Data!CP14/AE$4*100000*AE$3</f>
        <v>132570.54282538421</v>
      </c>
      <c r="AF15" s="511">
        <f>Data!CQ14/AF$4*100000*AF$3</f>
        <v>164201.68658589508</v>
      </c>
      <c r="AG15" s="511">
        <f>Data!CR14/AG$4*100000*AG$3</f>
        <v>130954.70575396599</v>
      </c>
      <c r="AH15" s="511">
        <f>Data!CS14/AH$4*100000*AH$3</f>
        <v>128326.93755167008</v>
      </c>
      <c r="AI15" s="511">
        <f>Data!CT14/AI$4*100000*AI$3</f>
        <v>62555.559213775399</v>
      </c>
      <c r="AJ15" s="511">
        <f>Data!CU14/AJ$4*100000*AJ$3</f>
        <v>75554.063129617192</v>
      </c>
      <c r="AK15" s="515" t="s">
        <v>353</v>
      </c>
      <c r="AL15" s="511">
        <f t="shared" si="3"/>
        <v>583986.22137946752</v>
      </c>
      <c r="AM15" s="511">
        <f>Data!CD14/AM$4*100000*AM$3</f>
        <v>0</v>
      </c>
      <c r="AN15" s="511">
        <f>Data!CE14/AN$4*100000*AN$3</f>
        <v>0</v>
      </c>
      <c r="AO15" s="511">
        <f>Data!CF14/AO$4*100000*AO$3</f>
        <v>0</v>
      </c>
      <c r="AP15" s="511">
        <f>Data!CG14/AP$4*100000*AP$3</f>
        <v>0</v>
      </c>
      <c r="AQ15" s="511">
        <f>Data!CH14/AQ$4*100000*AQ$3</f>
        <v>0</v>
      </c>
      <c r="AR15" s="511">
        <f>Data!CI14/AR$4*100000*AR$3</f>
        <v>0</v>
      </c>
      <c r="AS15" s="511">
        <f>Data!CJ14/AS$4*100000*AS$3</f>
        <v>0</v>
      </c>
      <c r="AT15" s="511">
        <f>Data!CK14/AT$4*100000*AT$3</f>
        <v>0</v>
      </c>
      <c r="AU15" s="511">
        <f>Data!CL14/AU$4*100000*AU$3</f>
        <v>5682.786838665681</v>
      </c>
      <c r="AV15" s="511">
        <f>Data!CM14/AV$4*100000*AV$3</f>
        <v>27211.1311667226</v>
      </c>
      <c r="AW15" s="511">
        <f>Data!CN14/AW$4*100000*AW$3</f>
        <v>44601.947888705974</v>
      </c>
      <c r="AX15" s="511">
        <f>Data!CO14/AX$4*100000*AX$3</f>
        <v>56761.239168802611</v>
      </c>
      <c r="AY15" s="511">
        <f>Data!CP14/AY$4*100000*AY$3</f>
        <v>106056.43426030737</v>
      </c>
      <c r="AZ15" s="511">
        <f>Data!CQ14/AZ$4*100000*AZ$3</f>
        <v>123151.26493942132</v>
      </c>
      <c r="BA15" s="511">
        <f>Data!CR14/BA$4*100000*BA$3</f>
        <v>87303.137169310663</v>
      </c>
      <c r="BB15" s="511">
        <f>Data!CS14/BB$4*100000*BB$3</f>
        <v>64163.468775835041</v>
      </c>
      <c r="BC15" s="511">
        <f>Data!CT14/BC$4*100000*BC$3</f>
        <v>31277.7796068877</v>
      </c>
      <c r="BD15" s="511">
        <f>Data!CU14/BD$4*100000*BD$3</f>
        <v>37777.031564808596</v>
      </c>
      <c r="BE15" s="477"/>
      <c r="BF15" s="477"/>
    </row>
    <row r="16" spans="1:58" ht="12" customHeight="1">
      <c r="A16" s="66"/>
      <c r="B16" s="146" t="str">
        <f>UPPER(LEFT(TRIM(Data!B15),1)) &amp; MID(TRIM(Data!B15),2,50)</f>
        <v>Kitų virškinimo sistemos organų</v>
      </c>
      <c r="C16" s="125" t="str">
        <f>UPPER(LEFT(TRIM(Data!C15),1)) &amp; MID(TRIM(Data!C15),2,50)</f>
        <v>C17, C26, C48</v>
      </c>
      <c r="D16" s="126">
        <f>Data!BQ15</f>
        <v>45</v>
      </c>
      <c r="E16" s="127">
        <f t="shared" si="4"/>
        <v>2.8458660001859299</v>
      </c>
      <c r="F16" s="128">
        <f t="shared" si="5"/>
        <v>1.9786116689840962</v>
      </c>
      <c r="G16" s="128">
        <f t="shared" si="6"/>
        <v>1.6589420267679058</v>
      </c>
      <c r="H16" s="71"/>
      <c r="I16" s="71"/>
      <c r="J16" s="71"/>
      <c r="K16" s="71"/>
      <c r="L16" s="71"/>
      <c r="M16" s="71"/>
      <c r="N16" s="71"/>
      <c r="O16" s="71"/>
      <c r="P16" s="261"/>
      <c r="Q16" s="357" t="s">
        <v>353</v>
      </c>
      <c r="R16" s="511">
        <f t="shared" si="2"/>
        <v>197861.16689840963</v>
      </c>
      <c r="S16" s="511">
        <f>Data!CD15/S$4*100000*S$3</f>
        <v>32634.856746576737</v>
      </c>
      <c r="T16" s="511">
        <f>Data!CE15/T$4*100000*T$3</f>
        <v>0</v>
      </c>
      <c r="U16" s="511">
        <f>Data!CF15/U$4*100000*U$3</f>
        <v>0</v>
      </c>
      <c r="V16" s="511">
        <f>Data!CG15/V$4*100000*V$3</f>
        <v>0</v>
      </c>
      <c r="W16" s="511">
        <f>Data!CH15/W$4*100000*W$3</f>
        <v>0</v>
      </c>
      <c r="X16" s="511">
        <f>Data!CI15/X$4*100000*X$3</f>
        <v>0</v>
      </c>
      <c r="Y16" s="511">
        <f>Data!CJ15/Y$4*100000*Y$3</f>
        <v>0</v>
      </c>
      <c r="Z16" s="511">
        <f>Data!CK15/Z$4*100000*Z$3</f>
        <v>7579.7771545516553</v>
      </c>
      <c r="AA16" s="511">
        <f>Data!CL15/AA$4*100000*AA$3</f>
        <v>6629.9179784432945</v>
      </c>
      <c r="AB16" s="511">
        <f>Data!CM15/AB$4*100000*AB$3</f>
        <v>19047.79181670582</v>
      </c>
      <c r="AC16" s="511">
        <f>Data!CN15/AC$4*100000*AC$3</f>
        <v>0</v>
      </c>
      <c r="AD16" s="511">
        <f>Data!CO15/AD$4*100000*AD$3</f>
        <v>26606.83086037622</v>
      </c>
      <c r="AE16" s="511">
        <f>Data!CP15/AE$4*100000*AE$3</f>
        <v>15296.60109523664</v>
      </c>
      <c r="AF16" s="511">
        <f>Data!CQ15/AF$4*100000*AF$3</f>
        <v>42223.290836373017</v>
      </c>
      <c r="AG16" s="511">
        <f>Data!CR15/AG$4*100000*AG$3</f>
        <v>17230.882336048155</v>
      </c>
      <c r="AH16" s="511">
        <f>Data!CS15/AH$4*100000*AH$3</f>
        <v>12339.128610737511</v>
      </c>
      <c r="AI16" s="511">
        <f>Data!CT15/AI$4*100000*AI$3</f>
        <v>9877.193560069798</v>
      </c>
      <c r="AJ16" s="511">
        <f>Data!CU15/AJ$4*100000*AJ$3</f>
        <v>8394.8959032908006</v>
      </c>
      <c r="AK16" s="515" t="s">
        <v>353</v>
      </c>
      <c r="AL16" s="511">
        <f t="shared" si="3"/>
        <v>165894.20267679059</v>
      </c>
      <c r="AM16" s="511">
        <f>Data!CD15/AM$4*100000*AM$3</f>
        <v>48952.285119865104</v>
      </c>
      <c r="AN16" s="511">
        <f>Data!CE15/AN$4*100000*AN$3</f>
        <v>0</v>
      </c>
      <c r="AO16" s="511">
        <f>Data!CF15/AO$4*100000*AO$3</f>
        <v>0</v>
      </c>
      <c r="AP16" s="511">
        <f>Data!CG15/AP$4*100000*AP$3</f>
        <v>0</v>
      </c>
      <c r="AQ16" s="511">
        <f>Data!CH15/AQ$4*100000*AQ$3</f>
        <v>0</v>
      </c>
      <c r="AR16" s="511">
        <f>Data!CI15/AR$4*100000*AR$3</f>
        <v>0</v>
      </c>
      <c r="AS16" s="511">
        <f>Data!CJ15/AS$4*100000*AS$3</f>
        <v>0</v>
      </c>
      <c r="AT16" s="511">
        <f>Data!CK15/AT$4*100000*AT$3</f>
        <v>6496.9518467585613</v>
      </c>
      <c r="AU16" s="511">
        <f>Data!CL15/AU$4*100000*AU$3</f>
        <v>5682.786838665681</v>
      </c>
      <c r="AV16" s="511">
        <f>Data!CM15/AV$4*100000*AV$3</f>
        <v>16326.678700033561</v>
      </c>
      <c r="AW16" s="511">
        <f>Data!CN15/AW$4*100000*AW$3</f>
        <v>0</v>
      </c>
      <c r="AX16" s="511">
        <f>Data!CO15/AX$4*100000*AX$3</f>
        <v>17737.887240250813</v>
      </c>
      <c r="AY16" s="511">
        <f>Data!CP15/AY$4*100000*AY$3</f>
        <v>12237.280876189312</v>
      </c>
      <c r="AZ16" s="511">
        <f>Data!CQ15/AZ$4*100000*AZ$3</f>
        <v>31667.468127279764</v>
      </c>
      <c r="BA16" s="511">
        <f>Data!CR15/BA$4*100000*BA$3</f>
        <v>11487.25489069877</v>
      </c>
      <c r="BB16" s="511">
        <f>Data!CS15/BB$4*100000*BB$3</f>
        <v>6169.5643053687554</v>
      </c>
      <c r="BC16" s="511">
        <f>Data!CT15/BC$4*100000*BC$3</f>
        <v>4938.596780034899</v>
      </c>
      <c r="BD16" s="511">
        <f>Data!CU15/BD$4*100000*BD$3</f>
        <v>4197.4479516454003</v>
      </c>
      <c r="BE16" s="477"/>
      <c r="BF16" s="477"/>
    </row>
    <row r="17" spans="1:56" ht="12" customHeight="1">
      <c r="A17" s="66"/>
      <c r="B17" s="286" t="str">
        <f>UPPER(LEFT(TRIM(Data!B16),1)) &amp; MID(TRIM(Data!B16),2,50)</f>
        <v>Nosies ertmės, vid.ausies ir ančių</v>
      </c>
      <c r="C17" s="287" t="str">
        <f>UPPER(LEFT(TRIM(Data!C16),1)) &amp; MID(TRIM(Data!C16),2,50)</f>
        <v>C30, C31</v>
      </c>
      <c r="D17" s="288">
        <f>Data!BQ16</f>
        <v>17</v>
      </c>
      <c r="E17" s="289">
        <f t="shared" si="4"/>
        <v>1.0751049334035736</v>
      </c>
      <c r="F17" s="290">
        <f t="shared" si="5"/>
        <v>0.64006581363778048</v>
      </c>
      <c r="G17" s="290">
        <f t="shared" si="6"/>
        <v>0.43049671842918663</v>
      </c>
      <c r="H17" s="71"/>
      <c r="I17" s="71"/>
      <c r="J17" s="71"/>
      <c r="K17" s="71"/>
      <c r="L17" s="71"/>
      <c r="M17" s="71"/>
      <c r="N17" s="71"/>
      <c r="O17" s="71"/>
      <c r="P17" s="261"/>
      <c r="Q17" s="357" t="s">
        <v>353</v>
      </c>
      <c r="R17" s="355">
        <f t="shared" si="2"/>
        <v>64006.581363778052</v>
      </c>
      <c r="S17" s="355">
        <f>Data!CD16/S$4*100000*S$3</f>
        <v>0</v>
      </c>
      <c r="T17" s="355">
        <f>Data!CE16/T$4*100000*T$3</f>
        <v>0</v>
      </c>
      <c r="U17" s="355">
        <f>Data!CF16/U$4*100000*U$3</f>
        <v>0</v>
      </c>
      <c r="V17" s="355">
        <f>Data!CG16/V$4*100000*V$3</f>
        <v>0</v>
      </c>
      <c r="W17" s="355">
        <f>Data!CH16/W$4*100000*W$3</f>
        <v>0</v>
      </c>
      <c r="X17" s="355">
        <f>Data!CI16/X$4*100000*X$3</f>
        <v>0</v>
      </c>
      <c r="Y17" s="355">
        <f>Data!CJ16/Y$4*100000*Y$3</f>
        <v>0</v>
      </c>
      <c r="Z17" s="355">
        <f>Data!CK16/Z$4*100000*Z$3</f>
        <v>0</v>
      </c>
      <c r="AA17" s="355">
        <f>Data!CL16/AA$4*100000*AA$3</f>
        <v>0</v>
      </c>
      <c r="AB17" s="355">
        <f>Data!CM16/AB$4*100000*AB$3</f>
        <v>0</v>
      </c>
      <c r="AC17" s="355">
        <f>Data!CN16/AC$4*100000*AC$3</f>
        <v>11353.223098943339</v>
      </c>
      <c r="AD17" s="355">
        <f>Data!CO16/AD$4*100000*AD$3</f>
        <v>5321.3661720752443</v>
      </c>
      <c r="AE17" s="355">
        <f>Data!CP16/AE$4*100000*AE$3</f>
        <v>10197.734063491092</v>
      </c>
      <c r="AF17" s="355">
        <f>Data!CQ16/AF$4*100000*AF$3</f>
        <v>14074.430278791006</v>
      </c>
      <c r="AG17" s="355">
        <f>Data!CR16/AG$4*100000*AG$3</f>
        <v>6892.3529344192621</v>
      </c>
      <c r="AH17" s="355">
        <f>Data!CS16/AH$4*100000*AH$3</f>
        <v>9871.3028885900076</v>
      </c>
      <c r="AI17" s="355">
        <f>Data!CT16/AI$4*100000*AI$3</f>
        <v>0</v>
      </c>
      <c r="AJ17" s="355">
        <f>Data!CU16/AJ$4*100000*AJ$3</f>
        <v>6296.1719274680991</v>
      </c>
      <c r="AK17" s="357" t="s">
        <v>353</v>
      </c>
      <c r="AL17" s="355">
        <f t="shared" si="3"/>
        <v>43049.671842918666</v>
      </c>
      <c r="AM17" s="355">
        <f>Data!CD16/AM$4*100000*AM$3</f>
        <v>0</v>
      </c>
      <c r="AN17" s="355">
        <f>Data!CE16/AN$4*100000*AN$3</f>
        <v>0</v>
      </c>
      <c r="AO17" s="355">
        <f>Data!CF16/AO$4*100000*AO$3</f>
        <v>0</v>
      </c>
      <c r="AP17" s="355">
        <f>Data!CG16/AP$4*100000*AP$3</f>
        <v>0</v>
      </c>
      <c r="AQ17" s="355">
        <f>Data!CH16/AQ$4*100000*AQ$3</f>
        <v>0</v>
      </c>
      <c r="AR17" s="355">
        <f>Data!CI16/AR$4*100000*AR$3</f>
        <v>0</v>
      </c>
      <c r="AS17" s="355">
        <f>Data!CJ16/AS$4*100000*AS$3</f>
        <v>0</v>
      </c>
      <c r="AT17" s="355">
        <f>Data!CK16/AT$4*100000*AT$3</f>
        <v>0</v>
      </c>
      <c r="AU17" s="355">
        <f>Data!CL16/AU$4*100000*AU$3</f>
        <v>0</v>
      </c>
      <c r="AV17" s="355">
        <f>Data!CM16/AV$4*100000*AV$3</f>
        <v>0</v>
      </c>
      <c r="AW17" s="355">
        <f>Data!CN16/AW$4*100000*AW$3</f>
        <v>8109.4450706738144</v>
      </c>
      <c r="AX17" s="355">
        <f>Data!CO16/AX$4*100000*AX$3</f>
        <v>3547.5774480501632</v>
      </c>
      <c r="AY17" s="355">
        <f>Data!CP16/AY$4*100000*AY$3</f>
        <v>8158.1872507928747</v>
      </c>
      <c r="AZ17" s="355">
        <f>Data!CQ16/AZ$4*100000*AZ$3</f>
        <v>10555.822709093254</v>
      </c>
      <c r="BA17" s="355">
        <f>Data!CR16/BA$4*100000*BA$3</f>
        <v>4594.9019562795083</v>
      </c>
      <c r="BB17" s="355">
        <f>Data!CS16/BB$4*100000*BB$3</f>
        <v>4935.6514442950038</v>
      </c>
      <c r="BC17" s="355">
        <f>Data!CT16/BC$4*100000*BC$3</f>
        <v>0</v>
      </c>
      <c r="BD17" s="355">
        <f>Data!CU16/BD$4*100000*BD$3</f>
        <v>3148.0859637340495</v>
      </c>
    </row>
    <row r="18" spans="1:56" ht="12" customHeight="1">
      <c r="A18" s="66"/>
      <c r="B18" s="146" t="str">
        <f>UPPER(LEFT(TRIM(Data!B17),1)) &amp; MID(TRIM(Data!B17),2,50)</f>
        <v>Gerklų</v>
      </c>
      <c r="C18" s="125" t="str">
        <f>UPPER(LEFT(TRIM(Data!C17),1)) &amp; MID(TRIM(Data!C17),2,50)</f>
        <v>C32</v>
      </c>
      <c r="D18" s="126">
        <f>Data!BQ17</f>
        <v>15</v>
      </c>
      <c r="E18" s="127">
        <f t="shared" si="4"/>
        <v>0.94862200006197661</v>
      </c>
      <c r="F18" s="128">
        <f t="shared" si="5"/>
        <v>0.68179388459573398</v>
      </c>
      <c r="G18" s="128">
        <f t="shared" si="6"/>
        <v>0.51472920805966427</v>
      </c>
      <c r="H18" s="71"/>
      <c r="I18" s="71"/>
      <c r="J18" s="71"/>
      <c r="K18" s="71"/>
      <c r="L18" s="71"/>
      <c r="M18" s="71"/>
      <c r="N18" s="71"/>
      <c r="O18" s="71"/>
      <c r="P18" s="261"/>
      <c r="Q18" s="357" t="s">
        <v>353</v>
      </c>
      <c r="R18" s="355">
        <f t="shared" si="2"/>
        <v>68179.388459573398</v>
      </c>
      <c r="S18" s="355">
        <f>Data!CD17/S$4*100000*S$3</f>
        <v>0</v>
      </c>
      <c r="T18" s="355">
        <f>Data!CE17/T$4*100000*T$3</f>
        <v>0</v>
      </c>
      <c r="U18" s="355">
        <f>Data!CF17/U$4*100000*U$3</f>
        <v>0</v>
      </c>
      <c r="V18" s="355">
        <f>Data!CG17/V$4*100000*V$3</f>
        <v>0</v>
      </c>
      <c r="W18" s="355">
        <f>Data!CH17/W$4*100000*W$3</f>
        <v>0</v>
      </c>
      <c r="X18" s="355">
        <f>Data!CI17/X$4*100000*X$3</f>
        <v>7370.5934380659555</v>
      </c>
      <c r="Y18" s="355">
        <f>Data!CJ17/Y$4*100000*Y$3</f>
        <v>8026.5104172638767</v>
      </c>
      <c r="Z18" s="355">
        <f>Data!CK17/Z$4*100000*Z$3</f>
        <v>0</v>
      </c>
      <c r="AA18" s="355">
        <f>Data!CL17/AA$4*100000*AA$3</f>
        <v>0</v>
      </c>
      <c r="AB18" s="355">
        <f>Data!CM17/AB$4*100000*AB$3</f>
        <v>6349.2639389019405</v>
      </c>
      <c r="AC18" s="355">
        <f>Data!CN17/AC$4*100000*AC$3</f>
        <v>5676.6115494716696</v>
      </c>
      <c r="AD18" s="355">
        <f>Data!CO17/AD$4*100000*AD$3</f>
        <v>15964.098516225733</v>
      </c>
      <c r="AE18" s="355">
        <f>Data!CP17/AE$4*100000*AE$3</f>
        <v>10197.734063491092</v>
      </c>
      <c r="AF18" s="355">
        <f>Data!CQ17/AF$4*100000*AF$3</f>
        <v>0</v>
      </c>
      <c r="AG18" s="355">
        <f>Data!CR17/AG$4*100000*AG$3</f>
        <v>3446.176467209631</v>
      </c>
      <c r="AH18" s="355">
        <f>Data!CS17/AH$4*100000*AH$3</f>
        <v>7403.4771664425052</v>
      </c>
      <c r="AI18" s="355">
        <f>Data!CT17/AI$4*100000*AI$3</f>
        <v>1646.1989266782998</v>
      </c>
      <c r="AJ18" s="355">
        <f>Data!CU17/AJ$4*100000*AJ$3</f>
        <v>2098.7239758227001</v>
      </c>
      <c r="AK18" s="357" t="s">
        <v>353</v>
      </c>
      <c r="AL18" s="355">
        <f t="shared" si="3"/>
        <v>51472.920805966431</v>
      </c>
      <c r="AM18" s="355">
        <f>Data!CD17/AM$4*100000*AM$3</f>
        <v>0</v>
      </c>
      <c r="AN18" s="355">
        <f>Data!CE17/AN$4*100000*AN$3</f>
        <v>0</v>
      </c>
      <c r="AO18" s="355">
        <f>Data!CF17/AO$4*100000*AO$3</f>
        <v>0</v>
      </c>
      <c r="AP18" s="355">
        <f>Data!CG17/AP$4*100000*AP$3</f>
        <v>0</v>
      </c>
      <c r="AQ18" s="355">
        <f>Data!CH17/AQ$4*100000*AQ$3</f>
        <v>0</v>
      </c>
      <c r="AR18" s="355">
        <f>Data!CI17/AR$4*100000*AR$3</f>
        <v>8423.535357789664</v>
      </c>
      <c r="AS18" s="355">
        <f>Data!CJ17/AS$4*100000*AS$3</f>
        <v>6879.8660719404661</v>
      </c>
      <c r="AT18" s="355">
        <f>Data!CK17/AT$4*100000*AT$3</f>
        <v>0</v>
      </c>
      <c r="AU18" s="355">
        <f>Data!CL17/AU$4*100000*AU$3</f>
        <v>0</v>
      </c>
      <c r="AV18" s="355">
        <f>Data!CM17/AV$4*100000*AV$3</f>
        <v>5442.2262333445206</v>
      </c>
      <c r="AW18" s="355">
        <f>Data!CN17/AW$4*100000*AW$3</f>
        <v>4054.7225353369072</v>
      </c>
      <c r="AX18" s="355">
        <f>Data!CO17/AX$4*100000*AX$3</f>
        <v>10642.732344150489</v>
      </c>
      <c r="AY18" s="355">
        <f>Data!CP17/AY$4*100000*AY$3</f>
        <v>8158.1872507928747</v>
      </c>
      <c r="AZ18" s="355">
        <f>Data!CQ17/AZ$4*100000*AZ$3</f>
        <v>0</v>
      </c>
      <c r="BA18" s="355">
        <f>Data!CR17/BA$4*100000*BA$3</f>
        <v>2297.4509781397542</v>
      </c>
      <c r="BB18" s="355">
        <f>Data!CS17/BB$4*100000*BB$3</f>
        <v>3701.7385832212526</v>
      </c>
      <c r="BC18" s="355">
        <f>Data!CT17/BC$4*100000*BC$3</f>
        <v>823.09946333914991</v>
      </c>
      <c r="BD18" s="355">
        <f>Data!CU17/BD$4*100000*BD$3</f>
        <v>1049.3619879113501</v>
      </c>
    </row>
    <row r="19" spans="1:56" ht="12" customHeight="1">
      <c r="A19" s="66"/>
      <c r="B19" s="286" t="str">
        <f>UPPER(LEFT(TRIM(Data!B18),1)) &amp; MID(TRIM(Data!B18),2,50)</f>
        <v>Plaučių, trachėjos, bronchų</v>
      </c>
      <c r="C19" s="287" t="str">
        <f>UPPER(LEFT(TRIM(Data!C18),1)) &amp; MID(TRIM(Data!C18),2,50)</f>
        <v>C33, C34</v>
      </c>
      <c r="D19" s="288">
        <f>Data!BQ18</f>
        <v>260</v>
      </c>
      <c r="E19" s="289">
        <f t="shared" si="4"/>
        <v>16.442781334407595</v>
      </c>
      <c r="F19" s="290">
        <f t="shared" si="5"/>
        <v>9.7289824204169673</v>
      </c>
      <c r="G19" s="290">
        <f t="shared" si="6"/>
        <v>6.7213608246522725</v>
      </c>
      <c r="H19" s="71"/>
      <c r="I19" s="71"/>
      <c r="J19" s="71"/>
      <c r="K19" s="71"/>
      <c r="L19" s="71"/>
      <c r="M19" s="71"/>
      <c r="N19" s="71"/>
      <c r="O19" s="71"/>
      <c r="P19" s="261"/>
      <c r="Q19" s="357" t="s">
        <v>353</v>
      </c>
      <c r="R19" s="355">
        <f t="shared" si="2"/>
        <v>972898.24204169668</v>
      </c>
      <c r="S19" s="355">
        <f>Data!CD18/S$4*100000*S$3</f>
        <v>0</v>
      </c>
      <c r="T19" s="355">
        <f>Data!CE18/T$4*100000*T$3</f>
        <v>0</v>
      </c>
      <c r="U19" s="355">
        <f>Data!CF18/U$4*100000*U$3</f>
        <v>0</v>
      </c>
      <c r="V19" s="355">
        <f>Data!CG18/V$4*100000*V$3</f>
        <v>0</v>
      </c>
      <c r="W19" s="355">
        <f>Data!CH18/W$4*100000*W$3</f>
        <v>6869.8843896598428</v>
      </c>
      <c r="X19" s="355">
        <f>Data!CI18/X$4*100000*X$3</f>
        <v>0</v>
      </c>
      <c r="Y19" s="355">
        <f>Data!CJ18/Y$4*100000*Y$3</f>
        <v>0</v>
      </c>
      <c r="Z19" s="355">
        <f>Data!CK18/Z$4*100000*Z$3</f>
        <v>0</v>
      </c>
      <c r="AA19" s="355">
        <f>Data!CL18/AA$4*100000*AA$3</f>
        <v>26519.671913773178</v>
      </c>
      <c r="AB19" s="355">
        <f>Data!CM18/AB$4*100000*AB$3</f>
        <v>57143.375450117463</v>
      </c>
      <c r="AC19" s="355">
        <f>Data!CN18/AC$4*100000*AC$3</f>
        <v>73795.950143131704</v>
      </c>
      <c r="AD19" s="355">
        <f>Data!CO18/AD$4*100000*AD$3</f>
        <v>127712.78812980586</v>
      </c>
      <c r="AE19" s="355">
        <f>Data!CP18/AE$4*100000*AE$3</f>
        <v>158064.87798411192</v>
      </c>
      <c r="AF19" s="355">
        <f>Data!CQ18/AF$4*100000*AF$3</f>
        <v>159510.20982629809</v>
      </c>
      <c r="AG19" s="355">
        <f>Data!CR18/AG$4*100000*AG$3</f>
        <v>161970.29395885265</v>
      </c>
      <c r="AH19" s="355">
        <f>Data!CS18/AH$4*100000*AH$3</f>
        <v>93777.377441605073</v>
      </c>
      <c r="AI19" s="355">
        <f>Data!CT18/AI$4*100000*AI$3</f>
        <v>59263.161360418795</v>
      </c>
      <c r="AJ19" s="355">
        <f>Data!CU18/AJ$4*100000*AJ$3</f>
        <v>48270.651443922092</v>
      </c>
      <c r="AK19" s="357" t="s">
        <v>353</v>
      </c>
      <c r="AL19" s="355">
        <f t="shared" si="3"/>
        <v>672136.08246522723</v>
      </c>
      <c r="AM19" s="355">
        <f>Data!CD18/AM$4*100000*AM$3</f>
        <v>0</v>
      </c>
      <c r="AN19" s="355">
        <f>Data!CE18/AN$4*100000*AN$3</f>
        <v>0</v>
      </c>
      <c r="AO19" s="355">
        <f>Data!CF18/AO$4*100000*AO$3</f>
        <v>0</v>
      </c>
      <c r="AP19" s="355">
        <f>Data!CG18/AP$4*100000*AP$3</f>
        <v>0</v>
      </c>
      <c r="AQ19" s="355">
        <f>Data!CH18/AQ$4*100000*AQ$3</f>
        <v>7851.2964453255345</v>
      </c>
      <c r="AR19" s="355">
        <f>Data!CI18/AR$4*100000*AR$3</f>
        <v>0</v>
      </c>
      <c r="AS19" s="355">
        <f>Data!CJ18/AS$4*100000*AS$3</f>
        <v>0</v>
      </c>
      <c r="AT19" s="355">
        <f>Data!CK18/AT$4*100000*AT$3</f>
        <v>0</v>
      </c>
      <c r="AU19" s="355">
        <f>Data!CL18/AU$4*100000*AU$3</f>
        <v>22731.147354662724</v>
      </c>
      <c r="AV19" s="355">
        <f>Data!CM18/AV$4*100000*AV$3</f>
        <v>48980.036100100682</v>
      </c>
      <c r="AW19" s="355">
        <f>Data!CN18/AW$4*100000*AW$3</f>
        <v>52711.392959379787</v>
      </c>
      <c r="AX19" s="355">
        <f>Data!CO18/AX$4*100000*AX$3</f>
        <v>85141.858753203909</v>
      </c>
      <c r="AY19" s="355">
        <f>Data!CP18/AY$4*100000*AY$3</f>
        <v>126451.90238728953</v>
      </c>
      <c r="AZ19" s="355">
        <f>Data!CQ18/AZ$4*100000*AZ$3</f>
        <v>119632.65736972356</v>
      </c>
      <c r="BA19" s="355">
        <f>Data!CR18/BA$4*100000*BA$3</f>
        <v>107980.19597256844</v>
      </c>
      <c r="BB19" s="355">
        <f>Data!CS18/BB$4*100000*BB$3</f>
        <v>46888.688720802536</v>
      </c>
      <c r="BC19" s="355">
        <f>Data!CT18/BC$4*100000*BC$3</f>
        <v>29631.580680209398</v>
      </c>
      <c r="BD19" s="355">
        <f>Data!CU18/BD$4*100000*BD$3</f>
        <v>24135.325721961046</v>
      </c>
    </row>
    <row r="20" spans="1:56" ht="12" customHeight="1">
      <c r="A20" s="66"/>
      <c r="B20" s="146" t="str">
        <f>UPPER(LEFT(TRIM(Data!B19),1)) &amp; MID(TRIM(Data!B19),2,50)</f>
        <v>Kitų kvėpavimo sistemos organų</v>
      </c>
      <c r="C20" s="125" t="str">
        <f>UPPER(LEFT(TRIM(Data!C19),1)) &amp; MID(TRIM(Data!C19),2,50)</f>
        <v>C37-C39</v>
      </c>
      <c r="D20" s="126">
        <f>Data!BQ19</f>
        <v>9</v>
      </c>
      <c r="E20" s="127">
        <f t="shared" si="4"/>
        <v>0.56917320003718597</v>
      </c>
      <c r="F20" s="128">
        <f t="shared" si="5"/>
        <v>0.40565951806614525</v>
      </c>
      <c r="G20" s="128">
        <f t="shared" si="6"/>
        <v>0.39947094457020677</v>
      </c>
      <c r="H20" s="71"/>
      <c r="I20" s="71"/>
      <c r="J20" s="71"/>
      <c r="K20" s="71"/>
      <c r="L20" s="71"/>
      <c r="M20" s="71"/>
      <c r="N20" s="71"/>
      <c r="O20" s="71"/>
      <c r="P20" s="261"/>
      <c r="Q20" s="357" t="s">
        <v>353</v>
      </c>
      <c r="R20" s="355">
        <f t="shared" si="2"/>
        <v>40565.951806614525</v>
      </c>
      <c r="S20" s="355">
        <f>Data!CD19/S$4*100000*S$3</f>
        <v>0</v>
      </c>
      <c r="T20" s="355">
        <f>Data!CE19/T$4*100000*T$3</f>
        <v>10463.065379211384</v>
      </c>
      <c r="U20" s="355">
        <f>Data!CF19/U$4*100000*U$3</f>
        <v>0</v>
      </c>
      <c r="V20" s="355">
        <f>Data!CG19/V$4*100000*V$3</f>
        <v>8282.8474062854984</v>
      </c>
      <c r="W20" s="355">
        <f>Data!CH19/W$4*100000*W$3</f>
        <v>0</v>
      </c>
      <c r="X20" s="355">
        <f>Data!CI19/X$4*100000*X$3</f>
        <v>0</v>
      </c>
      <c r="Y20" s="355">
        <f>Data!CJ19/Y$4*100000*Y$3</f>
        <v>0</v>
      </c>
      <c r="Z20" s="355">
        <f>Data!CK19/Z$4*100000*Z$3</f>
        <v>0</v>
      </c>
      <c r="AA20" s="355">
        <f>Data!CL19/AA$4*100000*AA$3</f>
        <v>0</v>
      </c>
      <c r="AB20" s="355">
        <f>Data!CM19/AB$4*100000*AB$3</f>
        <v>6349.2639389019405</v>
      </c>
      <c r="AC20" s="355">
        <f>Data!CN19/AC$4*100000*AC$3</f>
        <v>0</v>
      </c>
      <c r="AD20" s="355">
        <f>Data!CO19/AD$4*100000*AD$3</f>
        <v>0</v>
      </c>
      <c r="AE20" s="355">
        <f>Data!CP19/AE$4*100000*AE$3</f>
        <v>0</v>
      </c>
      <c r="AF20" s="355">
        <f>Data!CQ19/AF$4*100000*AF$3</f>
        <v>4691.4767595970015</v>
      </c>
      <c r="AG20" s="355">
        <f>Data!CR19/AG$4*100000*AG$3</f>
        <v>0</v>
      </c>
      <c r="AH20" s="355">
        <f>Data!CS19/AH$4*100000*AH$3</f>
        <v>4935.6514442950038</v>
      </c>
      <c r="AI20" s="355">
        <f>Data!CT19/AI$4*100000*AI$3</f>
        <v>1646.1989266782998</v>
      </c>
      <c r="AJ20" s="355">
        <f>Data!CU19/AJ$4*100000*AJ$3</f>
        <v>4197.4479516454003</v>
      </c>
      <c r="AK20" s="357" t="s">
        <v>353</v>
      </c>
      <c r="AL20" s="355">
        <f t="shared" si="3"/>
        <v>39947.094457020678</v>
      </c>
      <c r="AM20" s="355">
        <f>Data!CD19/AM$4*100000*AM$3</f>
        <v>0</v>
      </c>
      <c r="AN20" s="355">
        <f>Data!CE19/AN$4*100000*AN$3</f>
        <v>14947.236256016264</v>
      </c>
      <c r="AO20" s="355">
        <f>Data!CF19/AO$4*100000*AO$3</f>
        <v>0</v>
      </c>
      <c r="AP20" s="355">
        <f>Data!CG19/AP$4*100000*AP$3</f>
        <v>10649.375236652784</v>
      </c>
      <c r="AQ20" s="355">
        <f>Data!CH19/AQ$4*100000*AQ$3</f>
        <v>0</v>
      </c>
      <c r="AR20" s="355">
        <f>Data!CI19/AR$4*100000*AR$3</f>
        <v>0</v>
      </c>
      <c r="AS20" s="355">
        <f>Data!CJ19/AS$4*100000*AS$3</f>
        <v>0</v>
      </c>
      <c r="AT20" s="355">
        <f>Data!CK19/AT$4*100000*AT$3</f>
        <v>0</v>
      </c>
      <c r="AU20" s="355">
        <f>Data!CL19/AU$4*100000*AU$3</f>
        <v>0</v>
      </c>
      <c r="AV20" s="355">
        <f>Data!CM19/AV$4*100000*AV$3</f>
        <v>5442.2262333445206</v>
      </c>
      <c r="AW20" s="355">
        <f>Data!CN19/AW$4*100000*AW$3</f>
        <v>0</v>
      </c>
      <c r="AX20" s="355">
        <f>Data!CO19/AX$4*100000*AX$3</f>
        <v>0</v>
      </c>
      <c r="AY20" s="355">
        <f>Data!CP19/AY$4*100000*AY$3</f>
        <v>0</v>
      </c>
      <c r="AZ20" s="355">
        <f>Data!CQ19/AZ$4*100000*AZ$3</f>
        <v>3518.6075696977514</v>
      </c>
      <c r="BA20" s="355">
        <f>Data!CR19/BA$4*100000*BA$3</f>
        <v>0</v>
      </c>
      <c r="BB20" s="355">
        <f>Data!CS19/BB$4*100000*BB$3</f>
        <v>2467.8257221475019</v>
      </c>
      <c r="BC20" s="355">
        <f>Data!CT19/BC$4*100000*BC$3</f>
        <v>823.09946333914991</v>
      </c>
      <c r="BD20" s="355">
        <f>Data!CU19/BD$4*100000*BD$3</f>
        <v>2098.7239758227001</v>
      </c>
    </row>
    <row r="21" spans="1:56" ht="12" customHeight="1">
      <c r="A21" s="66"/>
      <c r="B21" s="286" t="str">
        <f>UPPER(LEFT(TRIM(Data!B20),1)) &amp; MID(TRIM(Data!B20),2,50)</f>
        <v>Kaulų ir jungiamojo audinio</v>
      </c>
      <c r="C21" s="287" t="str">
        <f>UPPER(LEFT(TRIM(Data!C20),1)) &amp; MID(TRIM(Data!C20),2,50)</f>
        <v>C40-C41, C45-C47, C49</v>
      </c>
      <c r="D21" s="288">
        <f>Data!BQ20</f>
        <v>63</v>
      </c>
      <c r="E21" s="289">
        <f t="shared" si="4"/>
        <v>3.9842124002603021</v>
      </c>
      <c r="F21" s="290">
        <f t="shared" si="5"/>
        <v>3.0473741602960747</v>
      </c>
      <c r="G21" s="290">
        <f t="shared" si="6"/>
        <v>2.5917966437622568</v>
      </c>
      <c r="H21" s="71"/>
      <c r="I21" s="71"/>
      <c r="J21" s="71"/>
      <c r="K21" s="71"/>
      <c r="L21" s="71"/>
      <c r="M21" s="71"/>
      <c r="N21" s="71"/>
      <c r="O21" s="71"/>
      <c r="P21" s="261"/>
      <c r="Q21" s="357" t="s">
        <v>353</v>
      </c>
      <c r="R21" s="355">
        <f t="shared" si="2"/>
        <v>304737.41602960747</v>
      </c>
      <c r="S21" s="355">
        <f>Data!CD20/S$4*100000*S$3</f>
        <v>0</v>
      </c>
      <c r="T21" s="355">
        <f>Data!CE20/T$4*100000*T$3</f>
        <v>10463.065379211384</v>
      </c>
      <c r="U21" s="355">
        <f>Data!CF20/U$4*100000*U$3</f>
        <v>10271.610735300592</v>
      </c>
      <c r="V21" s="355">
        <f>Data!CG20/V$4*100000*V$3</f>
        <v>24848.542218856495</v>
      </c>
      <c r="W21" s="355">
        <f>Data!CH20/W$4*100000*W$3</f>
        <v>6869.8843896598428</v>
      </c>
      <c r="X21" s="355">
        <f>Data!CI20/X$4*100000*X$3</f>
        <v>22111.780314197869</v>
      </c>
      <c r="Y21" s="355">
        <f>Data!CJ20/Y$4*100000*Y$3</f>
        <v>16053.020834527753</v>
      </c>
      <c r="Z21" s="355">
        <f>Data!CK20/Z$4*100000*Z$3</f>
        <v>15159.554309103311</v>
      </c>
      <c r="AA21" s="355">
        <f>Data!CL20/AA$4*100000*AA$3</f>
        <v>19889.753935329885</v>
      </c>
      <c r="AB21" s="355">
        <f>Data!CM20/AB$4*100000*AB$3</f>
        <v>25397.055755607762</v>
      </c>
      <c r="AC21" s="355">
        <f>Data!CN20/AC$4*100000*AC$3</f>
        <v>34059.669296830019</v>
      </c>
      <c r="AD21" s="355">
        <f>Data!CO20/AD$4*100000*AD$3</f>
        <v>21285.464688300977</v>
      </c>
      <c r="AE21" s="355">
        <f>Data!CP20/AE$4*100000*AE$3</f>
        <v>15296.60109523664</v>
      </c>
      <c r="AF21" s="355">
        <f>Data!CQ20/AF$4*100000*AF$3</f>
        <v>14074.430278791006</v>
      </c>
      <c r="AG21" s="355">
        <f>Data!CR20/AG$4*100000*AG$3</f>
        <v>27569.411737677048</v>
      </c>
      <c r="AH21" s="355">
        <f>Data!CS20/AH$4*100000*AH$3</f>
        <v>22210.431499327518</v>
      </c>
      <c r="AI21" s="355">
        <f>Data!CT20/AI$4*100000*AI$3</f>
        <v>6584.7957067131993</v>
      </c>
      <c r="AJ21" s="355">
        <f>Data!CU20/AJ$4*100000*AJ$3</f>
        <v>12592.343854936198</v>
      </c>
      <c r="AK21" s="357" t="s">
        <v>353</v>
      </c>
      <c r="AL21" s="355">
        <f t="shared" si="3"/>
        <v>259179.66437622567</v>
      </c>
      <c r="AM21" s="355">
        <f>Data!CD20/AM$4*100000*AM$3</f>
        <v>0</v>
      </c>
      <c r="AN21" s="355">
        <f>Data!CE20/AN$4*100000*AN$3</f>
        <v>14947.236256016264</v>
      </c>
      <c r="AO21" s="355">
        <f>Data!CF20/AO$4*100000*AO$3</f>
        <v>13206.356659672188</v>
      </c>
      <c r="AP21" s="355">
        <f>Data!CG20/AP$4*100000*AP$3</f>
        <v>31948.125709958353</v>
      </c>
      <c r="AQ21" s="355">
        <f>Data!CH20/AQ$4*100000*AQ$3</f>
        <v>7851.2964453255345</v>
      </c>
      <c r="AR21" s="355">
        <f>Data!CI20/AR$4*100000*AR$3</f>
        <v>25270.606073368996</v>
      </c>
      <c r="AS21" s="355">
        <f>Data!CJ20/AS$4*100000*AS$3</f>
        <v>13759.732143880932</v>
      </c>
      <c r="AT21" s="355">
        <f>Data!CK20/AT$4*100000*AT$3</f>
        <v>12993.903693517123</v>
      </c>
      <c r="AU21" s="355">
        <f>Data!CL20/AU$4*100000*AU$3</f>
        <v>17048.360515997047</v>
      </c>
      <c r="AV21" s="355">
        <f>Data!CM20/AV$4*100000*AV$3</f>
        <v>21768.904933378082</v>
      </c>
      <c r="AW21" s="355">
        <f>Data!CN20/AW$4*100000*AW$3</f>
        <v>24328.33521202144</v>
      </c>
      <c r="AX21" s="355">
        <f>Data!CO20/AX$4*100000*AX$3</f>
        <v>14190.309792200653</v>
      </c>
      <c r="AY21" s="355">
        <f>Data!CP20/AY$4*100000*AY$3</f>
        <v>12237.280876189312</v>
      </c>
      <c r="AZ21" s="355">
        <f>Data!CQ20/AZ$4*100000*AZ$3</f>
        <v>10555.822709093254</v>
      </c>
      <c r="BA21" s="355">
        <f>Data!CR20/BA$4*100000*BA$3</f>
        <v>18379.607825118033</v>
      </c>
      <c r="BB21" s="355">
        <f>Data!CS20/BB$4*100000*BB$3</f>
        <v>11105.215749663759</v>
      </c>
      <c r="BC21" s="355">
        <f>Data!CT20/BC$4*100000*BC$3</f>
        <v>3292.3978533565996</v>
      </c>
      <c r="BD21" s="355">
        <f>Data!CU20/BD$4*100000*BD$3</f>
        <v>6296.1719274680991</v>
      </c>
    </row>
    <row r="22" spans="1:56" ht="12" customHeight="1">
      <c r="A22" s="66"/>
      <c r="B22" s="146" t="str">
        <f>UPPER(LEFT(TRIM(Data!B21),1)) &amp; MID(TRIM(Data!B21),2,50)</f>
        <v>Odos melanoma</v>
      </c>
      <c r="C22" s="125" t="str">
        <f>UPPER(LEFT(TRIM(Data!C21),1)) &amp; MID(TRIM(Data!C21),2,50)</f>
        <v>C43</v>
      </c>
      <c r="D22" s="126">
        <f>Data!BQ21</f>
        <v>188</v>
      </c>
      <c r="E22" s="127">
        <f t="shared" si="4"/>
        <v>11.889395734110108</v>
      </c>
      <c r="F22" s="128">
        <f t="shared" si="5"/>
        <v>8.4959505448147699</v>
      </c>
      <c r="G22" s="128">
        <f t="shared" si="6"/>
        <v>6.392421550645266</v>
      </c>
      <c r="H22" s="71"/>
      <c r="I22" s="71"/>
      <c r="J22" s="71"/>
      <c r="K22" s="71"/>
      <c r="L22" s="71"/>
      <c r="M22" s="71"/>
      <c r="N22" s="71"/>
      <c r="O22" s="71"/>
      <c r="P22" s="261"/>
      <c r="Q22" s="357" t="s">
        <v>353</v>
      </c>
      <c r="R22" s="355">
        <f t="shared" si="2"/>
        <v>849595.05448147701</v>
      </c>
      <c r="S22" s="355">
        <f>Data!CD21/S$4*100000*S$3</f>
        <v>0</v>
      </c>
      <c r="T22" s="355">
        <f>Data!CE21/T$4*100000*T$3</f>
        <v>0</v>
      </c>
      <c r="U22" s="355">
        <f>Data!CF21/U$4*100000*U$3</f>
        <v>0</v>
      </c>
      <c r="V22" s="355">
        <f>Data!CG21/V$4*100000*V$3</f>
        <v>0</v>
      </c>
      <c r="W22" s="355">
        <f>Data!CH21/W$4*100000*W$3</f>
        <v>13739.768779319686</v>
      </c>
      <c r="X22" s="355">
        <f>Data!CI21/X$4*100000*X$3</f>
        <v>36852.967190329786</v>
      </c>
      <c r="Y22" s="355">
        <f>Data!CJ21/Y$4*100000*Y$3</f>
        <v>16053.020834527753</v>
      </c>
      <c r="Z22" s="355">
        <f>Data!CK21/Z$4*100000*Z$3</f>
        <v>22739.331463654969</v>
      </c>
      <c r="AA22" s="355">
        <f>Data!CL21/AA$4*100000*AA$3</f>
        <v>53039.343827546356</v>
      </c>
      <c r="AB22" s="355">
        <f>Data!CM21/AB$4*100000*AB$3</f>
        <v>76191.167266823279</v>
      </c>
      <c r="AC22" s="355">
        <f>Data!CN21/AC$4*100000*AC$3</f>
        <v>124885.45408837673</v>
      </c>
      <c r="AD22" s="355">
        <f>Data!CO21/AD$4*100000*AD$3</f>
        <v>85141.858753203909</v>
      </c>
      <c r="AE22" s="355">
        <f>Data!CP21/AE$4*100000*AE$3</f>
        <v>137669.40985712974</v>
      </c>
      <c r="AF22" s="355">
        <f>Data!CQ21/AF$4*100000*AF$3</f>
        <v>117286.91898992505</v>
      </c>
      <c r="AG22" s="355">
        <f>Data!CR21/AG$4*100000*AG$3</f>
        <v>62031.176409773361</v>
      </c>
      <c r="AH22" s="355">
        <f>Data!CS21/AH$4*100000*AH$3</f>
        <v>51824.340165097543</v>
      </c>
      <c r="AI22" s="355">
        <f>Data!CT21/AI$4*100000*AI$3</f>
        <v>16461.989266782995</v>
      </c>
      <c r="AJ22" s="355">
        <f>Data!CU21/AJ$4*100000*AJ$3</f>
        <v>35678.307588985896</v>
      </c>
      <c r="AK22" s="357" t="s">
        <v>353</v>
      </c>
      <c r="AL22" s="355">
        <f t="shared" si="3"/>
        <v>639242.1550645266</v>
      </c>
      <c r="AM22" s="355">
        <f>Data!CD21/AM$4*100000*AM$3</f>
        <v>0</v>
      </c>
      <c r="AN22" s="355">
        <f>Data!CE21/AN$4*100000*AN$3</f>
        <v>0</v>
      </c>
      <c r="AO22" s="355">
        <f>Data!CF21/AO$4*100000*AO$3</f>
        <v>0</v>
      </c>
      <c r="AP22" s="355">
        <f>Data!CG21/AP$4*100000*AP$3</f>
        <v>0</v>
      </c>
      <c r="AQ22" s="355">
        <f>Data!CH21/AQ$4*100000*AQ$3</f>
        <v>15702.592890651069</v>
      </c>
      <c r="AR22" s="355">
        <f>Data!CI21/AR$4*100000*AR$3</f>
        <v>42117.676788948324</v>
      </c>
      <c r="AS22" s="355">
        <f>Data!CJ21/AS$4*100000*AS$3</f>
        <v>13759.732143880932</v>
      </c>
      <c r="AT22" s="355">
        <f>Data!CK21/AT$4*100000*AT$3</f>
        <v>19490.85554027569</v>
      </c>
      <c r="AU22" s="355">
        <f>Data!CL21/AU$4*100000*AU$3</f>
        <v>45462.294709325448</v>
      </c>
      <c r="AV22" s="355">
        <f>Data!CM21/AV$4*100000*AV$3</f>
        <v>65306.714800134243</v>
      </c>
      <c r="AW22" s="355">
        <f>Data!CN21/AW$4*100000*AW$3</f>
        <v>89203.895777411948</v>
      </c>
      <c r="AX22" s="355">
        <f>Data!CO21/AX$4*100000*AX$3</f>
        <v>56761.239168802611</v>
      </c>
      <c r="AY22" s="355">
        <f>Data!CP21/AY$4*100000*AY$3</f>
        <v>110135.52788570379</v>
      </c>
      <c r="AZ22" s="355">
        <f>Data!CQ21/AZ$4*100000*AZ$3</f>
        <v>87965.189242443797</v>
      </c>
      <c r="BA22" s="355">
        <f>Data!CR21/BA$4*100000*BA$3</f>
        <v>41354.117606515574</v>
      </c>
      <c r="BB22" s="355">
        <f>Data!CS21/BB$4*100000*BB$3</f>
        <v>25912.170082548771</v>
      </c>
      <c r="BC22" s="355">
        <f>Data!CT21/BC$4*100000*BC$3</f>
        <v>8230.9946333914977</v>
      </c>
      <c r="BD22" s="355">
        <f>Data!CU21/BD$4*100000*BD$3</f>
        <v>17839.153794492948</v>
      </c>
    </row>
    <row r="23" spans="1:56" ht="12" customHeight="1">
      <c r="A23" s="66"/>
      <c r="B23" s="286" t="str">
        <f>UPPER(LEFT(TRIM(Data!B22),1)) &amp; MID(TRIM(Data!B22),2,50)</f>
        <v>Kiti odos piktybiniai navikai</v>
      </c>
      <c r="C23" s="287" t="str">
        <f>UPPER(LEFT(TRIM(Data!C22),1)) &amp; MID(TRIM(Data!C22),2,50)</f>
        <v>C44</v>
      </c>
      <c r="D23" s="288">
        <f>Data!BQ22</f>
        <v>1375</v>
      </c>
      <c r="E23" s="289">
        <f t="shared" si="4"/>
        <v>86.957016672347862</v>
      </c>
      <c r="F23" s="290">
        <f t="shared" si="5"/>
        <v>50.793919960611156</v>
      </c>
      <c r="G23" s="290">
        <f t="shared" si="6"/>
        <v>35.057900059250144</v>
      </c>
      <c r="H23" s="71"/>
      <c r="I23" s="71"/>
      <c r="J23" s="71"/>
      <c r="K23" s="71"/>
      <c r="L23" s="71"/>
      <c r="M23" s="71"/>
      <c r="N23" s="71"/>
      <c r="O23" s="71"/>
      <c r="P23" s="261"/>
      <c r="Q23" s="357" t="s">
        <v>353</v>
      </c>
      <c r="R23" s="355">
        <f t="shared" si="2"/>
        <v>5079391.9960611155</v>
      </c>
      <c r="S23" s="355">
        <f>Data!CD22/S$4*100000*S$3</f>
        <v>0</v>
      </c>
      <c r="T23" s="355">
        <f>Data!CE22/T$4*100000*T$3</f>
        <v>0</v>
      </c>
      <c r="U23" s="355">
        <f>Data!CF22/U$4*100000*U$3</f>
        <v>0</v>
      </c>
      <c r="V23" s="355">
        <f>Data!CG22/V$4*100000*V$3</f>
        <v>0</v>
      </c>
      <c r="W23" s="355">
        <f>Data!CH22/W$4*100000*W$3</f>
        <v>20609.653168979527</v>
      </c>
      <c r="X23" s="355">
        <f>Data!CI22/X$4*100000*X$3</f>
        <v>29482.373752263822</v>
      </c>
      <c r="Y23" s="355">
        <f>Data!CJ22/Y$4*100000*Y$3</f>
        <v>80265.104172638763</v>
      </c>
      <c r="Z23" s="355">
        <f>Data!CK22/Z$4*100000*Z$3</f>
        <v>121276.43447282648</v>
      </c>
      <c r="AA23" s="355">
        <f>Data!CL22/AA$4*100000*AA$3</f>
        <v>185637.70339641228</v>
      </c>
      <c r="AB23" s="355">
        <f>Data!CM22/AB$4*100000*AB$3</f>
        <v>323812.46088399895</v>
      </c>
      <c r="AC23" s="355">
        <f>Data!CN22/AC$4*100000*AC$3</f>
        <v>414392.64311143191</v>
      </c>
      <c r="AD23" s="355">
        <f>Data!CO22/AD$4*100000*AD$3</f>
        <v>521493.88486337394</v>
      </c>
      <c r="AE23" s="355">
        <f>Data!CP22/AE$4*100000*AE$3</f>
        <v>627160.6449047022</v>
      </c>
      <c r="AF23" s="355">
        <f>Data!CQ22/AF$4*100000*AF$3</f>
        <v>821008.43292947533</v>
      </c>
      <c r="AG23" s="355">
        <f>Data!CR22/AG$4*100000*AG$3</f>
        <v>665112.05817145878</v>
      </c>
      <c r="AH23" s="355">
        <f>Data!CS22/AH$4*100000*AH$3</f>
        <v>639166.86203620292</v>
      </c>
      <c r="AI23" s="355">
        <f>Data!CT22/AI$4*100000*AI$3</f>
        <v>319362.59177559015</v>
      </c>
      <c r="AJ23" s="355">
        <f>Data!CU22/AJ$4*100000*AJ$3</f>
        <v>310611.14842175954</v>
      </c>
      <c r="AK23" s="357" t="s">
        <v>353</v>
      </c>
      <c r="AL23" s="355">
        <f t="shared" si="3"/>
        <v>3505790.0059250141</v>
      </c>
      <c r="AM23" s="355">
        <f>Data!CD22/AM$4*100000*AM$3</f>
        <v>0</v>
      </c>
      <c r="AN23" s="355">
        <f>Data!CE22/AN$4*100000*AN$3</f>
        <v>0</v>
      </c>
      <c r="AO23" s="355">
        <f>Data!CF22/AO$4*100000*AO$3</f>
        <v>0</v>
      </c>
      <c r="AP23" s="355">
        <f>Data!CG22/AP$4*100000*AP$3</f>
        <v>0</v>
      </c>
      <c r="AQ23" s="355">
        <f>Data!CH22/AQ$4*100000*AQ$3</f>
        <v>23553.889335976604</v>
      </c>
      <c r="AR23" s="355">
        <f>Data!CI22/AR$4*100000*AR$3</f>
        <v>33694.141431158656</v>
      </c>
      <c r="AS23" s="355">
        <f>Data!CJ22/AS$4*100000*AS$3</f>
        <v>68798.660719404652</v>
      </c>
      <c r="AT23" s="355">
        <f>Data!CK22/AT$4*100000*AT$3</f>
        <v>103951.22954813698</v>
      </c>
      <c r="AU23" s="355">
        <f>Data!CL22/AU$4*100000*AU$3</f>
        <v>159118.03148263911</v>
      </c>
      <c r="AV23" s="355">
        <f>Data!CM22/AV$4*100000*AV$3</f>
        <v>277553.53790057055</v>
      </c>
      <c r="AW23" s="355">
        <f>Data!CN22/AW$4*100000*AW$3</f>
        <v>295994.7450795942</v>
      </c>
      <c r="AX23" s="355">
        <f>Data!CO22/AX$4*100000*AX$3</f>
        <v>347662.58990891592</v>
      </c>
      <c r="AY23" s="355">
        <f>Data!CP22/AY$4*100000*AY$3</f>
        <v>501728.51592376176</v>
      </c>
      <c r="AZ23" s="355">
        <f>Data!CQ22/AZ$4*100000*AZ$3</f>
        <v>615756.32469710649</v>
      </c>
      <c r="BA23" s="355">
        <f>Data!CR22/BA$4*100000*BA$3</f>
        <v>443408.03878097248</v>
      </c>
      <c r="BB23" s="355">
        <f>Data!CS22/BB$4*100000*BB$3</f>
        <v>319583.43101810146</v>
      </c>
      <c r="BC23" s="355">
        <f>Data!CT22/BC$4*100000*BC$3</f>
        <v>159681.29588779507</v>
      </c>
      <c r="BD23" s="355">
        <f>Data!CU22/BD$4*100000*BD$3</f>
        <v>155305.57421087977</v>
      </c>
    </row>
    <row r="24" spans="1:56" ht="12" customHeight="1">
      <c r="A24" s="66"/>
      <c r="B24" s="146" t="str">
        <f>UPPER(LEFT(TRIM(Data!B23),1)) &amp; MID(TRIM(Data!B23),2,50)</f>
        <v>Krūties</v>
      </c>
      <c r="C24" s="125" t="str">
        <f>UPPER(LEFT(TRIM(Data!C23),1)) &amp; MID(TRIM(Data!C23),2,50)</f>
        <v>C50</v>
      </c>
      <c r="D24" s="126">
        <f>Data!BQ23</f>
        <v>1655</v>
      </c>
      <c r="E24" s="127">
        <f t="shared" si="4"/>
        <v>104.66462734017142</v>
      </c>
      <c r="F24" s="128">
        <f t="shared" si="5"/>
        <v>76.659600173771238</v>
      </c>
      <c r="G24" s="128">
        <f t="shared" si="6"/>
        <v>56.639040804469182</v>
      </c>
      <c r="H24" s="71"/>
      <c r="I24" s="71"/>
      <c r="J24" s="71"/>
      <c r="K24" s="71"/>
      <c r="L24" s="71"/>
      <c r="M24" s="71"/>
      <c r="N24" s="71"/>
      <c r="O24" s="71"/>
      <c r="P24" s="261"/>
      <c r="Q24" s="357" t="s">
        <v>353</v>
      </c>
      <c r="R24" s="355">
        <f t="shared" si="2"/>
        <v>7665960.0173771232</v>
      </c>
      <c r="S24" s="355">
        <f>Data!CD23/S$4*100000*S$3</f>
        <v>0</v>
      </c>
      <c r="T24" s="355">
        <f>Data!CE23/T$4*100000*T$3</f>
        <v>0</v>
      </c>
      <c r="U24" s="355">
        <f>Data!CF23/U$4*100000*U$3</f>
        <v>0</v>
      </c>
      <c r="V24" s="355">
        <f>Data!CG23/V$4*100000*V$3</f>
        <v>0</v>
      </c>
      <c r="W24" s="355">
        <f>Data!CH23/W$4*100000*W$3</f>
        <v>13739.768779319686</v>
      </c>
      <c r="X24" s="355">
        <f>Data!CI23/X$4*100000*X$3</f>
        <v>36852.967190329786</v>
      </c>
      <c r="Y24" s="355">
        <f>Data!CJ23/Y$4*100000*Y$3</f>
        <v>104344.63542443039</v>
      </c>
      <c r="Z24" s="355">
        <f>Data!CK23/Z$4*100000*Z$3</f>
        <v>310770.86333661794</v>
      </c>
      <c r="AA24" s="355">
        <f>Data!CL23/AA$4*100000*AA$3</f>
        <v>623212.28997366969</v>
      </c>
      <c r="AB24" s="355">
        <f>Data!CM23/AB$4*100000*AB$3</f>
        <v>958738.85477419302</v>
      </c>
      <c r="AC24" s="355">
        <f>Data!CN23/AC$4*100000*AC$3</f>
        <v>1140998.9214438056</v>
      </c>
      <c r="AD24" s="355">
        <f>Data!CO23/AD$4*100000*AD$3</f>
        <v>1106844.1637916507</v>
      </c>
      <c r="AE24" s="355">
        <f>Data!CP23/AE$4*100000*AE$3</f>
        <v>1035070.0074443457</v>
      </c>
      <c r="AF24" s="355">
        <f>Data!CQ23/AF$4*100000*AF$3</f>
        <v>985210.11951537034</v>
      </c>
      <c r="AG24" s="355">
        <f>Data!CR23/AG$4*100000*AG$3</f>
        <v>596188.52882726607</v>
      </c>
      <c r="AH24" s="355">
        <f>Data!CS23/AH$4*100000*AH$3</f>
        <v>409659.06987648533</v>
      </c>
      <c r="AI24" s="355">
        <f>Data!CT23/AI$4*100000*AI$3</f>
        <v>182728.0808612913</v>
      </c>
      <c r="AJ24" s="355">
        <f>Data!CU23/AJ$4*100000*AJ$3</f>
        <v>161601.74613834789</v>
      </c>
      <c r="AK24" s="357" t="s">
        <v>353</v>
      </c>
      <c r="AL24" s="355">
        <f t="shared" si="3"/>
        <v>5663904.0804469185</v>
      </c>
      <c r="AM24" s="355">
        <f>Data!CD23/AM$4*100000*AM$3</f>
        <v>0</v>
      </c>
      <c r="AN24" s="355">
        <f>Data!CE23/AN$4*100000*AN$3</f>
        <v>0</v>
      </c>
      <c r="AO24" s="355">
        <f>Data!CF23/AO$4*100000*AO$3</f>
        <v>0</v>
      </c>
      <c r="AP24" s="355">
        <f>Data!CG23/AP$4*100000*AP$3</f>
        <v>0</v>
      </c>
      <c r="AQ24" s="355">
        <f>Data!CH23/AQ$4*100000*AQ$3</f>
        <v>15702.592890651069</v>
      </c>
      <c r="AR24" s="355">
        <f>Data!CI23/AR$4*100000*AR$3</f>
        <v>42117.676788948324</v>
      </c>
      <c r="AS24" s="355">
        <f>Data!CJ23/AS$4*100000*AS$3</f>
        <v>89438.258935226055</v>
      </c>
      <c r="AT24" s="355">
        <f>Data!CK23/AT$4*100000*AT$3</f>
        <v>266375.02571710106</v>
      </c>
      <c r="AU24" s="355">
        <f>Data!CL23/AU$4*100000*AU$3</f>
        <v>534181.96283457405</v>
      </c>
      <c r="AV24" s="355">
        <f>Data!CM23/AV$4*100000*AV$3</f>
        <v>821776.16123502259</v>
      </c>
      <c r="AW24" s="355">
        <f>Data!CN23/AW$4*100000*AW$3</f>
        <v>814999.22960271826</v>
      </c>
      <c r="AX24" s="355">
        <f>Data!CO23/AX$4*100000*AX$3</f>
        <v>737896.1091944339</v>
      </c>
      <c r="AY24" s="355">
        <f>Data!CP23/AY$4*100000*AY$3</f>
        <v>828056.00595547666</v>
      </c>
      <c r="AZ24" s="355">
        <f>Data!CQ23/AZ$4*100000*AZ$3</f>
        <v>738907.58963652782</v>
      </c>
      <c r="BA24" s="355">
        <f>Data!CR23/BA$4*100000*BA$3</f>
        <v>397459.01921817736</v>
      </c>
      <c r="BB24" s="355">
        <f>Data!CS23/BB$4*100000*BB$3</f>
        <v>204829.53493824266</v>
      </c>
      <c r="BC24" s="355">
        <f>Data!CT23/BC$4*100000*BC$3</f>
        <v>91364.040430645648</v>
      </c>
      <c r="BD24" s="355">
        <f>Data!CU23/BD$4*100000*BD$3</f>
        <v>80800.873069173947</v>
      </c>
    </row>
    <row r="25" spans="1:56" ht="12" customHeight="1">
      <c r="A25" s="66"/>
      <c r="B25" s="286" t="str">
        <f>UPPER(LEFT(TRIM(Data!B24),1)) &amp; MID(TRIM(Data!B24),2,50)</f>
        <v>Vulvos</v>
      </c>
      <c r="C25" s="287" t="str">
        <f>UPPER(LEFT(TRIM(Data!C24),1)) &amp; MID(TRIM(Data!C24),2,50)</f>
        <v>C51</v>
      </c>
      <c r="D25" s="288">
        <f>Data!BQ24</f>
        <v>46</v>
      </c>
      <c r="E25" s="289">
        <f t="shared" si="4"/>
        <v>2.9091074668567285</v>
      </c>
      <c r="F25" s="290">
        <f t="shared" si="5"/>
        <v>1.4743329119361581</v>
      </c>
      <c r="G25" s="290">
        <f t="shared" si="6"/>
        <v>0.96653466441622904</v>
      </c>
      <c r="H25" s="71"/>
      <c r="I25" s="71"/>
      <c r="J25" s="71"/>
      <c r="K25" s="71"/>
      <c r="L25" s="71"/>
      <c r="M25" s="71"/>
      <c r="N25" s="71"/>
      <c r="O25" s="71"/>
      <c r="P25" s="261"/>
      <c r="Q25" s="357" t="s">
        <v>353</v>
      </c>
      <c r="R25" s="355">
        <f t="shared" si="2"/>
        <v>147433.29119361582</v>
      </c>
      <c r="S25" s="355">
        <f>Data!CD24/S$4*100000*S$3</f>
        <v>0</v>
      </c>
      <c r="T25" s="355">
        <f>Data!CE24/T$4*100000*T$3</f>
        <v>0</v>
      </c>
      <c r="U25" s="355">
        <f>Data!CF24/U$4*100000*U$3</f>
        <v>0</v>
      </c>
      <c r="V25" s="355">
        <f>Data!CG24/V$4*100000*V$3</f>
        <v>0</v>
      </c>
      <c r="W25" s="355">
        <f>Data!CH24/W$4*100000*W$3</f>
        <v>0</v>
      </c>
      <c r="X25" s="355">
        <f>Data!CI24/X$4*100000*X$3</f>
        <v>0</v>
      </c>
      <c r="Y25" s="355">
        <f>Data!CJ24/Y$4*100000*Y$3</f>
        <v>0</v>
      </c>
      <c r="Z25" s="355">
        <f>Data!CK24/Z$4*100000*Z$3</f>
        <v>0</v>
      </c>
      <c r="AA25" s="355">
        <f>Data!CL24/AA$4*100000*AA$3</f>
        <v>0</v>
      </c>
      <c r="AB25" s="355">
        <f>Data!CM24/AB$4*100000*AB$3</f>
        <v>0</v>
      </c>
      <c r="AC25" s="355">
        <f>Data!CN24/AC$4*100000*AC$3</f>
        <v>11353.223098943339</v>
      </c>
      <c r="AD25" s="355">
        <f>Data!CO24/AD$4*100000*AD$3</f>
        <v>10642.732344150489</v>
      </c>
      <c r="AE25" s="355">
        <f>Data!CP24/AE$4*100000*AE$3</f>
        <v>25494.335158727728</v>
      </c>
      <c r="AF25" s="355">
        <f>Data!CQ24/AF$4*100000*AF$3</f>
        <v>32840.337317179015</v>
      </c>
      <c r="AG25" s="355">
        <f>Data!CR24/AG$4*100000*AG$3</f>
        <v>17230.882336048155</v>
      </c>
      <c r="AH25" s="355">
        <f>Data!CS24/AH$4*100000*AH$3</f>
        <v>9871.3028885900076</v>
      </c>
      <c r="AI25" s="355">
        <f>Data!CT24/AI$4*100000*AI$3</f>
        <v>14815.790340104699</v>
      </c>
      <c r="AJ25" s="355">
        <f>Data!CU24/AJ$4*100000*AJ$3</f>
        <v>25184.687709872396</v>
      </c>
      <c r="AK25" s="357" t="s">
        <v>353</v>
      </c>
      <c r="AL25" s="355">
        <f t="shared" si="3"/>
        <v>96653.466441622906</v>
      </c>
      <c r="AM25" s="355">
        <f>Data!CD24/AM$4*100000*AM$3</f>
        <v>0</v>
      </c>
      <c r="AN25" s="355">
        <f>Data!CE24/AN$4*100000*AN$3</f>
        <v>0</v>
      </c>
      <c r="AO25" s="355">
        <f>Data!CF24/AO$4*100000*AO$3</f>
        <v>0</v>
      </c>
      <c r="AP25" s="355">
        <f>Data!CG24/AP$4*100000*AP$3</f>
        <v>0</v>
      </c>
      <c r="AQ25" s="355">
        <f>Data!CH24/AQ$4*100000*AQ$3</f>
        <v>0</v>
      </c>
      <c r="AR25" s="355">
        <f>Data!CI24/AR$4*100000*AR$3</f>
        <v>0</v>
      </c>
      <c r="AS25" s="355">
        <f>Data!CJ24/AS$4*100000*AS$3</f>
        <v>0</v>
      </c>
      <c r="AT25" s="355">
        <f>Data!CK24/AT$4*100000*AT$3</f>
        <v>0</v>
      </c>
      <c r="AU25" s="355">
        <f>Data!CL24/AU$4*100000*AU$3</f>
        <v>0</v>
      </c>
      <c r="AV25" s="355">
        <f>Data!CM24/AV$4*100000*AV$3</f>
        <v>0</v>
      </c>
      <c r="AW25" s="355">
        <f>Data!CN24/AW$4*100000*AW$3</f>
        <v>8109.4450706738144</v>
      </c>
      <c r="AX25" s="355">
        <f>Data!CO24/AX$4*100000*AX$3</f>
        <v>7095.1548961003264</v>
      </c>
      <c r="AY25" s="355">
        <f>Data!CP24/AY$4*100000*AY$3</f>
        <v>20395.468126982185</v>
      </c>
      <c r="AZ25" s="355">
        <f>Data!CQ24/AZ$4*100000*AZ$3</f>
        <v>24630.252987884262</v>
      </c>
      <c r="BA25" s="355">
        <f>Data!CR24/BA$4*100000*BA$3</f>
        <v>11487.25489069877</v>
      </c>
      <c r="BB25" s="355">
        <f>Data!CS24/BB$4*100000*BB$3</f>
        <v>4935.6514442950038</v>
      </c>
      <c r="BC25" s="355">
        <f>Data!CT24/BC$4*100000*BC$3</f>
        <v>7407.8951700523494</v>
      </c>
      <c r="BD25" s="355">
        <f>Data!CU24/BD$4*100000*BD$3</f>
        <v>12592.343854936198</v>
      </c>
    </row>
    <row r="26" spans="1:56" ht="12" customHeight="1">
      <c r="A26" s="66"/>
      <c r="B26" s="146" t="str">
        <f>UPPER(LEFT(TRIM(Data!B25),1)) &amp; MID(TRIM(Data!B25),2,50)</f>
        <v>Gimdos kaklelio</v>
      </c>
      <c r="C26" s="125" t="str">
        <f>UPPER(LEFT(TRIM(Data!C25),1)) &amp; MID(TRIM(Data!C25),2,50)</f>
        <v>C53</v>
      </c>
      <c r="D26" s="126">
        <f>Data!BQ25</f>
        <v>366</v>
      </c>
      <c r="E26" s="127">
        <f t="shared" si="4"/>
        <v>23.146376801512229</v>
      </c>
      <c r="F26" s="128">
        <f t="shared" si="5"/>
        <v>19.079277562267471</v>
      </c>
      <c r="G26" s="128">
        <f t="shared" si="6"/>
        <v>15.10170052003774</v>
      </c>
      <c r="H26" s="70"/>
      <c r="I26" s="70"/>
      <c r="J26" s="70"/>
      <c r="K26" s="70"/>
      <c r="L26" s="70"/>
      <c r="M26" s="70"/>
      <c r="N26" s="70"/>
      <c r="O26" s="70"/>
      <c r="P26" s="261"/>
      <c r="Q26" s="357" t="s">
        <v>353</v>
      </c>
      <c r="R26" s="355">
        <f t="shared" si="2"/>
        <v>1907927.7562267471</v>
      </c>
      <c r="S26" s="355">
        <f>Data!CD25/S$4*100000*S$3</f>
        <v>0</v>
      </c>
      <c r="T26" s="355">
        <f>Data!CE25/T$4*100000*T$3</f>
        <v>0</v>
      </c>
      <c r="U26" s="355">
        <f>Data!CF25/U$4*100000*U$3</f>
        <v>0</v>
      </c>
      <c r="V26" s="355">
        <f>Data!CG25/V$4*100000*V$3</f>
        <v>0</v>
      </c>
      <c r="W26" s="355">
        <f>Data!CH25/W$4*100000*W$3</f>
        <v>0</v>
      </c>
      <c r="X26" s="355">
        <f>Data!CI25/X$4*100000*X$3</f>
        <v>125300.08844712128</v>
      </c>
      <c r="Y26" s="355">
        <f>Data!CJ25/Y$4*100000*Y$3</f>
        <v>112371.14584169428</v>
      </c>
      <c r="Z26" s="355">
        <f>Data!CK25/Z$4*100000*Z$3</f>
        <v>151595.54309103312</v>
      </c>
      <c r="AA26" s="355">
        <f>Data!CL25/AA$4*100000*AA$3</f>
        <v>298346.30902994826</v>
      </c>
      <c r="AB26" s="355">
        <f>Data!CM25/AB$4*100000*AB$3</f>
        <v>273018.34937278338</v>
      </c>
      <c r="AC26" s="355">
        <f>Data!CN25/AC$4*100000*AC$3</f>
        <v>272477.35437464016</v>
      </c>
      <c r="AD26" s="355">
        <f>Data!CO25/AD$4*100000*AD$3</f>
        <v>191569.18219470876</v>
      </c>
      <c r="AE26" s="355">
        <f>Data!CP25/AE$4*100000*AE$3</f>
        <v>158064.87798411192</v>
      </c>
      <c r="AF26" s="355">
        <f>Data!CQ25/AF$4*100000*AF$3</f>
        <v>103212.48871113404</v>
      </c>
      <c r="AG26" s="355">
        <f>Data!CR25/AG$4*100000*AG$3</f>
        <v>82708.235213031148</v>
      </c>
      <c r="AH26" s="355">
        <f>Data!CS25/AH$4*100000*AH$3</f>
        <v>71566.945942277554</v>
      </c>
      <c r="AI26" s="355">
        <f>Data!CT25/AI$4*100000*AI$3</f>
        <v>36216.376386922588</v>
      </c>
      <c r="AJ26" s="355">
        <f>Data!CU25/AJ$4*100000*AJ$3</f>
        <v>31480.859637340494</v>
      </c>
      <c r="AK26" s="357" t="s">
        <v>353</v>
      </c>
      <c r="AL26" s="355">
        <f t="shared" si="3"/>
        <v>1510170.0520037741</v>
      </c>
      <c r="AM26" s="355">
        <f>Data!CD25/AM$4*100000*AM$3</f>
        <v>0</v>
      </c>
      <c r="AN26" s="355">
        <f>Data!CE25/AN$4*100000*AN$3</f>
        <v>0</v>
      </c>
      <c r="AO26" s="355">
        <f>Data!CF25/AO$4*100000*AO$3</f>
        <v>0</v>
      </c>
      <c r="AP26" s="355">
        <f>Data!CG25/AP$4*100000*AP$3</f>
        <v>0</v>
      </c>
      <c r="AQ26" s="355">
        <f>Data!CH25/AQ$4*100000*AQ$3</f>
        <v>0</v>
      </c>
      <c r="AR26" s="355">
        <f>Data!CI25/AR$4*100000*AR$3</f>
        <v>143200.10108242431</v>
      </c>
      <c r="AS26" s="355">
        <f>Data!CJ25/AS$4*100000*AS$3</f>
        <v>96318.125007166527</v>
      </c>
      <c r="AT26" s="355">
        <f>Data!CK25/AT$4*100000*AT$3</f>
        <v>129939.03693517124</v>
      </c>
      <c r="AU26" s="355">
        <f>Data!CL25/AU$4*100000*AU$3</f>
        <v>255725.40773995567</v>
      </c>
      <c r="AV26" s="355">
        <f>Data!CM25/AV$4*100000*AV$3</f>
        <v>234015.72803381435</v>
      </c>
      <c r="AW26" s="355">
        <f>Data!CN25/AW$4*100000*AW$3</f>
        <v>194626.68169617152</v>
      </c>
      <c r="AX26" s="355">
        <f>Data!CO25/AX$4*100000*AX$3</f>
        <v>127712.78812980585</v>
      </c>
      <c r="AY26" s="355">
        <f>Data!CP25/AY$4*100000*AY$3</f>
        <v>126451.90238728953</v>
      </c>
      <c r="AZ26" s="355">
        <f>Data!CQ25/AZ$4*100000*AZ$3</f>
        <v>77409.366533350534</v>
      </c>
      <c r="BA26" s="355">
        <f>Data!CR25/BA$4*100000*BA$3</f>
        <v>55138.823475354096</v>
      </c>
      <c r="BB26" s="355">
        <f>Data!CS25/BB$4*100000*BB$3</f>
        <v>35783.472971138777</v>
      </c>
      <c r="BC26" s="355">
        <f>Data!CT25/BC$4*100000*BC$3</f>
        <v>18108.188193461294</v>
      </c>
      <c r="BD26" s="355">
        <f>Data!CU25/BD$4*100000*BD$3</f>
        <v>15740.429818670247</v>
      </c>
    </row>
    <row r="27" spans="1:56" ht="12" customHeight="1">
      <c r="A27" s="66"/>
      <c r="B27" s="286" t="str">
        <f>UPPER(LEFT(TRIM(Data!B26),1)) &amp; MID(TRIM(Data!B26),2,50)</f>
        <v>Gimdos kūno</v>
      </c>
      <c r="C27" s="287" t="str">
        <f>UPPER(LEFT(TRIM(Data!C26),1)) &amp; MID(TRIM(Data!C26),2,50)</f>
        <v>C54, C55</v>
      </c>
      <c r="D27" s="288">
        <f>Data!BQ26</f>
        <v>616</v>
      </c>
      <c r="E27" s="289">
        <f t="shared" si="4"/>
        <v>38.956743469211844</v>
      </c>
      <c r="F27" s="290">
        <f t="shared" si="5"/>
        <v>27.088041497223141</v>
      </c>
      <c r="G27" s="290">
        <f t="shared" si="6"/>
        <v>19.4223760392325</v>
      </c>
      <c r="H27" s="70"/>
      <c r="I27" s="70"/>
      <c r="J27" s="70"/>
      <c r="K27" s="70"/>
      <c r="L27" s="70"/>
      <c r="M27" s="70"/>
      <c r="N27" s="70"/>
      <c r="O27" s="70"/>
      <c r="P27" s="261"/>
      <c r="Q27" s="357" t="s">
        <v>353</v>
      </c>
      <c r="R27" s="355">
        <f t="shared" si="2"/>
        <v>2708804.149722314</v>
      </c>
      <c r="S27" s="355">
        <f>Data!CD26/S$4*100000*S$3</f>
        <v>0</v>
      </c>
      <c r="T27" s="355">
        <f>Data!CE26/T$4*100000*T$3</f>
        <v>0</v>
      </c>
      <c r="U27" s="355">
        <f>Data!CF26/U$4*100000*U$3</f>
        <v>0</v>
      </c>
      <c r="V27" s="355">
        <f>Data!CG26/V$4*100000*V$3</f>
        <v>0</v>
      </c>
      <c r="W27" s="355">
        <f>Data!CH26/W$4*100000*W$3</f>
        <v>0</v>
      </c>
      <c r="X27" s="355">
        <f>Data!CI26/X$4*100000*X$3</f>
        <v>0</v>
      </c>
      <c r="Y27" s="355">
        <f>Data!CJ26/Y$4*100000*Y$3</f>
        <v>16053.020834527753</v>
      </c>
      <c r="Z27" s="355">
        <f>Data!CK26/Z$4*100000*Z$3</f>
        <v>30319.108618206621</v>
      </c>
      <c r="AA27" s="355">
        <f>Data!CL26/AA$4*100000*AA$3</f>
        <v>106078.68765509271</v>
      </c>
      <c r="AB27" s="355">
        <f>Data!CM26/AB$4*100000*AB$3</f>
        <v>247621.29361717566</v>
      </c>
      <c r="AC27" s="355">
        <f>Data!CN26/AC$4*100000*AC$3</f>
        <v>420069.25466090353</v>
      </c>
      <c r="AD27" s="355">
        <f>Data!CO26/AD$4*100000*AD$3</f>
        <v>468280.22314262146</v>
      </c>
      <c r="AE27" s="355">
        <f>Data!CP26/AE$4*100000*AE$3</f>
        <v>418107.09660313476</v>
      </c>
      <c r="AF27" s="355">
        <f>Data!CQ26/AF$4*100000*AF$3</f>
        <v>412849.95484453614</v>
      </c>
      <c r="AG27" s="355">
        <f>Data!CR26/AG$4*100000*AG$3</f>
        <v>289478.823245609</v>
      </c>
      <c r="AH27" s="355">
        <f>Data!CS26/AH$4*100000*AH$3</f>
        <v>185086.92916106264</v>
      </c>
      <c r="AI27" s="355">
        <f>Data!CT26/AI$4*100000*AI$3</f>
        <v>70786.553847166899</v>
      </c>
      <c r="AJ27" s="355">
        <f>Data!CU26/AJ$4*100000*AJ$3</f>
        <v>44073.203492276698</v>
      </c>
      <c r="AK27" s="357" t="s">
        <v>353</v>
      </c>
      <c r="AL27" s="355">
        <f t="shared" si="3"/>
        <v>1942237.60392325</v>
      </c>
      <c r="AM27" s="355">
        <f>Data!CD26/AM$4*100000*AM$3</f>
        <v>0</v>
      </c>
      <c r="AN27" s="355">
        <f>Data!CE26/AN$4*100000*AN$3</f>
        <v>0</v>
      </c>
      <c r="AO27" s="355">
        <f>Data!CF26/AO$4*100000*AO$3</f>
        <v>0</v>
      </c>
      <c r="AP27" s="355">
        <f>Data!CG26/AP$4*100000*AP$3</f>
        <v>0</v>
      </c>
      <c r="AQ27" s="355">
        <f>Data!CH26/AQ$4*100000*AQ$3</f>
        <v>0</v>
      </c>
      <c r="AR27" s="355">
        <f>Data!CI26/AR$4*100000*AR$3</f>
        <v>0</v>
      </c>
      <c r="AS27" s="355">
        <f>Data!CJ26/AS$4*100000*AS$3</f>
        <v>13759.732143880932</v>
      </c>
      <c r="AT27" s="355">
        <f>Data!CK26/AT$4*100000*AT$3</f>
        <v>25987.807387034245</v>
      </c>
      <c r="AU27" s="355">
        <f>Data!CL26/AU$4*100000*AU$3</f>
        <v>90924.589418650896</v>
      </c>
      <c r="AV27" s="355">
        <f>Data!CM26/AV$4*100000*AV$3</f>
        <v>212246.82310043628</v>
      </c>
      <c r="AW27" s="355">
        <f>Data!CN26/AW$4*100000*AW$3</f>
        <v>300049.46761493111</v>
      </c>
      <c r="AX27" s="355">
        <f>Data!CO26/AX$4*100000*AX$3</f>
        <v>312186.81542841432</v>
      </c>
      <c r="AY27" s="355">
        <f>Data!CP26/AY$4*100000*AY$3</f>
        <v>334485.67728250782</v>
      </c>
      <c r="AZ27" s="355">
        <f>Data!CQ26/AZ$4*100000*AZ$3</f>
        <v>309637.46613340214</v>
      </c>
      <c r="BA27" s="355">
        <f>Data!CR26/BA$4*100000*BA$3</f>
        <v>192985.88216373933</v>
      </c>
      <c r="BB27" s="355">
        <f>Data!CS26/BB$4*100000*BB$3</f>
        <v>92543.464580531319</v>
      </c>
      <c r="BC27" s="355">
        <f>Data!CT26/BC$4*100000*BC$3</f>
        <v>35393.276923583449</v>
      </c>
      <c r="BD27" s="355">
        <f>Data!CU26/BD$4*100000*BD$3</f>
        <v>22036.601746138349</v>
      </c>
    </row>
    <row r="28" spans="1:56" ht="12" customHeight="1">
      <c r="A28" s="66"/>
      <c r="B28" s="146" t="str">
        <f>UPPER(LEFT(TRIM(Data!B27),1)) &amp; MID(TRIM(Data!B27),2,50)</f>
        <v>Kiaušidžių</v>
      </c>
      <c r="C28" s="125" t="str">
        <f>UPPER(LEFT(TRIM(Data!C27),1)) &amp; MID(TRIM(Data!C27),2,50)</f>
        <v>C56</v>
      </c>
      <c r="D28" s="126">
        <f>Data!BQ27</f>
        <v>404</v>
      </c>
      <c r="E28" s="127">
        <f t="shared" si="4"/>
        <v>25.549552535002569</v>
      </c>
      <c r="F28" s="128">
        <f t="shared" si="5"/>
        <v>18.31537765793054</v>
      </c>
      <c r="G28" s="128">
        <f t="shared" si="6"/>
        <v>13.695117413569003</v>
      </c>
      <c r="H28" s="70"/>
      <c r="I28" s="70"/>
      <c r="J28" s="70"/>
      <c r="K28" s="70"/>
      <c r="L28" s="70"/>
      <c r="M28" s="70"/>
      <c r="N28" s="70"/>
      <c r="O28" s="70"/>
      <c r="P28" s="261"/>
      <c r="Q28" s="357" t="s">
        <v>353</v>
      </c>
      <c r="R28" s="355">
        <f t="shared" si="2"/>
        <v>1831537.7657930541</v>
      </c>
      <c r="S28" s="355">
        <f>Data!CD27/S$4*100000*S$3</f>
        <v>0</v>
      </c>
      <c r="T28" s="355">
        <f>Data!CE27/T$4*100000*T$3</f>
        <v>0</v>
      </c>
      <c r="U28" s="355">
        <f>Data!CF27/U$4*100000*U$3</f>
        <v>0</v>
      </c>
      <c r="V28" s="355">
        <f>Data!CG27/V$4*100000*V$3</f>
        <v>16565.694812570997</v>
      </c>
      <c r="W28" s="355">
        <f>Data!CH27/W$4*100000*W$3</f>
        <v>27479.537558639371</v>
      </c>
      <c r="X28" s="355">
        <f>Data!CI27/X$4*100000*X$3</f>
        <v>36852.967190329786</v>
      </c>
      <c r="Y28" s="355">
        <f>Data!CJ27/Y$4*100000*Y$3</f>
        <v>40132.552086319381</v>
      </c>
      <c r="Z28" s="355">
        <f>Data!CK27/Z$4*100000*Z$3</f>
        <v>30319.108618206621</v>
      </c>
      <c r="AA28" s="355">
        <f>Data!CL27/AA$4*100000*AA$3</f>
        <v>119338.5236119793</v>
      </c>
      <c r="AB28" s="355">
        <f>Data!CM27/AB$4*100000*AB$3</f>
        <v>273018.34937278338</v>
      </c>
      <c r="AC28" s="355">
        <f>Data!CN27/AC$4*100000*AC$3</f>
        <v>278153.96592411184</v>
      </c>
      <c r="AD28" s="355">
        <f>Data!CO27/AD$4*100000*AD$3</f>
        <v>250104.21008753648</v>
      </c>
      <c r="AE28" s="355">
        <f>Data!CP27/AE$4*100000*AE$3</f>
        <v>214152.41533331294</v>
      </c>
      <c r="AF28" s="355">
        <f>Data!CQ27/AF$4*100000*AF$3</f>
        <v>150127.25630710405</v>
      </c>
      <c r="AG28" s="355">
        <f>Data!CR27/AG$4*100000*AG$3</f>
        <v>186093.52922932006</v>
      </c>
      <c r="AH28" s="355">
        <f>Data!CS27/AH$4*100000*AH$3</f>
        <v>118455.63466308008</v>
      </c>
      <c r="AI28" s="355">
        <f>Data!CT27/AI$4*100000*AI$3</f>
        <v>59263.161360418795</v>
      </c>
      <c r="AJ28" s="355">
        <f>Data!CU27/AJ$4*100000*AJ$3</f>
        <v>31480.859637340494</v>
      </c>
      <c r="AK28" s="357" t="s">
        <v>353</v>
      </c>
      <c r="AL28" s="355">
        <f t="shared" si="3"/>
        <v>1369511.7413569002</v>
      </c>
      <c r="AM28" s="355">
        <f>Data!CD27/AM$4*100000*AM$3</f>
        <v>0</v>
      </c>
      <c r="AN28" s="355">
        <f>Data!CE27/AN$4*100000*AN$3</f>
        <v>0</v>
      </c>
      <c r="AO28" s="355">
        <f>Data!CF27/AO$4*100000*AO$3</f>
        <v>0</v>
      </c>
      <c r="AP28" s="355">
        <f>Data!CG27/AP$4*100000*AP$3</f>
        <v>21298.750473305568</v>
      </c>
      <c r="AQ28" s="355">
        <f>Data!CH27/AQ$4*100000*AQ$3</f>
        <v>31405.185781302138</v>
      </c>
      <c r="AR28" s="355">
        <f>Data!CI27/AR$4*100000*AR$3</f>
        <v>42117.676788948324</v>
      </c>
      <c r="AS28" s="355">
        <f>Data!CJ27/AS$4*100000*AS$3</f>
        <v>34399.330359702326</v>
      </c>
      <c r="AT28" s="355">
        <f>Data!CK27/AT$4*100000*AT$3</f>
        <v>25987.807387034245</v>
      </c>
      <c r="AU28" s="355">
        <f>Data!CL27/AU$4*100000*AU$3</f>
        <v>102290.16309598227</v>
      </c>
      <c r="AV28" s="355">
        <f>Data!CM27/AV$4*100000*AV$3</f>
        <v>234015.72803381435</v>
      </c>
      <c r="AW28" s="355">
        <f>Data!CN27/AW$4*100000*AW$3</f>
        <v>198681.40423150844</v>
      </c>
      <c r="AX28" s="355">
        <f>Data!CO27/AX$4*100000*AX$3</f>
        <v>166736.14005835765</v>
      </c>
      <c r="AY28" s="355">
        <f>Data!CP27/AY$4*100000*AY$3</f>
        <v>171321.93226665034</v>
      </c>
      <c r="AZ28" s="355">
        <f>Data!CQ27/AZ$4*100000*AZ$3</f>
        <v>112595.44223032804</v>
      </c>
      <c r="BA28" s="355">
        <f>Data!CR27/BA$4*100000*BA$3</f>
        <v>124062.35281954672</v>
      </c>
      <c r="BB28" s="355">
        <f>Data!CS27/BB$4*100000*BB$3</f>
        <v>59227.817331540042</v>
      </c>
      <c r="BC28" s="355">
        <f>Data!CT27/BC$4*100000*BC$3</f>
        <v>29631.580680209398</v>
      </c>
      <c r="BD28" s="355">
        <f>Data!CU27/BD$4*100000*BD$3</f>
        <v>15740.429818670247</v>
      </c>
    </row>
    <row r="29" spans="1:56" ht="12" customHeight="1">
      <c r="A29" s="66"/>
      <c r="B29" s="286" t="str">
        <f>UPPER(LEFT(TRIM(Data!B30),1)) &amp; MID(TRIM(Data!B30),2,50)</f>
        <v>Kitų lyties organų</v>
      </c>
      <c r="C29" s="287" t="s">
        <v>418</v>
      </c>
      <c r="D29" s="288">
        <f>Data!BQ30</f>
        <v>33</v>
      </c>
      <c r="E29" s="289">
        <f t="shared" si="4"/>
        <v>2.0869684001363487</v>
      </c>
      <c r="F29" s="290">
        <f t="shared" si="5"/>
        <v>1.297419876430844</v>
      </c>
      <c r="G29" s="290">
        <f t="shared" si="6"/>
        <v>0.93442178240534046</v>
      </c>
      <c r="H29" s="70"/>
      <c r="I29" s="70"/>
      <c r="J29" s="70"/>
      <c r="K29" s="70"/>
      <c r="L29" s="70"/>
      <c r="M29" s="70"/>
      <c r="N29" s="70"/>
      <c r="O29" s="70"/>
      <c r="P29" s="261"/>
      <c r="Q29" s="357" t="s">
        <v>353</v>
      </c>
      <c r="R29" s="355">
        <f t="shared" si="2"/>
        <v>129741.9876430844</v>
      </c>
      <c r="S29" s="355">
        <f>Data!CD30/S$4*100000*S$3</f>
        <v>0</v>
      </c>
      <c r="T29" s="355">
        <f>Data!CE30/T$4*100000*T$3</f>
        <v>0</v>
      </c>
      <c r="U29" s="355">
        <f>Data!CF30/U$4*100000*U$3</f>
        <v>0</v>
      </c>
      <c r="V29" s="355">
        <f>Data!CG30/V$4*100000*V$3</f>
        <v>0</v>
      </c>
      <c r="W29" s="355">
        <f>Data!CH30/W$4*100000*W$3</f>
        <v>0</v>
      </c>
      <c r="X29" s="355">
        <f>Data!CI30/X$4*100000*X$3</f>
        <v>7370.5934380659555</v>
      </c>
      <c r="Y29" s="355">
        <f>Data!CJ30/Y$4*100000*Y$3</f>
        <v>8026.5104172638767</v>
      </c>
      <c r="Z29" s="355">
        <f>Data!CK30/Z$4*100000*Z$3</f>
        <v>0</v>
      </c>
      <c r="AA29" s="355">
        <f>Data!CL30/AA$4*100000*AA$3</f>
        <v>6629.9179784432945</v>
      </c>
      <c r="AB29" s="355">
        <f>Data!CM30/AB$4*100000*AB$3</f>
        <v>6349.2639389019405</v>
      </c>
      <c r="AC29" s="355">
        <f>Data!CN30/AC$4*100000*AC$3</f>
        <v>22706.446197886678</v>
      </c>
      <c r="AD29" s="355">
        <f>Data!CO30/AD$4*100000*AD$3</f>
        <v>10642.732344150489</v>
      </c>
      <c r="AE29" s="355">
        <f>Data!CP30/AE$4*100000*AE$3</f>
        <v>5098.8670317455462</v>
      </c>
      <c r="AF29" s="355">
        <f>Data!CQ30/AF$4*100000*AF$3</f>
        <v>23457.38379798501</v>
      </c>
      <c r="AG29" s="355">
        <f>Data!CR30/AG$4*100000*AG$3</f>
        <v>13784.705868838524</v>
      </c>
      <c r="AH29" s="355">
        <f>Data!CS30/AH$4*100000*AH$3</f>
        <v>7403.4771664425052</v>
      </c>
      <c r="AI29" s="355">
        <f>Data!CT30/AI$4*100000*AI$3</f>
        <v>9877.193560069798</v>
      </c>
      <c r="AJ29" s="355">
        <f>Data!CU30/AJ$4*100000*AJ$3</f>
        <v>8394.8959032908006</v>
      </c>
      <c r="AK29" s="357" t="s">
        <v>353</v>
      </c>
      <c r="AL29" s="355">
        <f t="shared" si="3"/>
        <v>93442.178240534049</v>
      </c>
      <c r="AM29" s="355">
        <f>Data!CD30/AM$4*100000*AM$3</f>
        <v>0</v>
      </c>
      <c r="AN29" s="355">
        <f>Data!CE30/AN$4*100000*AN$3</f>
        <v>0</v>
      </c>
      <c r="AO29" s="355">
        <f>Data!CF30/AO$4*100000*AO$3</f>
        <v>0</v>
      </c>
      <c r="AP29" s="355">
        <f>Data!CG30/AP$4*100000*AP$3</f>
        <v>0</v>
      </c>
      <c r="AQ29" s="355">
        <f>Data!CH30/AQ$4*100000*AQ$3</f>
        <v>0</v>
      </c>
      <c r="AR29" s="355">
        <f>Data!CI30/AR$4*100000*AR$3</f>
        <v>8423.535357789664</v>
      </c>
      <c r="AS29" s="355">
        <f>Data!CJ30/AS$4*100000*AS$3</f>
        <v>6879.8660719404661</v>
      </c>
      <c r="AT29" s="355">
        <f>Data!CK30/AT$4*100000*AT$3</f>
        <v>0</v>
      </c>
      <c r="AU29" s="355">
        <f>Data!CL30/AU$4*100000*AU$3</f>
        <v>5682.786838665681</v>
      </c>
      <c r="AV29" s="355">
        <f>Data!CM30/AV$4*100000*AV$3</f>
        <v>5442.2262333445206</v>
      </c>
      <c r="AW29" s="355">
        <f>Data!CN30/AW$4*100000*AW$3</f>
        <v>16218.890141347629</v>
      </c>
      <c r="AX29" s="355">
        <f>Data!CO30/AX$4*100000*AX$3</f>
        <v>7095.1548961003264</v>
      </c>
      <c r="AY29" s="355">
        <f>Data!CP30/AY$4*100000*AY$3</f>
        <v>4079.0936253964373</v>
      </c>
      <c r="AZ29" s="355">
        <f>Data!CQ30/AZ$4*100000*AZ$3</f>
        <v>17593.037848488759</v>
      </c>
      <c r="BA29" s="355">
        <f>Data!CR30/BA$4*100000*BA$3</f>
        <v>9189.8039125590167</v>
      </c>
      <c r="BB29" s="355">
        <f>Data!CS30/BB$4*100000*BB$3</f>
        <v>3701.7385832212526</v>
      </c>
      <c r="BC29" s="355">
        <f>Data!CT30/BC$4*100000*BC$3</f>
        <v>4938.596780034899</v>
      </c>
      <c r="BD29" s="355">
        <f>Data!CU30/BD$4*100000*BD$3</f>
        <v>4197.4479516454003</v>
      </c>
    </row>
    <row r="30" spans="1:56" ht="12" customHeight="1">
      <c r="A30" s="66"/>
      <c r="B30" s="146" t="str">
        <f>UPPER(LEFT(TRIM(Data!B31),1)) &amp; MID(TRIM(Data!B31),2,50)</f>
        <v>Inkstų</v>
      </c>
      <c r="C30" s="125" t="str">
        <f>UPPER(LEFT(TRIM(Data!C31),1)) &amp; MID(TRIM(Data!C31),2,50)</f>
        <v>C64</v>
      </c>
      <c r="D30" s="126">
        <f>Data!BQ31</f>
        <v>266</v>
      </c>
      <c r="E30" s="127">
        <f t="shared" si="4"/>
        <v>16.822230134432385</v>
      </c>
      <c r="F30" s="128">
        <f t="shared" si="5"/>
        <v>10.341202157070175</v>
      </c>
      <c r="G30" s="128">
        <f t="shared" si="6"/>
        <v>7.2620016728555443</v>
      </c>
      <c r="H30" s="70"/>
      <c r="I30" s="70"/>
      <c r="J30" s="70"/>
      <c r="K30" s="70"/>
      <c r="L30" s="70"/>
      <c r="M30" s="70"/>
      <c r="N30" s="70"/>
      <c r="O30" s="70"/>
      <c r="P30" s="261"/>
      <c r="Q30" s="357" t="s">
        <v>353</v>
      </c>
      <c r="R30" s="355">
        <f t="shared" si="2"/>
        <v>1034120.2157070175</v>
      </c>
      <c r="S30" s="355">
        <f>Data!CD31/S$4*100000*S$3</f>
        <v>0</v>
      </c>
      <c r="T30" s="355">
        <f>Data!CE31/T$4*100000*T$3</f>
        <v>0</v>
      </c>
      <c r="U30" s="355">
        <f>Data!CF31/U$4*100000*U$3</f>
        <v>0</v>
      </c>
      <c r="V30" s="355">
        <f>Data!CG31/V$4*100000*V$3</f>
        <v>0</v>
      </c>
      <c r="W30" s="355">
        <f>Data!CH31/W$4*100000*W$3</f>
        <v>6869.8843896598428</v>
      </c>
      <c r="X30" s="355">
        <f>Data!CI31/X$4*100000*X$3</f>
        <v>7370.5934380659555</v>
      </c>
      <c r="Y30" s="355">
        <f>Data!CJ31/Y$4*100000*Y$3</f>
        <v>8026.5104172638767</v>
      </c>
      <c r="Z30" s="355">
        <f>Data!CK31/Z$4*100000*Z$3</f>
        <v>15159.554309103311</v>
      </c>
      <c r="AA30" s="355">
        <f>Data!CL31/AA$4*100000*AA$3</f>
        <v>26519.671913773178</v>
      </c>
      <c r="AB30" s="355">
        <f>Data!CM31/AB$4*100000*AB$3</f>
        <v>69841.903327921347</v>
      </c>
      <c r="AC30" s="355">
        <f>Data!CN31/AC$4*100000*AC$3</f>
        <v>90825.784791546714</v>
      </c>
      <c r="AD30" s="355">
        <f>Data!CO31/AD$4*100000*AD$3</f>
        <v>143676.88664603158</v>
      </c>
      <c r="AE30" s="355">
        <f>Data!CP31/AE$4*100000*AE$3</f>
        <v>168262.61204760303</v>
      </c>
      <c r="AF30" s="355">
        <f>Data!CQ31/AF$4*100000*AF$3</f>
        <v>154818.73306670107</v>
      </c>
      <c r="AG30" s="355">
        <f>Data!CR31/AG$4*100000*AG$3</f>
        <v>148185.58809001415</v>
      </c>
      <c r="AH30" s="355">
        <f>Data!CS31/AH$4*100000*AH$3</f>
        <v>93777.377441605073</v>
      </c>
      <c r="AI30" s="355">
        <f>Data!CT31/AI$4*100000*AI$3</f>
        <v>60909.360287097094</v>
      </c>
      <c r="AJ30" s="355">
        <f>Data!CU31/AJ$4*100000*AJ$3</f>
        <v>39875.755540631297</v>
      </c>
      <c r="AK30" s="357" t="s">
        <v>353</v>
      </c>
      <c r="AL30" s="355">
        <f t="shared" si="3"/>
        <v>726200.16728555446</v>
      </c>
      <c r="AM30" s="355">
        <f>Data!CD31/AM$4*100000*AM$3</f>
        <v>0</v>
      </c>
      <c r="AN30" s="355">
        <f>Data!CE31/AN$4*100000*AN$3</f>
        <v>0</v>
      </c>
      <c r="AO30" s="355">
        <f>Data!CF31/AO$4*100000*AO$3</f>
        <v>0</v>
      </c>
      <c r="AP30" s="355">
        <f>Data!CG31/AP$4*100000*AP$3</f>
        <v>0</v>
      </c>
      <c r="AQ30" s="355">
        <f>Data!CH31/AQ$4*100000*AQ$3</f>
        <v>7851.2964453255345</v>
      </c>
      <c r="AR30" s="355">
        <f>Data!CI31/AR$4*100000*AR$3</f>
        <v>8423.535357789664</v>
      </c>
      <c r="AS30" s="355">
        <f>Data!CJ31/AS$4*100000*AS$3</f>
        <v>6879.8660719404661</v>
      </c>
      <c r="AT30" s="355">
        <f>Data!CK31/AT$4*100000*AT$3</f>
        <v>12993.903693517123</v>
      </c>
      <c r="AU30" s="355">
        <f>Data!CL31/AU$4*100000*AU$3</f>
        <v>22731.147354662724</v>
      </c>
      <c r="AV30" s="355">
        <f>Data!CM31/AV$4*100000*AV$3</f>
        <v>59864.488566789725</v>
      </c>
      <c r="AW30" s="355">
        <f>Data!CN31/AW$4*100000*AW$3</f>
        <v>64875.560565390515</v>
      </c>
      <c r="AX30" s="355">
        <f>Data!CO31/AX$4*100000*AX$3</f>
        <v>95784.591097354394</v>
      </c>
      <c r="AY30" s="355">
        <f>Data!CP31/AY$4*100000*AY$3</f>
        <v>134610.08963808243</v>
      </c>
      <c r="AZ30" s="355">
        <f>Data!CQ31/AZ$4*100000*AZ$3</f>
        <v>116114.04980002581</v>
      </c>
      <c r="BA30" s="355">
        <f>Data!CR31/BA$4*100000*BA$3</f>
        <v>98790.392060009428</v>
      </c>
      <c r="BB30" s="355">
        <f>Data!CS31/BB$4*100000*BB$3</f>
        <v>46888.688720802536</v>
      </c>
      <c r="BC30" s="355">
        <f>Data!CT31/BC$4*100000*BC$3</f>
        <v>30454.680143548547</v>
      </c>
      <c r="BD30" s="355">
        <f>Data!CU31/BD$4*100000*BD$3</f>
        <v>19937.877770315648</v>
      </c>
    </row>
    <row r="31" spans="1:56" ht="12" customHeight="1">
      <c r="A31" s="66"/>
      <c r="B31" s="286" t="str">
        <f>UPPER(LEFT(TRIM(Data!B32),1)) &amp; MID(TRIM(Data!B32),2,50)</f>
        <v>Šlapimo pūslės</v>
      </c>
      <c r="C31" s="287" t="str">
        <f>UPPER(LEFT(TRIM(Data!C32),1)) &amp; MID(TRIM(Data!C32),2,50)</f>
        <v>C67</v>
      </c>
      <c r="D31" s="288">
        <f>Data!BQ32</f>
        <v>67</v>
      </c>
      <c r="E31" s="289">
        <f t="shared" si="4"/>
        <v>4.2371782669434959</v>
      </c>
      <c r="F31" s="290">
        <f t="shared" si="5"/>
        <v>2.0161118310998463</v>
      </c>
      <c r="G31" s="290">
        <f t="shared" si="6"/>
        <v>1.2566033790734659</v>
      </c>
      <c r="H31" s="70"/>
      <c r="I31" s="70"/>
      <c r="J31" s="70"/>
      <c r="K31" s="70"/>
      <c r="L31" s="70"/>
      <c r="M31" s="70"/>
      <c r="N31" s="70"/>
      <c r="O31" s="70"/>
      <c r="P31" s="261"/>
      <c r="Q31" s="357" t="s">
        <v>353</v>
      </c>
      <c r="R31" s="355">
        <f t="shared" si="2"/>
        <v>201611.18310998462</v>
      </c>
      <c r="S31" s="355">
        <f>Data!CD32/S$4*100000*S$3</f>
        <v>0</v>
      </c>
      <c r="T31" s="355">
        <f>Data!CE32/T$4*100000*T$3</f>
        <v>0</v>
      </c>
      <c r="U31" s="355">
        <f>Data!CF32/U$4*100000*U$3</f>
        <v>0</v>
      </c>
      <c r="V31" s="355">
        <f>Data!CG32/V$4*100000*V$3</f>
        <v>0</v>
      </c>
      <c r="W31" s="355">
        <f>Data!CH32/W$4*100000*W$3</f>
        <v>0</v>
      </c>
      <c r="X31" s="355">
        <f>Data!CI32/X$4*100000*X$3</f>
        <v>0</v>
      </c>
      <c r="Y31" s="355">
        <f>Data!CJ32/Y$4*100000*Y$3</f>
        <v>0</v>
      </c>
      <c r="Z31" s="355">
        <f>Data!CK32/Z$4*100000*Z$3</f>
        <v>7579.7771545516553</v>
      </c>
      <c r="AA31" s="355">
        <f>Data!CL32/AA$4*100000*AA$3</f>
        <v>0</v>
      </c>
      <c r="AB31" s="355">
        <f>Data!CM32/AB$4*100000*AB$3</f>
        <v>0</v>
      </c>
      <c r="AC31" s="355">
        <f>Data!CN32/AC$4*100000*AC$3</f>
        <v>17029.83464841501</v>
      </c>
      <c r="AD31" s="355">
        <f>Data!CO32/AD$4*100000*AD$3</f>
        <v>5321.3661720752443</v>
      </c>
      <c r="AE31" s="355">
        <f>Data!CP32/AE$4*100000*AE$3</f>
        <v>10197.734063491092</v>
      </c>
      <c r="AF31" s="355">
        <f>Data!CQ32/AF$4*100000*AF$3</f>
        <v>37531.814076776012</v>
      </c>
      <c r="AG31" s="355">
        <f>Data!CR32/AG$4*100000*AG$3</f>
        <v>31015.588204886681</v>
      </c>
      <c r="AH31" s="355">
        <f>Data!CS32/AH$4*100000*AH$3</f>
        <v>54292.165887245043</v>
      </c>
      <c r="AI31" s="355">
        <f>Data!CT32/AI$4*100000*AI$3</f>
        <v>19754.387120139596</v>
      </c>
      <c r="AJ31" s="355">
        <f>Data!CU32/AJ$4*100000*AJ$3</f>
        <v>18888.515782404298</v>
      </c>
      <c r="AK31" s="357" t="s">
        <v>353</v>
      </c>
      <c r="AL31" s="355">
        <f t="shared" si="3"/>
        <v>125660.33790734658</v>
      </c>
      <c r="AM31" s="355">
        <f>Data!CD32/AM$4*100000*AM$3</f>
        <v>0</v>
      </c>
      <c r="AN31" s="355">
        <f>Data!CE32/AN$4*100000*AN$3</f>
        <v>0</v>
      </c>
      <c r="AO31" s="355">
        <f>Data!CF32/AO$4*100000*AO$3</f>
        <v>0</v>
      </c>
      <c r="AP31" s="355">
        <f>Data!CG32/AP$4*100000*AP$3</f>
        <v>0</v>
      </c>
      <c r="AQ31" s="355">
        <f>Data!CH32/AQ$4*100000*AQ$3</f>
        <v>0</v>
      </c>
      <c r="AR31" s="355">
        <f>Data!CI32/AR$4*100000*AR$3</f>
        <v>0</v>
      </c>
      <c r="AS31" s="355">
        <f>Data!CJ32/AS$4*100000*AS$3</f>
        <v>0</v>
      </c>
      <c r="AT31" s="355">
        <f>Data!CK32/AT$4*100000*AT$3</f>
        <v>6496.9518467585613</v>
      </c>
      <c r="AU31" s="355">
        <f>Data!CL32/AU$4*100000*AU$3</f>
        <v>0</v>
      </c>
      <c r="AV31" s="355">
        <f>Data!CM32/AV$4*100000*AV$3</f>
        <v>0</v>
      </c>
      <c r="AW31" s="355">
        <f>Data!CN32/AW$4*100000*AW$3</f>
        <v>12164.16760601072</v>
      </c>
      <c r="AX31" s="355">
        <f>Data!CO32/AX$4*100000*AX$3</f>
        <v>3547.5774480501632</v>
      </c>
      <c r="AY31" s="355">
        <f>Data!CP32/AY$4*100000*AY$3</f>
        <v>8158.1872507928747</v>
      </c>
      <c r="AZ31" s="355">
        <f>Data!CQ32/AZ$4*100000*AZ$3</f>
        <v>28148.860557582011</v>
      </c>
      <c r="BA31" s="355">
        <f>Data!CR32/BA$4*100000*BA$3</f>
        <v>20677.058803257787</v>
      </c>
      <c r="BB31" s="355">
        <f>Data!CS32/BB$4*100000*BB$3</f>
        <v>27146.082943622521</v>
      </c>
      <c r="BC31" s="355">
        <f>Data!CT32/BC$4*100000*BC$3</f>
        <v>9877.193560069798</v>
      </c>
      <c r="BD31" s="355">
        <f>Data!CU32/BD$4*100000*BD$3</f>
        <v>9444.257891202149</v>
      </c>
    </row>
    <row r="32" spans="1:56" ht="12" customHeight="1">
      <c r="A32" s="66"/>
      <c r="B32" s="146" t="str">
        <f>UPPER(LEFT(TRIM(Data!B33),1)) &amp; MID(TRIM(Data!B33),2,50)</f>
        <v>Kitų šlapimą išskiriančių organų</v>
      </c>
      <c r="C32" s="125" t="str">
        <f>UPPER(LEFT(TRIM(Data!C33),1)) &amp; MID(TRIM(Data!C33),2,50)</f>
        <v>C65, C66, C68</v>
      </c>
      <c r="D32" s="126">
        <f>Data!BQ33</f>
        <v>25</v>
      </c>
      <c r="E32" s="127">
        <f t="shared" si="4"/>
        <v>1.5810366667699609</v>
      </c>
      <c r="F32" s="128">
        <f t="shared" si="5"/>
        <v>0.78356949007120658</v>
      </c>
      <c r="G32" s="128">
        <f t="shared" si="6"/>
        <v>0.47862126503680535</v>
      </c>
      <c r="H32" s="70"/>
      <c r="I32" s="70"/>
      <c r="J32" s="70"/>
      <c r="K32" s="70"/>
      <c r="L32" s="70"/>
      <c r="M32" s="70"/>
      <c r="N32" s="70"/>
      <c r="O32" s="70"/>
      <c r="P32" s="261"/>
      <c r="Q32" s="357" t="s">
        <v>353</v>
      </c>
      <c r="R32" s="355">
        <f t="shared" si="2"/>
        <v>78356.949007120653</v>
      </c>
      <c r="S32" s="355">
        <f>Data!CD33/S$4*100000*S$3</f>
        <v>0</v>
      </c>
      <c r="T32" s="355">
        <f>Data!CE33/T$4*100000*T$3</f>
        <v>0</v>
      </c>
      <c r="U32" s="355">
        <f>Data!CF33/U$4*100000*U$3</f>
        <v>0</v>
      </c>
      <c r="V32" s="355">
        <f>Data!CG33/V$4*100000*V$3</f>
        <v>0</v>
      </c>
      <c r="W32" s="355">
        <f>Data!CH33/W$4*100000*W$3</f>
        <v>0</v>
      </c>
      <c r="X32" s="355">
        <f>Data!CI33/X$4*100000*X$3</f>
        <v>0</v>
      </c>
      <c r="Y32" s="355">
        <f>Data!CJ33/Y$4*100000*Y$3</f>
        <v>0</v>
      </c>
      <c r="Z32" s="355">
        <f>Data!CK33/Z$4*100000*Z$3</f>
        <v>0</v>
      </c>
      <c r="AA32" s="355">
        <f>Data!CL33/AA$4*100000*AA$3</f>
        <v>0</v>
      </c>
      <c r="AB32" s="355">
        <f>Data!CM33/AB$4*100000*AB$3</f>
        <v>0</v>
      </c>
      <c r="AC32" s="355">
        <f>Data!CN33/AC$4*100000*AC$3</f>
        <v>5676.6115494716696</v>
      </c>
      <c r="AD32" s="355">
        <f>Data!CO33/AD$4*100000*AD$3</f>
        <v>15964.098516225733</v>
      </c>
      <c r="AE32" s="355">
        <f>Data!CP33/AE$4*100000*AE$3</f>
        <v>10197.734063491092</v>
      </c>
      <c r="AF32" s="355">
        <f>Data!CQ33/AF$4*100000*AF$3</f>
        <v>4691.4767595970015</v>
      </c>
      <c r="AG32" s="355">
        <f>Data!CR33/AG$4*100000*AG$3</f>
        <v>3446.176467209631</v>
      </c>
      <c r="AH32" s="355">
        <f>Data!CS33/AH$4*100000*AH$3</f>
        <v>27146.082943622521</v>
      </c>
      <c r="AI32" s="355">
        <f>Data!CT33/AI$4*100000*AI$3</f>
        <v>4938.596780034899</v>
      </c>
      <c r="AJ32" s="355">
        <f>Data!CU33/AJ$4*100000*AJ$3</f>
        <v>6296.1719274680991</v>
      </c>
      <c r="AK32" s="357" t="s">
        <v>353</v>
      </c>
      <c r="AL32" s="355">
        <f t="shared" si="3"/>
        <v>47862.126503680534</v>
      </c>
      <c r="AM32" s="355">
        <f>Data!CD33/AM$4*100000*AM$3</f>
        <v>0</v>
      </c>
      <c r="AN32" s="355">
        <f>Data!CE33/AN$4*100000*AN$3</f>
        <v>0</v>
      </c>
      <c r="AO32" s="355">
        <f>Data!CF33/AO$4*100000*AO$3</f>
        <v>0</v>
      </c>
      <c r="AP32" s="355">
        <f>Data!CG33/AP$4*100000*AP$3</f>
        <v>0</v>
      </c>
      <c r="AQ32" s="355">
        <f>Data!CH33/AQ$4*100000*AQ$3</f>
        <v>0</v>
      </c>
      <c r="AR32" s="355">
        <f>Data!CI33/AR$4*100000*AR$3</f>
        <v>0</v>
      </c>
      <c r="AS32" s="355">
        <f>Data!CJ33/AS$4*100000*AS$3</f>
        <v>0</v>
      </c>
      <c r="AT32" s="355">
        <f>Data!CK33/AT$4*100000*AT$3</f>
        <v>0</v>
      </c>
      <c r="AU32" s="355">
        <f>Data!CL33/AU$4*100000*AU$3</f>
        <v>0</v>
      </c>
      <c r="AV32" s="355">
        <f>Data!CM33/AV$4*100000*AV$3</f>
        <v>0</v>
      </c>
      <c r="AW32" s="355">
        <f>Data!CN33/AW$4*100000*AW$3</f>
        <v>4054.7225353369072</v>
      </c>
      <c r="AX32" s="355">
        <f>Data!CO33/AX$4*100000*AX$3</f>
        <v>10642.732344150489</v>
      </c>
      <c r="AY32" s="355">
        <f>Data!CP33/AY$4*100000*AY$3</f>
        <v>8158.1872507928747</v>
      </c>
      <c r="AZ32" s="355">
        <f>Data!CQ33/AZ$4*100000*AZ$3</f>
        <v>3518.6075696977514</v>
      </c>
      <c r="BA32" s="355">
        <f>Data!CR33/BA$4*100000*BA$3</f>
        <v>2297.4509781397542</v>
      </c>
      <c r="BB32" s="355">
        <f>Data!CS33/BB$4*100000*BB$3</f>
        <v>13573.041471811261</v>
      </c>
      <c r="BC32" s="355">
        <f>Data!CT33/BC$4*100000*BC$3</f>
        <v>2469.2983900174495</v>
      </c>
      <c r="BD32" s="355">
        <f>Data!CU33/BD$4*100000*BD$3</f>
        <v>3148.0859637340495</v>
      </c>
    </row>
    <row r="33" spans="1:56" ht="12" customHeight="1">
      <c r="A33" s="66"/>
      <c r="B33" s="286" t="str">
        <f>UPPER(LEFT(TRIM(Data!B34),1)) &amp; MID(TRIM(Data!B34),2,50)</f>
        <v>Akių</v>
      </c>
      <c r="C33" s="287" t="str">
        <f>UPPER(LEFT(TRIM(Data!C34),1)) &amp; MID(TRIM(Data!C34),2,50)</f>
        <v>C69</v>
      </c>
      <c r="D33" s="288">
        <f>Data!BQ34</f>
        <v>22</v>
      </c>
      <c r="E33" s="289">
        <f t="shared" si="4"/>
        <v>1.3913122667575657</v>
      </c>
      <c r="F33" s="290">
        <f t="shared" si="5"/>
        <v>1.011222758850737</v>
      </c>
      <c r="G33" s="290">
        <f t="shared" si="6"/>
        <v>0.74618030851131745</v>
      </c>
      <c r="H33" s="70"/>
      <c r="I33" s="70"/>
      <c r="J33" s="70"/>
      <c r="K33" s="70"/>
      <c r="L33" s="70"/>
      <c r="M33" s="70"/>
      <c r="N33" s="70"/>
      <c r="O33" s="70"/>
      <c r="P33" s="261"/>
      <c r="Q33" s="357" t="s">
        <v>353</v>
      </c>
      <c r="R33" s="355">
        <f t="shared" si="2"/>
        <v>101122.2758850737</v>
      </c>
      <c r="S33" s="355">
        <f>Data!CD34/S$4*100000*S$3</f>
        <v>0</v>
      </c>
      <c r="T33" s="355">
        <f>Data!CE34/T$4*100000*T$3</f>
        <v>0</v>
      </c>
      <c r="U33" s="355">
        <f>Data!CF34/U$4*100000*U$3</f>
        <v>0</v>
      </c>
      <c r="V33" s="355">
        <f>Data!CG34/V$4*100000*V$3</f>
        <v>0</v>
      </c>
      <c r="W33" s="355">
        <f>Data!CH34/W$4*100000*W$3</f>
        <v>0</v>
      </c>
      <c r="X33" s="355">
        <f>Data!CI34/X$4*100000*X$3</f>
        <v>0</v>
      </c>
      <c r="Y33" s="355">
        <f>Data!CJ34/Y$4*100000*Y$3</f>
        <v>0</v>
      </c>
      <c r="Z33" s="355">
        <f>Data!CK34/Z$4*100000*Z$3</f>
        <v>15159.554309103311</v>
      </c>
      <c r="AA33" s="355">
        <f>Data!CL34/AA$4*100000*AA$3</f>
        <v>0</v>
      </c>
      <c r="AB33" s="355">
        <f>Data!CM34/AB$4*100000*AB$3</f>
        <v>6349.2639389019405</v>
      </c>
      <c r="AC33" s="355">
        <f>Data!CN34/AC$4*100000*AC$3</f>
        <v>22706.446197886678</v>
      </c>
      <c r="AD33" s="355">
        <f>Data!CO34/AD$4*100000*AD$3</f>
        <v>5321.3661720752443</v>
      </c>
      <c r="AE33" s="355">
        <f>Data!CP34/AE$4*100000*AE$3</f>
        <v>10197.734063491092</v>
      </c>
      <c r="AF33" s="355">
        <f>Data!CQ34/AF$4*100000*AF$3</f>
        <v>18765.907038388006</v>
      </c>
      <c r="AG33" s="355">
        <f>Data!CR34/AG$4*100000*AG$3</f>
        <v>17230.882336048155</v>
      </c>
      <c r="AH33" s="355">
        <f>Data!CS34/AH$4*100000*AH$3</f>
        <v>0</v>
      </c>
      <c r="AI33" s="355">
        <f>Data!CT34/AI$4*100000*AI$3</f>
        <v>3292.3978533565996</v>
      </c>
      <c r="AJ33" s="355">
        <f>Data!CU34/AJ$4*100000*AJ$3</f>
        <v>2098.7239758227001</v>
      </c>
      <c r="AK33" s="357" t="s">
        <v>353</v>
      </c>
      <c r="AL33" s="355">
        <f t="shared" si="3"/>
        <v>74618.030851131742</v>
      </c>
      <c r="AM33" s="355">
        <f>Data!CD34/AM$4*100000*AM$3</f>
        <v>0</v>
      </c>
      <c r="AN33" s="355">
        <f>Data!CE34/AN$4*100000*AN$3</f>
        <v>0</v>
      </c>
      <c r="AO33" s="355">
        <f>Data!CF34/AO$4*100000*AO$3</f>
        <v>0</v>
      </c>
      <c r="AP33" s="355">
        <f>Data!CG34/AP$4*100000*AP$3</f>
        <v>0</v>
      </c>
      <c r="AQ33" s="355">
        <f>Data!CH34/AQ$4*100000*AQ$3</f>
        <v>0</v>
      </c>
      <c r="AR33" s="355">
        <f>Data!CI34/AR$4*100000*AR$3</f>
        <v>0</v>
      </c>
      <c r="AS33" s="355">
        <f>Data!CJ34/AS$4*100000*AS$3</f>
        <v>0</v>
      </c>
      <c r="AT33" s="355">
        <f>Data!CK34/AT$4*100000*AT$3</f>
        <v>12993.903693517123</v>
      </c>
      <c r="AU33" s="355">
        <f>Data!CL34/AU$4*100000*AU$3</f>
        <v>0</v>
      </c>
      <c r="AV33" s="355">
        <f>Data!CM34/AV$4*100000*AV$3</f>
        <v>5442.2262333445206</v>
      </c>
      <c r="AW33" s="355">
        <f>Data!CN34/AW$4*100000*AW$3</f>
        <v>16218.890141347629</v>
      </c>
      <c r="AX33" s="355">
        <f>Data!CO34/AX$4*100000*AX$3</f>
        <v>3547.5774480501632</v>
      </c>
      <c r="AY33" s="355">
        <f>Data!CP34/AY$4*100000*AY$3</f>
        <v>8158.1872507928747</v>
      </c>
      <c r="AZ33" s="355">
        <f>Data!CQ34/AZ$4*100000*AZ$3</f>
        <v>14074.430278791006</v>
      </c>
      <c r="BA33" s="355">
        <f>Data!CR34/BA$4*100000*BA$3</f>
        <v>11487.25489069877</v>
      </c>
      <c r="BB33" s="355">
        <f>Data!CS34/BB$4*100000*BB$3</f>
        <v>0</v>
      </c>
      <c r="BC33" s="355">
        <f>Data!CT34/BC$4*100000*BC$3</f>
        <v>1646.1989266782998</v>
      </c>
      <c r="BD33" s="355">
        <f>Data!CU34/BD$4*100000*BD$3</f>
        <v>1049.3619879113501</v>
      </c>
    </row>
    <row r="34" spans="1:56" ht="12" customHeight="1">
      <c r="A34" s="66"/>
      <c r="B34" s="146" t="str">
        <f>UPPER(LEFT(TRIM(Data!B35),1)) &amp; MID(TRIM(Data!B35),2,50)</f>
        <v>Smegenų</v>
      </c>
      <c r="C34" s="125" t="str">
        <f>UPPER(LEFT(TRIM(Data!C35),1)) &amp; MID(TRIM(Data!C35),2,50)</f>
        <v>C70-C72</v>
      </c>
      <c r="D34" s="126">
        <f>Data!BQ35</f>
        <v>135</v>
      </c>
      <c r="E34" s="127">
        <f t="shared" si="4"/>
        <v>8.5375980005577894</v>
      </c>
      <c r="F34" s="128">
        <f t="shared" si="5"/>
        <v>6.2059573724703307</v>
      </c>
      <c r="G34" s="128">
        <f t="shared" si="6"/>
        <v>5.0193969894305965</v>
      </c>
      <c r="H34" s="70"/>
      <c r="I34" s="70"/>
      <c r="J34" s="70"/>
      <c r="K34" s="70"/>
      <c r="L34" s="70"/>
      <c r="M34" s="70"/>
      <c r="N34" s="70"/>
      <c r="O34" s="70"/>
      <c r="P34" s="261"/>
      <c r="Q34" s="357" t="s">
        <v>353</v>
      </c>
      <c r="R34" s="355">
        <f t="shared" si="2"/>
        <v>620595.73724703304</v>
      </c>
      <c r="S34" s="355">
        <f>Data!CD35/S$4*100000*S$3</f>
        <v>0</v>
      </c>
      <c r="T34" s="355">
        <f>Data!CE35/T$4*100000*T$3</f>
        <v>0</v>
      </c>
      <c r="U34" s="355">
        <f>Data!CF35/U$4*100000*U$3</f>
        <v>51358.053676502961</v>
      </c>
      <c r="V34" s="355">
        <f>Data!CG35/V$4*100000*V$3</f>
        <v>33131.389625141994</v>
      </c>
      <c r="W34" s="355">
        <f>Data!CH35/W$4*100000*W$3</f>
        <v>20609.653168979527</v>
      </c>
      <c r="X34" s="355">
        <f>Data!CI35/X$4*100000*X$3</f>
        <v>14741.186876131911</v>
      </c>
      <c r="Y34" s="355">
        <f>Data!CJ35/Y$4*100000*Y$3</f>
        <v>16053.020834527753</v>
      </c>
      <c r="Z34" s="355">
        <f>Data!CK35/Z$4*100000*Z$3</f>
        <v>7579.7771545516553</v>
      </c>
      <c r="AA34" s="355">
        <f>Data!CL35/AA$4*100000*AA$3</f>
        <v>6629.9179784432945</v>
      </c>
      <c r="AB34" s="355">
        <f>Data!CM35/AB$4*100000*AB$3</f>
        <v>44444.847572313578</v>
      </c>
      <c r="AC34" s="355">
        <f>Data!CN35/AC$4*100000*AC$3</f>
        <v>56766.115494716687</v>
      </c>
      <c r="AD34" s="355">
        <f>Data!CO35/AD$4*100000*AD$3</f>
        <v>90463.224925279166</v>
      </c>
      <c r="AE34" s="355">
        <f>Data!CP35/AE$4*100000*AE$3</f>
        <v>61186.404380946558</v>
      </c>
      <c r="AF34" s="355">
        <f>Data!CQ35/AF$4*100000*AF$3</f>
        <v>75063.628153552025</v>
      </c>
      <c r="AG34" s="355">
        <f>Data!CR35/AG$4*100000*AG$3</f>
        <v>68923.529344192619</v>
      </c>
      <c r="AH34" s="355">
        <f>Data!CS35/AH$4*100000*AH$3</f>
        <v>34549.560110065031</v>
      </c>
      <c r="AI34" s="355">
        <f>Data!CT35/AI$4*100000*AI$3</f>
        <v>18108.188193461294</v>
      </c>
      <c r="AJ34" s="355">
        <f>Data!CU35/AJ$4*100000*AJ$3</f>
        <v>20987.239758226999</v>
      </c>
      <c r="AK34" s="357" t="s">
        <v>353</v>
      </c>
      <c r="AL34" s="355">
        <f t="shared" si="3"/>
        <v>501939.69894305966</v>
      </c>
      <c r="AM34" s="355">
        <f>Data!CD35/AM$4*100000*AM$3</f>
        <v>0</v>
      </c>
      <c r="AN34" s="355">
        <f>Data!CE35/AN$4*100000*AN$3</f>
        <v>0</v>
      </c>
      <c r="AO34" s="355">
        <f>Data!CF35/AO$4*100000*AO$3</f>
        <v>66031.783298360955</v>
      </c>
      <c r="AP34" s="355">
        <f>Data!CG35/AP$4*100000*AP$3</f>
        <v>42597.500946611137</v>
      </c>
      <c r="AQ34" s="355">
        <f>Data!CH35/AQ$4*100000*AQ$3</f>
        <v>23553.889335976604</v>
      </c>
      <c r="AR34" s="355">
        <f>Data!CI35/AR$4*100000*AR$3</f>
        <v>16847.070715579328</v>
      </c>
      <c r="AS34" s="355">
        <f>Data!CJ35/AS$4*100000*AS$3</f>
        <v>13759.732143880932</v>
      </c>
      <c r="AT34" s="355">
        <f>Data!CK35/AT$4*100000*AT$3</f>
        <v>6496.9518467585613</v>
      </c>
      <c r="AU34" s="355">
        <f>Data!CL35/AU$4*100000*AU$3</f>
        <v>5682.786838665681</v>
      </c>
      <c r="AV34" s="355">
        <f>Data!CM35/AV$4*100000*AV$3</f>
        <v>38095.583633411639</v>
      </c>
      <c r="AW34" s="355">
        <f>Data!CN35/AW$4*100000*AW$3</f>
        <v>40547.22535336906</v>
      </c>
      <c r="AX34" s="355">
        <f>Data!CO35/AX$4*100000*AX$3</f>
        <v>60308.816616852775</v>
      </c>
      <c r="AY34" s="355">
        <f>Data!CP35/AY$4*100000*AY$3</f>
        <v>48949.123504757248</v>
      </c>
      <c r="AZ34" s="355">
        <f>Data!CQ35/AZ$4*100000*AZ$3</f>
        <v>56297.721115164022</v>
      </c>
      <c r="BA34" s="355">
        <f>Data!CR35/BA$4*100000*BA$3</f>
        <v>45949.019562795082</v>
      </c>
      <c r="BB34" s="355">
        <f>Data!CS35/BB$4*100000*BB$3</f>
        <v>17274.780055032516</v>
      </c>
      <c r="BC34" s="355">
        <f>Data!CT35/BC$4*100000*BC$3</f>
        <v>9054.0940967306469</v>
      </c>
      <c r="BD34" s="355">
        <f>Data!CU35/BD$4*100000*BD$3</f>
        <v>10493.619879113499</v>
      </c>
    </row>
    <row r="35" spans="1:56" ht="12" customHeight="1">
      <c r="A35" s="66"/>
      <c r="B35" s="286" t="str">
        <f>UPPER(LEFT(TRIM(Data!B36),1)) &amp; MID(TRIM(Data!B36),2,50)</f>
        <v>Skydliaukės</v>
      </c>
      <c r="C35" s="287" t="str">
        <f>UPPER(LEFT(TRIM(Data!C36),1)) &amp; MID(TRIM(Data!C36),2,50)</f>
        <v>C73</v>
      </c>
      <c r="D35" s="288">
        <f>Data!BQ36</f>
        <v>294</v>
      </c>
      <c r="E35" s="289">
        <f t="shared" si="4"/>
        <v>18.592991201214744</v>
      </c>
      <c r="F35" s="290">
        <f t="shared" si="5"/>
        <v>16.124989906412345</v>
      </c>
      <c r="G35" s="290">
        <f t="shared" si="6"/>
        <v>13.117209862858736</v>
      </c>
      <c r="H35" s="70"/>
      <c r="I35" s="70"/>
      <c r="J35" s="70"/>
      <c r="K35" s="70"/>
      <c r="L35" s="70"/>
      <c r="M35" s="70"/>
      <c r="N35" s="70"/>
      <c r="O35" s="70"/>
      <c r="P35" s="261"/>
      <c r="Q35" s="357" t="s">
        <v>353</v>
      </c>
      <c r="R35" s="355">
        <f t="shared" si="2"/>
        <v>1612498.9906412344</v>
      </c>
      <c r="S35" s="355">
        <f>Data!CD36/S$4*100000*S$3</f>
        <v>0</v>
      </c>
      <c r="T35" s="355">
        <f>Data!CE36/T$4*100000*T$3</f>
        <v>0</v>
      </c>
      <c r="U35" s="355">
        <f>Data!CF36/U$4*100000*U$3</f>
        <v>0</v>
      </c>
      <c r="V35" s="355">
        <f>Data!CG36/V$4*100000*V$3</f>
        <v>49697.084437712991</v>
      </c>
      <c r="W35" s="355">
        <f>Data!CH36/W$4*100000*W$3</f>
        <v>34349.421948299212</v>
      </c>
      <c r="X35" s="355">
        <f>Data!CI36/X$4*100000*X$3</f>
        <v>88447.121256791477</v>
      </c>
      <c r="Y35" s="355">
        <f>Data!CJ36/Y$4*100000*Y$3</f>
        <v>152503.69792801366</v>
      </c>
      <c r="Z35" s="355">
        <f>Data!CK36/Z$4*100000*Z$3</f>
        <v>106116.88016372318</v>
      </c>
      <c r="AA35" s="355">
        <f>Data!CL36/AA$4*100000*AA$3</f>
        <v>139228.2775473092</v>
      </c>
      <c r="AB35" s="355">
        <f>Data!CM36/AB$4*100000*AB$3</f>
        <v>215874.97392266596</v>
      </c>
      <c r="AC35" s="355">
        <f>Data!CN36/AC$4*100000*AC$3</f>
        <v>175974.95803362178</v>
      </c>
      <c r="AD35" s="355">
        <f>Data!CO36/AD$4*100000*AD$3</f>
        <v>223497.37922716024</v>
      </c>
      <c r="AE35" s="355">
        <f>Data!CP36/AE$4*100000*AE$3</f>
        <v>188658.08017458519</v>
      </c>
      <c r="AF35" s="355">
        <f>Data!CQ36/AF$4*100000*AF$3</f>
        <v>107903.96547073105</v>
      </c>
      <c r="AG35" s="355">
        <f>Data!CR36/AG$4*100000*AG$3</f>
        <v>58584.999942563722</v>
      </c>
      <c r="AH35" s="355">
        <f>Data!CS36/AH$4*100000*AH$3</f>
        <v>49356.514442950043</v>
      </c>
      <c r="AI35" s="355">
        <f>Data!CT36/AI$4*100000*AI$3</f>
        <v>18108.188193461294</v>
      </c>
      <c r="AJ35" s="355">
        <f>Data!CU36/AJ$4*100000*AJ$3</f>
        <v>4197.4479516454003</v>
      </c>
      <c r="AK35" s="357" t="s">
        <v>353</v>
      </c>
      <c r="AL35" s="355">
        <f t="shared" si="3"/>
        <v>1311720.9862858737</v>
      </c>
      <c r="AM35" s="355">
        <f>Data!CD36/AM$4*100000*AM$3</f>
        <v>0</v>
      </c>
      <c r="AN35" s="355">
        <f>Data!CE36/AN$4*100000*AN$3</f>
        <v>0</v>
      </c>
      <c r="AO35" s="355">
        <f>Data!CF36/AO$4*100000*AO$3</f>
        <v>0</v>
      </c>
      <c r="AP35" s="355">
        <f>Data!CG36/AP$4*100000*AP$3</f>
        <v>63896.251419916705</v>
      </c>
      <c r="AQ35" s="355">
        <f>Data!CH36/AQ$4*100000*AQ$3</f>
        <v>39256.482226627668</v>
      </c>
      <c r="AR35" s="355">
        <f>Data!CI36/AR$4*100000*AR$3</f>
        <v>101082.42429347598</v>
      </c>
      <c r="AS35" s="355">
        <f>Data!CJ36/AS$4*100000*AS$3</f>
        <v>130717.45536686886</v>
      </c>
      <c r="AT35" s="355">
        <f>Data!CK36/AT$4*100000*AT$3</f>
        <v>90957.325854619878</v>
      </c>
      <c r="AU35" s="355">
        <f>Data!CL36/AU$4*100000*AU$3</f>
        <v>119338.52361197931</v>
      </c>
      <c r="AV35" s="355">
        <f>Data!CM36/AV$4*100000*AV$3</f>
        <v>185035.69193371368</v>
      </c>
      <c r="AW35" s="355">
        <f>Data!CN36/AW$4*100000*AW$3</f>
        <v>125696.39859544413</v>
      </c>
      <c r="AX35" s="355">
        <f>Data!CO36/AX$4*100000*AX$3</f>
        <v>148998.25281810685</v>
      </c>
      <c r="AY35" s="355">
        <f>Data!CP36/AY$4*100000*AY$3</f>
        <v>150926.46413966815</v>
      </c>
      <c r="AZ35" s="355">
        <f>Data!CQ36/AZ$4*100000*AZ$3</f>
        <v>80927.974103048284</v>
      </c>
      <c r="BA35" s="355">
        <f>Data!CR36/BA$4*100000*BA$3</f>
        <v>39056.666628375817</v>
      </c>
      <c r="BB35" s="355">
        <f>Data!CS36/BB$4*100000*BB$3</f>
        <v>24678.257221475022</v>
      </c>
      <c r="BC35" s="355">
        <f>Data!CT36/BC$4*100000*BC$3</f>
        <v>9054.0940967306469</v>
      </c>
      <c r="BD35" s="355">
        <f>Data!CU36/BD$4*100000*BD$3</f>
        <v>2098.7239758227001</v>
      </c>
    </row>
    <row r="36" spans="1:56" ht="12" customHeight="1">
      <c r="A36" s="66"/>
      <c r="B36" s="146" t="str">
        <f>UPPER(LEFT(TRIM(Data!B37),1)) &amp; MID(TRIM(Data!B37),2,50)</f>
        <v>Kitų endokrininių liaukų</v>
      </c>
      <c r="C36" s="125" t="str">
        <f>UPPER(LEFT(TRIM(Data!C37),1)) &amp; MID(TRIM(Data!C37),2,50)</f>
        <v>C74-C75</v>
      </c>
      <c r="D36" s="126">
        <f>Data!BQ37</f>
        <v>9</v>
      </c>
      <c r="E36" s="127">
        <f t="shared" si="4"/>
        <v>0.56917320003718597</v>
      </c>
      <c r="F36" s="128">
        <f t="shared" si="5"/>
        <v>0.38274777336726662</v>
      </c>
      <c r="G36" s="128">
        <f t="shared" si="6"/>
        <v>0.30418958550661968</v>
      </c>
      <c r="H36" s="70"/>
      <c r="I36" s="70"/>
      <c r="J36" s="70"/>
      <c r="K36" s="70"/>
      <c r="L36" s="70"/>
      <c r="M36" s="70"/>
      <c r="N36" s="70"/>
      <c r="O36" s="70"/>
      <c r="P36" s="261"/>
      <c r="Q36" s="357" t="s">
        <v>353</v>
      </c>
      <c r="R36" s="355">
        <f t="shared" si="2"/>
        <v>38274.777336726664</v>
      </c>
      <c r="S36" s="355">
        <f>Data!CD37/S$4*100000*S$3</f>
        <v>0</v>
      </c>
      <c r="T36" s="355">
        <f>Data!CE37/T$4*100000*T$3</f>
        <v>0</v>
      </c>
      <c r="U36" s="355">
        <f>Data!CF37/U$4*100000*U$3</f>
        <v>0</v>
      </c>
      <c r="V36" s="355">
        <f>Data!CG37/V$4*100000*V$3</f>
        <v>0</v>
      </c>
      <c r="W36" s="355">
        <f>Data!CH37/W$4*100000*W$3</f>
        <v>0</v>
      </c>
      <c r="X36" s="355">
        <f>Data!CI37/X$4*100000*X$3</f>
        <v>7370.5934380659555</v>
      </c>
      <c r="Y36" s="355">
        <f>Data!CJ37/Y$4*100000*Y$3</f>
        <v>0</v>
      </c>
      <c r="Z36" s="355">
        <f>Data!CK37/Z$4*100000*Z$3</f>
        <v>0</v>
      </c>
      <c r="AA36" s="355">
        <f>Data!CL37/AA$4*100000*AA$3</f>
        <v>0</v>
      </c>
      <c r="AB36" s="355">
        <f>Data!CM37/AB$4*100000*AB$3</f>
        <v>6349.2639389019405</v>
      </c>
      <c r="AC36" s="355">
        <f>Data!CN37/AC$4*100000*AC$3</f>
        <v>5676.6115494716696</v>
      </c>
      <c r="AD36" s="355">
        <f>Data!CO37/AD$4*100000*AD$3</f>
        <v>0</v>
      </c>
      <c r="AE36" s="355">
        <f>Data!CP37/AE$4*100000*AE$3</f>
        <v>10197.734063491092</v>
      </c>
      <c r="AF36" s="355">
        <f>Data!CQ37/AF$4*100000*AF$3</f>
        <v>0</v>
      </c>
      <c r="AG36" s="355">
        <f>Data!CR37/AG$4*100000*AG$3</f>
        <v>0</v>
      </c>
      <c r="AH36" s="355">
        <f>Data!CS37/AH$4*100000*AH$3</f>
        <v>4935.6514442950038</v>
      </c>
      <c r="AI36" s="355">
        <f>Data!CT37/AI$4*100000*AI$3</f>
        <v>1646.1989266782998</v>
      </c>
      <c r="AJ36" s="355">
        <f>Data!CU37/AJ$4*100000*AJ$3</f>
        <v>2098.7239758227001</v>
      </c>
      <c r="AK36" s="357" t="s">
        <v>353</v>
      </c>
      <c r="AL36" s="355">
        <f t="shared" si="3"/>
        <v>30418.95855066197</v>
      </c>
      <c r="AM36" s="355">
        <f>Data!CD37/AM$4*100000*AM$3</f>
        <v>0</v>
      </c>
      <c r="AN36" s="355">
        <f>Data!CE37/AN$4*100000*AN$3</f>
        <v>0</v>
      </c>
      <c r="AO36" s="355">
        <f>Data!CF37/AO$4*100000*AO$3</f>
        <v>0</v>
      </c>
      <c r="AP36" s="355">
        <f>Data!CG37/AP$4*100000*AP$3</f>
        <v>0</v>
      </c>
      <c r="AQ36" s="355">
        <f>Data!CH37/AQ$4*100000*AQ$3</f>
        <v>0</v>
      </c>
      <c r="AR36" s="355">
        <f>Data!CI37/AR$4*100000*AR$3</f>
        <v>8423.535357789664</v>
      </c>
      <c r="AS36" s="355">
        <f>Data!CJ37/AS$4*100000*AS$3</f>
        <v>0</v>
      </c>
      <c r="AT36" s="355">
        <f>Data!CK37/AT$4*100000*AT$3</f>
        <v>0</v>
      </c>
      <c r="AU36" s="355">
        <f>Data!CL37/AU$4*100000*AU$3</f>
        <v>0</v>
      </c>
      <c r="AV36" s="355">
        <f>Data!CM37/AV$4*100000*AV$3</f>
        <v>5442.2262333445206</v>
      </c>
      <c r="AW36" s="355">
        <f>Data!CN37/AW$4*100000*AW$3</f>
        <v>4054.7225353369072</v>
      </c>
      <c r="AX36" s="355">
        <f>Data!CO37/AX$4*100000*AX$3</f>
        <v>0</v>
      </c>
      <c r="AY36" s="355">
        <f>Data!CP37/AY$4*100000*AY$3</f>
        <v>8158.1872507928747</v>
      </c>
      <c r="AZ36" s="355">
        <f>Data!CQ37/AZ$4*100000*AZ$3</f>
        <v>0</v>
      </c>
      <c r="BA36" s="355">
        <f>Data!CR37/BA$4*100000*BA$3</f>
        <v>0</v>
      </c>
      <c r="BB36" s="355">
        <f>Data!CS37/BB$4*100000*BB$3</f>
        <v>2467.8257221475019</v>
      </c>
      <c r="BC36" s="355">
        <f>Data!CT37/BC$4*100000*BC$3</f>
        <v>823.09946333914991</v>
      </c>
      <c r="BD36" s="355">
        <f>Data!CU37/BD$4*100000*BD$3</f>
        <v>1049.3619879113501</v>
      </c>
    </row>
    <row r="37" spans="1:56" ht="12" customHeight="1">
      <c r="A37" s="66"/>
      <c r="B37" s="286" t="str">
        <f>UPPER(LEFT(TRIM(Data!B38),1)) &amp; MID(TRIM(Data!B38),2,50)</f>
        <v>Nepatikslintos lokalizacijos</v>
      </c>
      <c r="C37" s="287" t="str">
        <f>UPPER(LEFT(TRIM(Data!C38),1)) &amp; MID(TRIM(Data!C38),2,50)</f>
        <v>C76-C80</v>
      </c>
      <c r="D37" s="288">
        <f>Data!BQ38</f>
        <v>166</v>
      </c>
      <c r="E37" s="289">
        <f t="shared" si="4"/>
        <v>10.498083467352542</v>
      </c>
      <c r="F37" s="290">
        <f t="shared" si="5"/>
        <v>4.9324738893539974</v>
      </c>
      <c r="G37" s="290">
        <f t="shared" si="6"/>
        <v>3.1084682825932943</v>
      </c>
      <c r="H37" s="70"/>
      <c r="I37" s="70"/>
      <c r="J37" s="70"/>
      <c r="K37" s="70"/>
      <c r="L37" s="70"/>
      <c r="M37" s="70"/>
      <c r="N37" s="70"/>
      <c r="O37" s="70"/>
      <c r="P37" s="261"/>
      <c r="Q37" s="357" t="s">
        <v>353</v>
      </c>
      <c r="R37" s="355">
        <f t="shared" si="2"/>
        <v>493247.38893539977</v>
      </c>
      <c r="S37" s="355">
        <f>Data!CD38/S$4*100000*S$3</f>
        <v>0</v>
      </c>
      <c r="T37" s="355">
        <f>Data!CE38/T$4*100000*T$3</f>
        <v>0</v>
      </c>
      <c r="U37" s="355">
        <f>Data!CF38/U$4*100000*U$3</f>
        <v>0</v>
      </c>
      <c r="V37" s="355">
        <f>Data!CG38/V$4*100000*V$3</f>
        <v>0</v>
      </c>
      <c r="W37" s="355">
        <f>Data!CH38/W$4*100000*W$3</f>
        <v>0</v>
      </c>
      <c r="X37" s="355">
        <f>Data!CI38/X$4*100000*X$3</f>
        <v>0</v>
      </c>
      <c r="Y37" s="355">
        <f>Data!CJ38/Y$4*100000*Y$3</f>
        <v>0</v>
      </c>
      <c r="Z37" s="355">
        <f>Data!CK38/Z$4*100000*Z$3</f>
        <v>0</v>
      </c>
      <c r="AA37" s="355">
        <f>Data!CL38/AA$4*100000*AA$3</f>
        <v>6629.9179784432945</v>
      </c>
      <c r="AB37" s="355">
        <f>Data!CM38/AB$4*100000*AB$3</f>
        <v>44444.847572313578</v>
      </c>
      <c r="AC37" s="355">
        <f>Data!CN38/AC$4*100000*AC$3</f>
        <v>28383.057747358343</v>
      </c>
      <c r="AD37" s="355">
        <f>Data!CO38/AD$4*100000*AD$3</f>
        <v>42570.929376601955</v>
      </c>
      <c r="AE37" s="355">
        <f>Data!CP38/AE$4*100000*AE$3</f>
        <v>20395.468126982185</v>
      </c>
      <c r="AF37" s="355">
        <f>Data!CQ38/AF$4*100000*AF$3</f>
        <v>51606.244355567018</v>
      </c>
      <c r="AG37" s="355">
        <f>Data!CR38/AG$4*100000*AG$3</f>
        <v>82708.235213031148</v>
      </c>
      <c r="AH37" s="355">
        <f>Data!CS38/AH$4*100000*AH$3</f>
        <v>69099.120220130062</v>
      </c>
      <c r="AI37" s="355">
        <f>Data!CT38/AI$4*100000*AI$3</f>
        <v>59263.161360418795</v>
      </c>
      <c r="AJ37" s="355">
        <f>Data!CU38/AJ$4*100000*AJ$3</f>
        <v>88146.406984553396</v>
      </c>
      <c r="AK37" s="357" t="s">
        <v>353</v>
      </c>
      <c r="AL37" s="355">
        <f t="shared" si="3"/>
        <v>310846.82825932943</v>
      </c>
      <c r="AM37" s="355">
        <f>Data!CD38/AM$4*100000*AM$3</f>
        <v>0</v>
      </c>
      <c r="AN37" s="355">
        <f>Data!CE38/AN$4*100000*AN$3</f>
        <v>0</v>
      </c>
      <c r="AO37" s="355">
        <f>Data!CF38/AO$4*100000*AO$3</f>
        <v>0</v>
      </c>
      <c r="AP37" s="355">
        <f>Data!CG38/AP$4*100000*AP$3</f>
        <v>0</v>
      </c>
      <c r="AQ37" s="355">
        <f>Data!CH38/AQ$4*100000*AQ$3</f>
        <v>0</v>
      </c>
      <c r="AR37" s="355">
        <f>Data!CI38/AR$4*100000*AR$3</f>
        <v>0</v>
      </c>
      <c r="AS37" s="355">
        <f>Data!CJ38/AS$4*100000*AS$3</f>
        <v>0</v>
      </c>
      <c r="AT37" s="355">
        <f>Data!CK38/AT$4*100000*AT$3</f>
        <v>0</v>
      </c>
      <c r="AU37" s="355">
        <f>Data!CL38/AU$4*100000*AU$3</f>
        <v>5682.786838665681</v>
      </c>
      <c r="AV37" s="355">
        <f>Data!CM38/AV$4*100000*AV$3</f>
        <v>38095.583633411639</v>
      </c>
      <c r="AW37" s="355">
        <f>Data!CN38/AW$4*100000*AW$3</f>
        <v>20273.61267668453</v>
      </c>
      <c r="AX37" s="355">
        <f>Data!CO38/AX$4*100000*AX$3</f>
        <v>28380.619584401305</v>
      </c>
      <c r="AY37" s="355">
        <f>Data!CP38/AY$4*100000*AY$3</f>
        <v>16316.374501585749</v>
      </c>
      <c r="AZ37" s="355">
        <f>Data!CQ38/AZ$4*100000*AZ$3</f>
        <v>38704.683266675267</v>
      </c>
      <c r="BA37" s="355">
        <f>Data!CR38/BA$4*100000*BA$3</f>
        <v>55138.823475354096</v>
      </c>
      <c r="BB37" s="355">
        <f>Data!CS38/BB$4*100000*BB$3</f>
        <v>34549.560110065031</v>
      </c>
      <c r="BC37" s="355">
        <f>Data!CT38/BC$4*100000*BC$3</f>
        <v>29631.580680209398</v>
      </c>
      <c r="BD37" s="355">
        <f>Data!CU38/BD$4*100000*BD$3</f>
        <v>44073.203492276698</v>
      </c>
    </row>
    <row r="38" spans="1:56" ht="12" customHeight="1">
      <c r="A38" s="66"/>
      <c r="B38" s="146" t="str">
        <f>UPPER(LEFT(TRIM(Data!B39),1)) &amp; MID(TRIM(Data!B39),2,50)</f>
        <v>Hodžkino limfomos</v>
      </c>
      <c r="C38" s="125" t="str">
        <f>UPPER(LEFT(TRIM(Data!C39),1)) &amp; MID(TRIM(Data!C39),2,50)</f>
        <v>C81</v>
      </c>
      <c r="D38" s="126">
        <f>Data!BQ39</f>
        <v>25</v>
      </c>
      <c r="E38" s="127">
        <f t="shared" si="4"/>
        <v>1.5810366667699609</v>
      </c>
      <c r="F38" s="128">
        <f t="shared" si="5"/>
        <v>1.7446341179646927</v>
      </c>
      <c r="G38" s="128">
        <f t="shared" si="6"/>
        <v>1.8262097628612519</v>
      </c>
      <c r="H38" s="70"/>
      <c r="I38" s="70"/>
      <c r="J38" s="70"/>
      <c r="K38" s="70"/>
      <c r="L38" s="70"/>
      <c r="M38" s="70"/>
      <c r="N38" s="70"/>
      <c r="O38" s="70"/>
      <c r="P38" s="261"/>
      <c r="Q38" s="357" t="s">
        <v>353</v>
      </c>
      <c r="R38" s="355">
        <f t="shared" si="2"/>
        <v>174463.41179646927</v>
      </c>
      <c r="S38" s="355">
        <f>Data!CD39/S$4*100000*S$3</f>
        <v>0</v>
      </c>
      <c r="T38" s="355">
        <f>Data!CE39/T$4*100000*T$3</f>
        <v>0</v>
      </c>
      <c r="U38" s="355">
        <f>Data!CF39/U$4*100000*U$3</f>
        <v>0</v>
      </c>
      <c r="V38" s="355">
        <f>Data!CG39/V$4*100000*V$3</f>
        <v>24848.542218856495</v>
      </c>
      <c r="W38" s="355">
        <f>Data!CH39/W$4*100000*W$3</f>
        <v>34349.421948299212</v>
      </c>
      <c r="X38" s="355">
        <f>Data!CI39/X$4*100000*X$3</f>
        <v>51594.154066461699</v>
      </c>
      <c r="Y38" s="355">
        <f>Data!CJ39/Y$4*100000*Y$3</f>
        <v>16053.020834527753</v>
      </c>
      <c r="Z38" s="355">
        <f>Data!CK39/Z$4*100000*Z$3</f>
        <v>15159.554309103311</v>
      </c>
      <c r="AA38" s="355">
        <f>Data!CL39/AA$4*100000*AA$3</f>
        <v>19889.753935329885</v>
      </c>
      <c r="AB38" s="355">
        <f>Data!CM39/AB$4*100000*AB$3</f>
        <v>0</v>
      </c>
      <c r="AC38" s="355">
        <f>Data!CN39/AC$4*100000*AC$3</f>
        <v>5676.6115494716696</v>
      </c>
      <c r="AD38" s="355">
        <f>Data!CO39/AD$4*100000*AD$3</f>
        <v>0</v>
      </c>
      <c r="AE38" s="355">
        <f>Data!CP39/AE$4*100000*AE$3</f>
        <v>0</v>
      </c>
      <c r="AF38" s="355">
        <f>Data!CQ39/AF$4*100000*AF$3</f>
        <v>0</v>
      </c>
      <c r="AG38" s="355">
        <f>Data!CR39/AG$4*100000*AG$3</f>
        <v>6892.3529344192621</v>
      </c>
      <c r="AH38" s="355">
        <f>Data!CS39/AH$4*100000*AH$3</f>
        <v>0</v>
      </c>
      <c r="AI38" s="355">
        <f>Data!CT39/AI$4*100000*AI$3</f>
        <v>0</v>
      </c>
      <c r="AJ38" s="355">
        <f>Data!CU39/AJ$4*100000*AJ$3</f>
        <v>0</v>
      </c>
      <c r="AK38" s="357" t="s">
        <v>353</v>
      </c>
      <c r="AL38" s="355">
        <f t="shared" si="3"/>
        <v>182620.97628612519</v>
      </c>
      <c r="AM38" s="355">
        <f>Data!CD39/AM$4*100000*AM$3</f>
        <v>0</v>
      </c>
      <c r="AN38" s="355">
        <f>Data!CE39/AN$4*100000*AN$3</f>
        <v>0</v>
      </c>
      <c r="AO38" s="355">
        <f>Data!CF39/AO$4*100000*AO$3</f>
        <v>0</v>
      </c>
      <c r="AP38" s="355">
        <f>Data!CG39/AP$4*100000*AP$3</f>
        <v>31948.125709958353</v>
      </c>
      <c r="AQ38" s="355">
        <f>Data!CH39/AQ$4*100000*AQ$3</f>
        <v>39256.482226627668</v>
      </c>
      <c r="AR38" s="355">
        <f>Data!CI39/AR$4*100000*AR$3</f>
        <v>58964.747504527659</v>
      </c>
      <c r="AS38" s="355">
        <f>Data!CJ39/AS$4*100000*AS$3</f>
        <v>13759.732143880932</v>
      </c>
      <c r="AT38" s="355">
        <f>Data!CK39/AT$4*100000*AT$3</f>
        <v>12993.903693517123</v>
      </c>
      <c r="AU38" s="355">
        <f>Data!CL39/AU$4*100000*AU$3</f>
        <v>17048.360515997047</v>
      </c>
      <c r="AV38" s="355">
        <f>Data!CM39/AV$4*100000*AV$3</f>
        <v>0</v>
      </c>
      <c r="AW38" s="355">
        <f>Data!CN39/AW$4*100000*AW$3</f>
        <v>4054.7225353369072</v>
      </c>
      <c r="AX38" s="355">
        <f>Data!CO39/AX$4*100000*AX$3</f>
        <v>0</v>
      </c>
      <c r="AY38" s="355">
        <f>Data!CP39/AY$4*100000*AY$3</f>
        <v>0</v>
      </c>
      <c r="AZ38" s="355">
        <f>Data!CQ39/AZ$4*100000*AZ$3</f>
        <v>0</v>
      </c>
      <c r="BA38" s="355">
        <f>Data!CR39/BA$4*100000*BA$3</f>
        <v>4594.9019562795083</v>
      </c>
      <c r="BB38" s="355">
        <f>Data!CS39/BB$4*100000*BB$3</f>
        <v>0</v>
      </c>
      <c r="BC38" s="355">
        <f>Data!CT39/BC$4*100000*BC$3</f>
        <v>0</v>
      </c>
      <c r="BD38" s="355">
        <f>Data!CU39/BD$4*100000*BD$3</f>
        <v>0</v>
      </c>
    </row>
    <row r="39" spans="1:56" ht="12" customHeight="1">
      <c r="A39" s="66"/>
      <c r="B39" s="286" t="str">
        <f>UPPER(LEFT(TRIM(Data!B40),1)) &amp; MID(TRIM(Data!B40),2,50)</f>
        <v>Ne Hodžkino limfomos</v>
      </c>
      <c r="C39" s="287" t="str">
        <f>UPPER(LEFT(TRIM(Data!C40),1)) &amp; MID(TRIM(Data!C40),2,50)</f>
        <v>C82-C85</v>
      </c>
      <c r="D39" s="288">
        <f>Data!BQ40</f>
        <v>170</v>
      </c>
      <c r="E39" s="289">
        <f t="shared" si="4"/>
        <v>10.751049334035736</v>
      </c>
      <c r="F39" s="290">
        <f t="shared" si="5"/>
        <v>6.6906134728181117</v>
      </c>
      <c r="G39" s="290">
        <f t="shared" si="6"/>
        <v>4.8016364131874765</v>
      </c>
      <c r="H39" s="70"/>
      <c r="I39" s="70"/>
      <c r="J39" s="70"/>
      <c r="K39" s="70"/>
      <c r="L39" s="70"/>
      <c r="M39" s="70"/>
      <c r="N39" s="70"/>
      <c r="O39" s="70"/>
      <c r="P39" s="261"/>
      <c r="Q39" s="357" t="s">
        <v>353</v>
      </c>
      <c r="R39" s="355">
        <f t="shared" si="2"/>
        <v>669061.34728181118</v>
      </c>
      <c r="S39" s="355">
        <f>Data!CD40/S$4*100000*S$3</f>
        <v>0</v>
      </c>
      <c r="T39" s="355">
        <f>Data!CE40/T$4*100000*T$3</f>
        <v>0</v>
      </c>
      <c r="U39" s="355">
        <f>Data!CF40/U$4*100000*U$3</f>
        <v>0</v>
      </c>
      <c r="V39" s="355">
        <f>Data!CG40/V$4*100000*V$3</f>
        <v>8282.8474062854984</v>
      </c>
      <c r="W39" s="355">
        <f>Data!CH40/W$4*100000*W$3</f>
        <v>6869.8843896598428</v>
      </c>
      <c r="X39" s="355">
        <f>Data!CI40/X$4*100000*X$3</f>
        <v>14741.186876131911</v>
      </c>
      <c r="Y39" s="355">
        <f>Data!CJ40/Y$4*100000*Y$3</f>
        <v>48159.062503583264</v>
      </c>
      <c r="Z39" s="355">
        <f>Data!CK40/Z$4*100000*Z$3</f>
        <v>7579.7771545516553</v>
      </c>
      <c r="AA39" s="355">
        <f>Data!CL40/AA$4*100000*AA$3</f>
        <v>13259.835956886589</v>
      </c>
      <c r="AB39" s="355">
        <f>Data!CM40/AB$4*100000*AB$3</f>
        <v>19047.79181670582</v>
      </c>
      <c r="AC39" s="355">
        <f>Data!CN40/AC$4*100000*AC$3</f>
        <v>51089.503945245029</v>
      </c>
      <c r="AD39" s="355">
        <f>Data!CO40/AD$4*100000*AD$3</f>
        <v>74499.126409053424</v>
      </c>
      <c r="AE39" s="355">
        <f>Data!CP40/AE$4*100000*AE$3</f>
        <v>96878.473603165388</v>
      </c>
      <c r="AF39" s="355">
        <f>Data!CQ40/AF$4*100000*AF$3</f>
        <v>112595.44223032804</v>
      </c>
      <c r="AG39" s="355">
        <f>Data!CR40/AG$4*100000*AG$3</f>
        <v>79262.058745821516</v>
      </c>
      <c r="AH39" s="355">
        <f>Data!CS40/AH$4*100000*AH$3</f>
        <v>69099.120220130062</v>
      </c>
      <c r="AI39" s="355">
        <f>Data!CT40/AI$4*100000*AI$3</f>
        <v>36216.376386922588</v>
      </c>
      <c r="AJ39" s="355">
        <f>Data!CU40/AJ$4*100000*AJ$3</f>
        <v>31480.859637340494</v>
      </c>
      <c r="AK39" s="357" t="s">
        <v>353</v>
      </c>
      <c r="AL39" s="355">
        <f t="shared" si="3"/>
        <v>480163.64131874766</v>
      </c>
      <c r="AM39" s="355">
        <f>Data!CD40/AM$4*100000*AM$3</f>
        <v>0</v>
      </c>
      <c r="AN39" s="355">
        <f>Data!CE40/AN$4*100000*AN$3</f>
        <v>0</v>
      </c>
      <c r="AO39" s="355">
        <f>Data!CF40/AO$4*100000*AO$3</f>
        <v>0</v>
      </c>
      <c r="AP39" s="355">
        <f>Data!CG40/AP$4*100000*AP$3</f>
        <v>10649.375236652784</v>
      </c>
      <c r="AQ39" s="355">
        <f>Data!CH40/AQ$4*100000*AQ$3</f>
        <v>7851.2964453255345</v>
      </c>
      <c r="AR39" s="355">
        <f>Data!CI40/AR$4*100000*AR$3</f>
        <v>16847.070715579328</v>
      </c>
      <c r="AS39" s="355">
        <f>Data!CJ40/AS$4*100000*AS$3</f>
        <v>41279.196431642798</v>
      </c>
      <c r="AT39" s="355">
        <f>Data!CK40/AT$4*100000*AT$3</f>
        <v>6496.9518467585613</v>
      </c>
      <c r="AU39" s="355">
        <f>Data!CL40/AU$4*100000*AU$3</f>
        <v>11365.573677331362</v>
      </c>
      <c r="AV39" s="355">
        <f>Data!CM40/AV$4*100000*AV$3</f>
        <v>16326.678700033561</v>
      </c>
      <c r="AW39" s="355">
        <f>Data!CN40/AW$4*100000*AW$3</f>
        <v>36492.502818032161</v>
      </c>
      <c r="AX39" s="355">
        <f>Data!CO40/AX$4*100000*AX$3</f>
        <v>49666.084272702283</v>
      </c>
      <c r="AY39" s="355">
        <f>Data!CP40/AY$4*100000*AY$3</f>
        <v>77502.778882532308</v>
      </c>
      <c r="AZ39" s="355">
        <f>Data!CQ40/AZ$4*100000*AZ$3</f>
        <v>84446.581672746033</v>
      </c>
      <c r="BA39" s="355">
        <f>Data!CR40/BA$4*100000*BA$3</f>
        <v>52841.372497214346</v>
      </c>
      <c r="BB39" s="355">
        <f>Data!CS40/BB$4*100000*BB$3</f>
        <v>34549.560110065031</v>
      </c>
      <c r="BC39" s="355">
        <f>Data!CT40/BC$4*100000*BC$3</f>
        <v>18108.188193461294</v>
      </c>
      <c r="BD39" s="355">
        <f>Data!CU40/BD$4*100000*BD$3</f>
        <v>15740.429818670247</v>
      </c>
    </row>
    <row r="40" spans="1:56" ht="12" customHeight="1">
      <c r="A40" s="66"/>
      <c r="B40" s="146" t="str">
        <f>UPPER(LEFT(TRIM(Data!B41),1)) &amp; MID(TRIM(Data!B41),2,50)</f>
        <v>Mielominės ligos</v>
      </c>
      <c r="C40" s="125" t="str">
        <f>UPPER(LEFT(TRIM(Data!C41),1)) &amp; MID(TRIM(Data!C41),2,50)</f>
        <v>C90</v>
      </c>
      <c r="D40" s="126">
        <f>Data!BQ41</f>
        <v>80</v>
      </c>
      <c r="E40" s="127">
        <f t="shared" si="4"/>
        <v>5.0593173336638753</v>
      </c>
      <c r="F40" s="128">
        <f t="shared" si="5"/>
        <v>3.3322156170297768</v>
      </c>
      <c r="G40" s="128">
        <f t="shared" si="6"/>
        <v>2.3821091321539347</v>
      </c>
      <c r="H40" s="70"/>
      <c r="I40" s="70"/>
      <c r="J40" s="70"/>
      <c r="K40" s="70"/>
      <c r="L40" s="70"/>
      <c r="M40" s="70"/>
      <c r="N40" s="70"/>
      <c r="O40" s="70"/>
      <c r="P40" s="261"/>
      <c r="Q40" s="357" t="s">
        <v>353</v>
      </c>
      <c r="R40" s="355">
        <f t="shared" si="2"/>
        <v>333221.56170297769</v>
      </c>
      <c r="S40" s="355">
        <f>Data!CD41/S$4*100000*S$3</f>
        <v>0</v>
      </c>
      <c r="T40" s="355">
        <f>Data!CE41/T$4*100000*T$3</f>
        <v>0</v>
      </c>
      <c r="U40" s="355">
        <f>Data!CF41/U$4*100000*U$3</f>
        <v>0</v>
      </c>
      <c r="V40" s="355">
        <f>Data!CG41/V$4*100000*V$3</f>
        <v>0</v>
      </c>
      <c r="W40" s="355">
        <f>Data!CH41/W$4*100000*W$3</f>
        <v>0</v>
      </c>
      <c r="X40" s="355">
        <f>Data!CI41/X$4*100000*X$3</f>
        <v>7370.5934380659555</v>
      </c>
      <c r="Y40" s="355">
        <f>Data!CJ41/Y$4*100000*Y$3</f>
        <v>0</v>
      </c>
      <c r="Z40" s="355">
        <f>Data!CK41/Z$4*100000*Z$3</f>
        <v>7579.7771545516553</v>
      </c>
      <c r="AA40" s="355">
        <f>Data!CL41/AA$4*100000*AA$3</f>
        <v>13259.835956886589</v>
      </c>
      <c r="AB40" s="355">
        <f>Data!CM41/AB$4*100000*AB$3</f>
        <v>19047.79181670582</v>
      </c>
      <c r="AC40" s="355">
        <f>Data!CN41/AC$4*100000*AC$3</f>
        <v>45412.892395773357</v>
      </c>
      <c r="AD40" s="355">
        <f>Data!CO41/AD$4*100000*AD$3</f>
        <v>47892.29554867719</v>
      </c>
      <c r="AE40" s="355">
        <f>Data!CP41/AE$4*100000*AE$3</f>
        <v>40790.93625396437</v>
      </c>
      <c r="AF40" s="355">
        <f>Data!CQ41/AF$4*100000*AF$3</f>
        <v>51606.244355567018</v>
      </c>
      <c r="AG40" s="355">
        <f>Data!CR41/AG$4*100000*AG$3</f>
        <v>58584.999942563722</v>
      </c>
      <c r="AH40" s="355">
        <f>Data!CS41/AH$4*100000*AH$3</f>
        <v>22210.431499327518</v>
      </c>
      <c r="AI40" s="355">
        <f>Data!CT41/AI$4*100000*AI$3</f>
        <v>13169.591413426399</v>
      </c>
      <c r="AJ40" s="355">
        <f>Data!CU41/AJ$4*100000*AJ$3</f>
        <v>6296.1719274680991</v>
      </c>
      <c r="AK40" s="357" t="s">
        <v>353</v>
      </c>
      <c r="AL40" s="355">
        <f t="shared" si="3"/>
        <v>238210.91321539349</v>
      </c>
      <c r="AM40" s="355">
        <f>Data!CD41/AM$4*100000*AM$3</f>
        <v>0</v>
      </c>
      <c r="AN40" s="355">
        <f>Data!CE41/AN$4*100000*AN$3</f>
        <v>0</v>
      </c>
      <c r="AO40" s="355">
        <f>Data!CF41/AO$4*100000*AO$3</f>
        <v>0</v>
      </c>
      <c r="AP40" s="355">
        <f>Data!CG41/AP$4*100000*AP$3</f>
        <v>0</v>
      </c>
      <c r="AQ40" s="355">
        <f>Data!CH41/AQ$4*100000*AQ$3</f>
        <v>0</v>
      </c>
      <c r="AR40" s="355">
        <f>Data!CI41/AR$4*100000*AR$3</f>
        <v>8423.535357789664</v>
      </c>
      <c r="AS40" s="355">
        <f>Data!CJ41/AS$4*100000*AS$3</f>
        <v>0</v>
      </c>
      <c r="AT40" s="355">
        <f>Data!CK41/AT$4*100000*AT$3</f>
        <v>6496.9518467585613</v>
      </c>
      <c r="AU40" s="355">
        <f>Data!CL41/AU$4*100000*AU$3</f>
        <v>11365.573677331362</v>
      </c>
      <c r="AV40" s="355">
        <f>Data!CM41/AV$4*100000*AV$3</f>
        <v>16326.678700033561</v>
      </c>
      <c r="AW40" s="355">
        <f>Data!CN41/AW$4*100000*AW$3</f>
        <v>32437.780282695257</v>
      </c>
      <c r="AX40" s="355">
        <f>Data!CO41/AX$4*100000*AX$3</f>
        <v>31928.197032451462</v>
      </c>
      <c r="AY40" s="355">
        <f>Data!CP41/AY$4*100000*AY$3</f>
        <v>32632.749003171499</v>
      </c>
      <c r="AZ40" s="355">
        <f>Data!CQ41/AZ$4*100000*AZ$3</f>
        <v>38704.683266675267</v>
      </c>
      <c r="BA40" s="355">
        <f>Data!CR41/BA$4*100000*BA$3</f>
        <v>39056.666628375817</v>
      </c>
      <c r="BB40" s="355">
        <f>Data!CS41/BB$4*100000*BB$3</f>
        <v>11105.215749663759</v>
      </c>
      <c r="BC40" s="355">
        <f>Data!CT41/BC$4*100000*BC$3</f>
        <v>6584.7957067131993</v>
      </c>
      <c r="BD40" s="355">
        <f>Data!CU41/BD$4*100000*BD$3</f>
        <v>3148.0859637340495</v>
      </c>
    </row>
    <row r="41" spans="1:56" ht="12" customHeight="1">
      <c r="A41" s="66"/>
      <c r="B41" s="286" t="str">
        <f>UPPER(LEFT(TRIM(Data!B42),1)) &amp; MID(TRIM(Data!B42),2,50)</f>
        <v>Leukemijos</v>
      </c>
      <c r="C41" s="287" t="str">
        <f>UPPER(LEFT(TRIM(Data!C42),1)) &amp; MID(TRIM(Data!C42),2,50)</f>
        <v>C91-C95</v>
      </c>
      <c r="D41" s="288">
        <f>Data!BQ42</f>
        <v>249</v>
      </c>
      <c r="E41" s="289">
        <f t="shared" si="4"/>
        <v>15.74712520102881</v>
      </c>
      <c r="F41" s="290">
        <f t="shared" si="5"/>
        <v>10.1629071748175</v>
      </c>
      <c r="G41" s="290">
        <f t="shared" si="6"/>
        <v>8.1004863242229561</v>
      </c>
      <c r="H41" s="70"/>
      <c r="I41" s="70"/>
      <c r="J41" s="70"/>
      <c r="K41" s="70"/>
      <c r="L41" s="70"/>
      <c r="M41" s="70"/>
      <c r="N41" s="70"/>
      <c r="O41" s="70"/>
      <c r="P41" s="261"/>
      <c r="Q41" s="357" t="s">
        <v>353</v>
      </c>
      <c r="R41" s="355">
        <f t="shared" si="2"/>
        <v>1016290.7174817499</v>
      </c>
      <c r="S41" s="355">
        <f>Data!CD42/S$4*100000*S$3</f>
        <v>87026.284657537966</v>
      </c>
      <c r="T41" s="355">
        <f>Data!CE42/T$4*100000*T$3</f>
        <v>10463.065379211384</v>
      </c>
      <c r="U41" s="355">
        <f>Data!CF42/U$4*100000*U$3</f>
        <v>20543.221470601184</v>
      </c>
      <c r="V41" s="355">
        <f>Data!CG42/V$4*100000*V$3</f>
        <v>16565.694812570997</v>
      </c>
      <c r="W41" s="355">
        <f>Data!CH42/W$4*100000*W$3</f>
        <v>20609.653168979527</v>
      </c>
      <c r="X41" s="355">
        <f>Data!CI42/X$4*100000*X$3</f>
        <v>22111.780314197869</v>
      </c>
      <c r="Y41" s="355">
        <f>Data!CJ42/Y$4*100000*Y$3</f>
        <v>8026.5104172638767</v>
      </c>
      <c r="Z41" s="355">
        <f>Data!CK42/Z$4*100000*Z$3</f>
        <v>7579.7771545516553</v>
      </c>
      <c r="AA41" s="355">
        <f>Data!CL42/AA$4*100000*AA$3</f>
        <v>53039.343827546356</v>
      </c>
      <c r="AB41" s="355">
        <f>Data!CM42/AB$4*100000*AB$3</f>
        <v>31746.319694509701</v>
      </c>
      <c r="AC41" s="355">
        <f>Data!CN42/AC$4*100000*AC$3</f>
        <v>102179.00789049006</v>
      </c>
      <c r="AD41" s="355">
        <f>Data!CO42/AD$4*100000*AD$3</f>
        <v>106427.32344150488</v>
      </c>
      <c r="AE41" s="355">
        <f>Data!CP42/AE$4*100000*AE$3</f>
        <v>101977.34063491091</v>
      </c>
      <c r="AF41" s="355">
        <f>Data!CQ42/AF$4*100000*AF$3</f>
        <v>103212.48871113404</v>
      </c>
      <c r="AG41" s="355">
        <f>Data!CR42/AG$4*100000*AG$3</f>
        <v>99939.117549079296</v>
      </c>
      <c r="AH41" s="355">
        <f>Data!CS42/AH$4*100000*AH$3</f>
        <v>103648.68033019509</v>
      </c>
      <c r="AI41" s="355">
        <f>Data!CT42/AI$4*100000*AI$3</f>
        <v>47739.768873670691</v>
      </c>
      <c r="AJ41" s="355">
        <f>Data!CU42/AJ$4*100000*AJ$3</f>
        <v>73455.339153794499</v>
      </c>
      <c r="AK41" s="357" t="s">
        <v>353</v>
      </c>
      <c r="AL41" s="355">
        <f t="shared" si="3"/>
        <v>810048.63242229563</v>
      </c>
      <c r="AM41" s="355">
        <f>Data!CD42/AM$4*100000*AM$3</f>
        <v>130539.42698630696</v>
      </c>
      <c r="AN41" s="355">
        <f>Data!CE42/AN$4*100000*AN$3</f>
        <v>14947.236256016264</v>
      </c>
      <c r="AO41" s="355">
        <f>Data!CF42/AO$4*100000*AO$3</f>
        <v>26412.713319344377</v>
      </c>
      <c r="AP41" s="355">
        <f>Data!CG42/AP$4*100000*AP$3</f>
        <v>21298.750473305568</v>
      </c>
      <c r="AQ41" s="355">
        <f>Data!CH42/AQ$4*100000*AQ$3</f>
        <v>23553.889335976604</v>
      </c>
      <c r="AR41" s="355">
        <f>Data!CI42/AR$4*100000*AR$3</f>
        <v>25270.606073368996</v>
      </c>
      <c r="AS41" s="355">
        <f>Data!CJ42/AS$4*100000*AS$3</f>
        <v>6879.8660719404661</v>
      </c>
      <c r="AT41" s="355">
        <f>Data!CK42/AT$4*100000*AT$3</f>
        <v>6496.9518467585613</v>
      </c>
      <c r="AU41" s="355">
        <f>Data!CL42/AU$4*100000*AU$3</f>
        <v>45462.294709325448</v>
      </c>
      <c r="AV41" s="355">
        <f>Data!CM42/AV$4*100000*AV$3</f>
        <v>27211.1311667226</v>
      </c>
      <c r="AW41" s="355">
        <f>Data!CN42/AW$4*100000*AW$3</f>
        <v>72985.005636064321</v>
      </c>
      <c r="AX41" s="355">
        <f>Data!CO42/AX$4*100000*AX$3</f>
        <v>70951.548961003253</v>
      </c>
      <c r="AY41" s="355">
        <f>Data!CP42/AY$4*100000*AY$3</f>
        <v>81581.87250792874</v>
      </c>
      <c r="AZ41" s="355">
        <f>Data!CQ42/AZ$4*100000*AZ$3</f>
        <v>77409.366533350534</v>
      </c>
      <c r="BA41" s="355">
        <f>Data!CR42/BA$4*100000*BA$3</f>
        <v>66626.078366052869</v>
      </c>
      <c r="BB41" s="355">
        <f>Data!CS42/BB$4*100000*BB$3</f>
        <v>51824.340165097543</v>
      </c>
      <c r="BC41" s="355">
        <f>Data!CT42/BC$4*100000*BC$3</f>
        <v>23869.884436835346</v>
      </c>
      <c r="BD41" s="355">
        <f>Data!CU42/BD$4*100000*BD$3</f>
        <v>36727.669576897249</v>
      </c>
    </row>
    <row r="42" spans="1:56" ht="12" customHeight="1">
      <c r="A42" s="66"/>
      <c r="B42" s="146" t="str">
        <f>UPPER(LEFT(TRIM(Data!B43),1)) &amp; MID(TRIM(Data!B43),2,50)</f>
        <v>Kiti limfinio, kraujodaros audinių</v>
      </c>
      <c r="C42" s="125" t="str">
        <f>UPPER(LEFT(TRIM(Data!C43),1)) &amp; MID(TRIM(Data!C43),2,50)</f>
        <v>C88, C96</v>
      </c>
      <c r="D42" s="126">
        <f>Data!BQ43</f>
        <v>6</v>
      </c>
      <c r="E42" s="127">
        <f t="shared" si="4"/>
        <v>0.37944880002479064</v>
      </c>
      <c r="F42" s="128">
        <f t="shared" si="5"/>
        <v>0.31963363235872827</v>
      </c>
      <c r="G42" s="128">
        <f t="shared" si="6"/>
        <v>0.28208154664765267</v>
      </c>
      <c r="H42" s="70"/>
      <c r="I42" s="70"/>
      <c r="J42" s="70"/>
      <c r="K42" s="70"/>
      <c r="L42" s="70"/>
      <c r="M42" s="70"/>
      <c r="N42" s="70"/>
      <c r="O42" s="70"/>
      <c r="P42" s="261"/>
      <c r="Q42" s="357" t="s">
        <v>353</v>
      </c>
      <c r="R42" s="355">
        <f t="shared" si="2"/>
        <v>31963.363235872825</v>
      </c>
      <c r="S42" s="355">
        <f>Data!CD43/S$4*100000*S$3</f>
        <v>0</v>
      </c>
      <c r="T42" s="355">
        <f>Data!CE43/T$4*100000*T$3</f>
        <v>0</v>
      </c>
      <c r="U42" s="355">
        <f>Data!CF43/U$4*100000*U$3</f>
        <v>10271.610735300592</v>
      </c>
      <c r="V42" s="355">
        <f>Data!CG43/V$4*100000*V$3</f>
        <v>0</v>
      </c>
      <c r="W42" s="355">
        <f>Data!CH43/W$4*100000*W$3</f>
        <v>0</v>
      </c>
      <c r="X42" s="355">
        <f>Data!CI43/X$4*100000*X$3</f>
        <v>0</v>
      </c>
      <c r="Y42" s="355">
        <f>Data!CJ43/Y$4*100000*Y$3</f>
        <v>0</v>
      </c>
      <c r="Z42" s="355">
        <f>Data!CK43/Z$4*100000*Z$3</f>
        <v>0</v>
      </c>
      <c r="AA42" s="355">
        <f>Data!CL43/AA$4*100000*AA$3</f>
        <v>0</v>
      </c>
      <c r="AB42" s="355">
        <f>Data!CM43/AB$4*100000*AB$3</f>
        <v>0</v>
      </c>
      <c r="AC42" s="355">
        <f>Data!CN43/AC$4*100000*AC$3</f>
        <v>11353.223098943339</v>
      </c>
      <c r="AD42" s="355">
        <f>Data!CO43/AD$4*100000*AD$3</f>
        <v>0</v>
      </c>
      <c r="AE42" s="355">
        <f>Data!CP43/AE$4*100000*AE$3</f>
        <v>0</v>
      </c>
      <c r="AF42" s="355">
        <f>Data!CQ43/AF$4*100000*AF$3</f>
        <v>0</v>
      </c>
      <c r="AG42" s="355">
        <f>Data!CR43/AG$4*100000*AG$3</f>
        <v>10338.529401628894</v>
      </c>
      <c r="AH42" s="355">
        <f>Data!CS43/AH$4*100000*AH$3</f>
        <v>0</v>
      </c>
      <c r="AI42" s="355">
        <f>Data!CT43/AI$4*100000*AI$3</f>
        <v>0</v>
      </c>
      <c r="AJ42" s="355">
        <f>Data!CU43/AJ$4*100000*AJ$3</f>
        <v>0</v>
      </c>
      <c r="AK42" s="357" t="s">
        <v>353</v>
      </c>
      <c r="AL42" s="355">
        <f t="shared" si="3"/>
        <v>28208.154664765265</v>
      </c>
      <c r="AM42" s="355">
        <f>Data!CD43/AM$4*100000*AM$3</f>
        <v>0</v>
      </c>
      <c r="AN42" s="355">
        <f>Data!CE43/AN$4*100000*AN$3</f>
        <v>0</v>
      </c>
      <c r="AO42" s="355">
        <f>Data!CF43/AO$4*100000*AO$3</f>
        <v>13206.356659672188</v>
      </c>
      <c r="AP42" s="355">
        <f>Data!CG43/AP$4*100000*AP$3</f>
        <v>0</v>
      </c>
      <c r="AQ42" s="355">
        <f>Data!CH43/AQ$4*100000*AQ$3</f>
        <v>0</v>
      </c>
      <c r="AR42" s="355">
        <f>Data!CI43/AR$4*100000*AR$3</f>
        <v>0</v>
      </c>
      <c r="AS42" s="355">
        <f>Data!CJ43/AS$4*100000*AS$3</f>
        <v>0</v>
      </c>
      <c r="AT42" s="355">
        <f>Data!CK43/AT$4*100000*AT$3</f>
        <v>0</v>
      </c>
      <c r="AU42" s="355">
        <f>Data!CL43/AU$4*100000*AU$3</f>
        <v>0</v>
      </c>
      <c r="AV42" s="355">
        <f>Data!CM43/AV$4*100000*AV$3</f>
        <v>0</v>
      </c>
      <c r="AW42" s="355">
        <f>Data!CN43/AW$4*100000*AW$3</f>
        <v>8109.4450706738144</v>
      </c>
      <c r="AX42" s="355">
        <f>Data!CO43/AX$4*100000*AX$3</f>
        <v>0</v>
      </c>
      <c r="AY42" s="355">
        <f>Data!CP43/AY$4*100000*AY$3</f>
        <v>0</v>
      </c>
      <c r="AZ42" s="355">
        <f>Data!CQ43/AZ$4*100000*AZ$3</f>
        <v>0</v>
      </c>
      <c r="BA42" s="355">
        <f>Data!CR43/BA$4*100000*BA$3</f>
        <v>6892.3529344192621</v>
      </c>
      <c r="BB42" s="355">
        <f>Data!CS43/BB$4*100000*BB$3</f>
        <v>0</v>
      </c>
      <c r="BC42" s="355">
        <f>Data!CT43/BC$4*100000*BC$3</f>
        <v>0</v>
      </c>
      <c r="BD42" s="355">
        <f>Data!CU43/BD$4*100000*BD$3</f>
        <v>0</v>
      </c>
    </row>
    <row r="43" spans="1:56" ht="24" customHeight="1">
      <c r="A43" s="66"/>
      <c r="B43" s="291"/>
      <c r="C43" s="291"/>
      <c r="D43" s="292"/>
      <c r="E43" s="293"/>
      <c r="F43" s="294"/>
      <c r="G43" s="294"/>
      <c r="H43" s="70"/>
      <c r="I43" s="70"/>
      <c r="J43" s="70"/>
      <c r="K43" s="70"/>
      <c r="L43" s="70"/>
      <c r="M43" s="70"/>
      <c r="N43" s="70"/>
      <c r="O43" s="70"/>
      <c r="P43" s="261"/>
      <c r="Q43" s="357"/>
      <c r="R43" s="355"/>
      <c r="S43" s="355"/>
      <c r="T43" s="355"/>
      <c r="U43" s="355"/>
      <c r="V43" s="355"/>
      <c r="W43" s="355"/>
      <c r="X43" s="355"/>
      <c r="Y43" s="355"/>
      <c r="Z43" s="355"/>
      <c r="AA43" s="355"/>
      <c r="AB43" s="355"/>
      <c r="AC43" s="355"/>
      <c r="AD43" s="355"/>
      <c r="AE43" s="355"/>
      <c r="AF43" s="355"/>
      <c r="AG43" s="355"/>
      <c r="AH43" s="355"/>
      <c r="AI43" s="355"/>
      <c r="AJ43" s="355"/>
      <c r="AK43" s="357"/>
      <c r="AL43" s="355"/>
      <c r="AM43" s="355"/>
      <c r="AN43" s="355"/>
      <c r="AO43" s="355"/>
      <c r="AP43" s="355"/>
      <c r="AQ43" s="355"/>
      <c r="AR43" s="355"/>
      <c r="AS43" s="355"/>
      <c r="AT43" s="355"/>
      <c r="AU43" s="355"/>
      <c r="AV43" s="355"/>
      <c r="AW43" s="355"/>
      <c r="AX43" s="355"/>
      <c r="AY43" s="355"/>
      <c r="AZ43" s="355"/>
      <c r="BA43" s="355"/>
      <c r="BB43" s="355"/>
      <c r="BC43" s="355"/>
      <c r="BD43" s="355"/>
    </row>
    <row r="44" spans="1:56" ht="12" customHeight="1">
      <c r="A44" s="66"/>
      <c r="B44" s="146" t="str">
        <f>UPPER(LEFT(TRIM(Data!B44),1)) &amp; MID(TRIM(Data!B44),2,50)</f>
        <v>Melanoma in situ</v>
      </c>
      <c r="C44" s="125" t="str">
        <f>UPPER(LEFT(TRIM(Data!C44),1)) &amp; MID(TRIM(Data!C44),2,50)</f>
        <v>D03</v>
      </c>
      <c r="D44" s="126">
        <f>Data!BQ44</f>
        <v>21</v>
      </c>
      <c r="E44" s="127">
        <f t="shared" si="4"/>
        <v>1.3280708000867674</v>
      </c>
      <c r="F44" s="128">
        <f t="shared" si="5"/>
        <v>0.78641924811859887</v>
      </c>
      <c r="G44" s="128">
        <f t="shared" si="6"/>
        <v>0.52938877280409735</v>
      </c>
      <c r="H44" s="70"/>
      <c r="I44" s="70"/>
      <c r="J44" s="70"/>
      <c r="K44" s="70"/>
      <c r="L44" s="70"/>
      <c r="M44" s="70"/>
      <c r="N44" s="70"/>
      <c r="O44" s="70"/>
      <c r="P44" s="261"/>
      <c r="Q44" s="357" t="s">
        <v>353</v>
      </c>
      <c r="R44" s="355">
        <f t="shared" si="2"/>
        <v>78641.924811859892</v>
      </c>
      <c r="S44" s="355">
        <f>Data!CD44/S$4*100000*S$3</f>
        <v>0</v>
      </c>
      <c r="T44" s="355">
        <f>Data!CE44/T$4*100000*T$3</f>
        <v>0</v>
      </c>
      <c r="U44" s="355">
        <f>Data!CF44/U$4*100000*U$3</f>
        <v>0</v>
      </c>
      <c r="V44" s="355">
        <f>Data!CG44/V$4*100000*V$3</f>
        <v>0</v>
      </c>
      <c r="W44" s="355">
        <f>Data!CH44/W$4*100000*W$3</f>
        <v>0</v>
      </c>
      <c r="X44" s="355">
        <f>Data!CI44/X$4*100000*X$3</f>
        <v>0</v>
      </c>
      <c r="Y44" s="355">
        <f>Data!CJ44/Y$4*100000*Y$3</f>
        <v>0</v>
      </c>
      <c r="Z44" s="355">
        <f>Data!CK44/Z$4*100000*Z$3</f>
        <v>0</v>
      </c>
      <c r="AA44" s="355">
        <f>Data!CL44/AA$4*100000*AA$3</f>
        <v>6629.9179784432945</v>
      </c>
      <c r="AB44" s="355">
        <f>Data!CM44/AB$4*100000*AB$3</f>
        <v>0</v>
      </c>
      <c r="AC44" s="355">
        <f>Data!CN44/AC$4*100000*AC$3</f>
        <v>0</v>
      </c>
      <c r="AD44" s="355">
        <f>Data!CO44/AD$4*100000*AD$3</f>
        <v>21285.464688300977</v>
      </c>
      <c r="AE44" s="355">
        <f>Data!CP44/AE$4*100000*AE$3</f>
        <v>10197.734063491092</v>
      </c>
      <c r="AF44" s="355">
        <f>Data!CQ44/AF$4*100000*AF$3</f>
        <v>9382.9535191940031</v>
      </c>
      <c r="AG44" s="355">
        <f>Data!CR44/AG$4*100000*AG$3</f>
        <v>13784.705868838524</v>
      </c>
      <c r="AH44" s="355">
        <f>Data!CS44/AH$4*100000*AH$3</f>
        <v>9871.3028885900076</v>
      </c>
      <c r="AI44" s="355">
        <f>Data!CT44/AI$4*100000*AI$3</f>
        <v>3292.3978533565996</v>
      </c>
      <c r="AJ44" s="355">
        <f>Data!CU44/AJ$4*100000*AJ$3</f>
        <v>4197.4479516454003</v>
      </c>
      <c r="AK44" s="357" t="s">
        <v>353</v>
      </c>
      <c r="AL44" s="355">
        <f t="shared" si="3"/>
        <v>52938.877280409732</v>
      </c>
      <c r="AM44" s="355">
        <f>Data!CD44/AM$4*100000*AM$3</f>
        <v>0</v>
      </c>
      <c r="AN44" s="355">
        <f>Data!CE44/AN$4*100000*AN$3</f>
        <v>0</v>
      </c>
      <c r="AO44" s="355">
        <f>Data!CF44/AO$4*100000*AO$3</f>
        <v>0</v>
      </c>
      <c r="AP44" s="355">
        <f>Data!CG44/AP$4*100000*AP$3</f>
        <v>0</v>
      </c>
      <c r="AQ44" s="355">
        <f>Data!CH44/AQ$4*100000*AQ$3</f>
        <v>0</v>
      </c>
      <c r="AR44" s="355">
        <f>Data!CI44/AR$4*100000*AR$3</f>
        <v>0</v>
      </c>
      <c r="AS44" s="355">
        <f>Data!CJ44/AS$4*100000*AS$3</f>
        <v>0</v>
      </c>
      <c r="AT44" s="355">
        <f>Data!CK44/AT$4*100000*AT$3</f>
        <v>0</v>
      </c>
      <c r="AU44" s="355">
        <f>Data!CL44/AU$4*100000*AU$3</f>
        <v>5682.786838665681</v>
      </c>
      <c r="AV44" s="355">
        <f>Data!CM44/AV$4*100000*AV$3</f>
        <v>0</v>
      </c>
      <c r="AW44" s="355">
        <f>Data!CN44/AW$4*100000*AW$3</f>
        <v>0</v>
      </c>
      <c r="AX44" s="355">
        <f>Data!CO44/AX$4*100000*AX$3</f>
        <v>14190.309792200653</v>
      </c>
      <c r="AY44" s="355">
        <f>Data!CP44/AY$4*100000*AY$3</f>
        <v>8158.1872507928747</v>
      </c>
      <c r="AZ44" s="355">
        <f>Data!CQ44/AZ$4*100000*AZ$3</f>
        <v>7037.2151393955028</v>
      </c>
      <c r="BA44" s="355">
        <f>Data!CR44/BA$4*100000*BA$3</f>
        <v>9189.8039125590167</v>
      </c>
      <c r="BB44" s="355">
        <f>Data!CS44/BB$4*100000*BB$3</f>
        <v>4935.6514442950038</v>
      </c>
      <c r="BC44" s="355">
        <f>Data!CT44/BC$4*100000*BC$3</f>
        <v>1646.1989266782998</v>
      </c>
      <c r="BD44" s="355">
        <f>Data!CU44/BD$4*100000*BD$3</f>
        <v>2098.7239758227001</v>
      </c>
    </row>
    <row r="45" spans="1:56" ht="12" customHeight="1">
      <c r="A45" s="66"/>
      <c r="B45" s="286" t="str">
        <f>UPPER(LEFT(TRIM(Data!B45),1)) &amp; MID(TRIM(Data!B45),2,50)</f>
        <v>Krūties navikai in situ</v>
      </c>
      <c r="C45" s="287" t="str">
        <f>UPPER(LEFT(TRIM(Data!C45),1)) &amp; MID(TRIM(Data!C45),2,50)</f>
        <v>D05</v>
      </c>
      <c r="D45" s="288">
        <f>Data!BQ45</f>
        <v>96</v>
      </c>
      <c r="E45" s="289">
        <f t="shared" si="4"/>
        <v>6.0711808003966503</v>
      </c>
      <c r="F45" s="290">
        <f t="shared" si="5"/>
        <v>5.117880734381993</v>
      </c>
      <c r="G45" s="290">
        <f t="shared" si="6"/>
        <v>3.9545437057694288</v>
      </c>
      <c r="H45" s="70"/>
      <c r="I45" s="70"/>
      <c r="J45" s="70"/>
      <c r="K45" s="70"/>
      <c r="L45" s="70"/>
      <c r="M45" s="70"/>
      <c r="N45" s="70"/>
      <c r="O45" s="70"/>
      <c r="P45" s="261"/>
      <c r="Q45" s="357" t="s">
        <v>353</v>
      </c>
      <c r="R45" s="355">
        <f t="shared" si="2"/>
        <v>511788.0734381993</v>
      </c>
      <c r="S45" s="355">
        <f>Data!CD45/S$4*100000*S$3</f>
        <v>0</v>
      </c>
      <c r="T45" s="355">
        <f>Data!CE45/T$4*100000*T$3</f>
        <v>0</v>
      </c>
      <c r="U45" s="355">
        <f>Data!CF45/U$4*100000*U$3</f>
        <v>0</v>
      </c>
      <c r="V45" s="355">
        <f>Data!CG45/V$4*100000*V$3</f>
        <v>0</v>
      </c>
      <c r="W45" s="355">
        <f>Data!CH45/W$4*100000*W$3</f>
        <v>6869.8843896598428</v>
      </c>
      <c r="X45" s="355">
        <f>Data!CI45/X$4*100000*X$3</f>
        <v>14741.186876131911</v>
      </c>
      <c r="Y45" s="355">
        <f>Data!CJ45/Y$4*100000*Y$3</f>
        <v>8026.5104172638767</v>
      </c>
      <c r="Z45" s="355">
        <f>Data!CK45/Z$4*100000*Z$3</f>
        <v>37898.88577275828</v>
      </c>
      <c r="AA45" s="355">
        <f>Data!CL45/AA$4*100000*AA$3</f>
        <v>26519.671913773178</v>
      </c>
      <c r="AB45" s="355">
        <f>Data!CM45/AB$4*100000*AB$3</f>
        <v>57143.375450117463</v>
      </c>
      <c r="AC45" s="355">
        <f>Data!CN45/AC$4*100000*AC$3</f>
        <v>107855.61943996172</v>
      </c>
      <c r="AD45" s="355">
        <f>Data!CO45/AD$4*100000*AD$3</f>
        <v>74499.126409053424</v>
      </c>
      <c r="AE45" s="355">
        <f>Data!CP45/AE$4*100000*AE$3</f>
        <v>91779.606571419834</v>
      </c>
      <c r="AF45" s="355">
        <f>Data!CQ45/AF$4*100000*AF$3</f>
        <v>46914.767595970021</v>
      </c>
      <c r="AG45" s="355">
        <f>Data!CR45/AG$4*100000*AG$3</f>
        <v>27569.411737677048</v>
      </c>
      <c r="AH45" s="355">
        <f>Data!CS45/AH$4*100000*AH$3</f>
        <v>9871.3028885900076</v>
      </c>
      <c r="AI45" s="355">
        <f>Data!CT45/AI$4*100000*AI$3</f>
        <v>0</v>
      </c>
      <c r="AJ45" s="355">
        <f>Data!CU45/AJ$4*100000*AJ$3</f>
        <v>2098.7239758227001</v>
      </c>
      <c r="AK45" s="357" t="s">
        <v>353</v>
      </c>
      <c r="AL45" s="355">
        <f t="shared" si="3"/>
        <v>395454.37057694286</v>
      </c>
      <c r="AM45" s="355">
        <f>Data!CD45/AM$4*100000*AM$3</f>
        <v>0</v>
      </c>
      <c r="AN45" s="355">
        <f>Data!CE45/AN$4*100000*AN$3</f>
        <v>0</v>
      </c>
      <c r="AO45" s="355">
        <f>Data!CF45/AO$4*100000*AO$3</f>
        <v>0</v>
      </c>
      <c r="AP45" s="355">
        <f>Data!CG45/AP$4*100000*AP$3</f>
        <v>0</v>
      </c>
      <c r="AQ45" s="355">
        <f>Data!CH45/AQ$4*100000*AQ$3</f>
        <v>7851.2964453255345</v>
      </c>
      <c r="AR45" s="355">
        <f>Data!CI45/AR$4*100000*AR$3</f>
        <v>16847.070715579328</v>
      </c>
      <c r="AS45" s="355">
        <f>Data!CJ45/AS$4*100000*AS$3</f>
        <v>6879.8660719404661</v>
      </c>
      <c r="AT45" s="355">
        <f>Data!CK45/AT$4*100000*AT$3</f>
        <v>32484.759233792811</v>
      </c>
      <c r="AU45" s="355">
        <f>Data!CL45/AU$4*100000*AU$3</f>
        <v>22731.147354662724</v>
      </c>
      <c r="AV45" s="355">
        <f>Data!CM45/AV$4*100000*AV$3</f>
        <v>48980.036100100682</v>
      </c>
      <c r="AW45" s="355">
        <f>Data!CN45/AW$4*100000*AW$3</f>
        <v>77039.728171401235</v>
      </c>
      <c r="AX45" s="355">
        <f>Data!CO45/AX$4*100000*AX$3</f>
        <v>49666.084272702283</v>
      </c>
      <c r="AY45" s="355">
        <f>Data!CP45/AY$4*100000*AY$3</f>
        <v>73423.685257135876</v>
      </c>
      <c r="AZ45" s="355">
        <f>Data!CQ45/AZ$4*100000*AZ$3</f>
        <v>35186.075696977518</v>
      </c>
      <c r="BA45" s="355">
        <f>Data!CR45/BA$4*100000*BA$3</f>
        <v>18379.607825118033</v>
      </c>
      <c r="BB45" s="355">
        <f>Data!CS45/BB$4*100000*BB$3</f>
        <v>4935.6514442950038</v>
      </c>
      <c r="BC45" s="355">
        <f>Data!CT45/BC$4*100000*BC$3</f>
        <v>0</v>
      </c>
      <c r="BD45" s="355">
        <f>Data!CU45/BD$4*100000*BD$3</f>
        <v>1049.3619879113501</v>
      </c>
    </row>
    <row r="46" spans="1:56" ht="12" customHeight="1">
      <c r="A46" s="66"/>
      <c r="B46" s="146" t="str">
        <f>UPPER(LEFT(TRIM(Data!B46),1)) &amp; MID(TRIM(Data!B46),2,50)</f>
        <v>Gimdos kaklelio in situ</v>
      </c>
      <c r="C46" s="125" t="str">
        <f>UPPER(LEFT(TRIM(Data!C46),1)) &amp; MID(TRIM(Data!C46),2,50)</f>
        <v>D06</v>
      </c>
      <c r="D46" s="126">
        <f>Data!BQ46</f>
        <v>588</v>
      </c>
      <c r="E46" s="127">
        <f t="shared" si="4"/>
        <v>37.185982402429488</v>
      </c>
      <c r="F46" s="128">
        <f t="shared" si="5"/>
        <v>41.634669545933789</v>
      </c>
      <c r="G46" s="128">
        <f t="shared" si="6"/>
        <v>37.487905249228291</v>
      </c>
      <c r="H46" s="70"/>
      <c r="I46" s="70"/>
      <c r="J46" s="70"/>
      <c r="K46" s="70"/>
      <c r="L46" s="70"/>
      <c r="M46" s="70"/>
      <c r="N46" s="70"/>
      <c r="O46" s="70"/>
      <c r="P46" s="261"/>
      <c r="Q46" s="357" t="s">
        <v>353</v>
      </c>
      <c r="R46" s="355">
        <f t="shared" si="2"/>
        <v>4163466.9545933791</v>
      </c>
      <c r="S46" s="355">
        <f>Data!CD46/S$4*100000*S$3</f>
        <v>0</v>
      </c>
      <c r="T46" s="355">
        <f>Data!CE46/T$4*100000*T$3</f>
        <v>0</v>
      </c>
      <c r="U46" s="355">
        <f>Data!CF46/U$4*100000*U$3</f>
        <v>0</v>
      </c>
      <c r="V46" s="355">
        <f>Data!CG46/V$4*100000*V$3</f>
        <v>0</v>
      </c>
      <c r="W46" s="355">
        <f>Data!CH46/W$4*100000*W$3</f>
        <v>89308.497065577947</v>
      </c>
      <c r="X46" s="355">
        <f>Data!CI46/X$4*100000*X$3</f>
        <v>744429.93724466162</v>
      </c>
      <c r="Y46" s="355">
        <f>Data!CJ46/Y$4*100000*Y$3</f>
        <v>1244109.1146759009</v>
      </c>
      <c r="Z46" s="355">
        <f>Data!CK46/Z$4*100000*Z$3</f>
        <v>750397.93830061401</v>
      </c>
      <c r="AA46" s="355">
        <f>Data!CL46/AA$4*100000*AA$3</f>
        <v>576802.86412456667</v>
      </c>
      <c r="AB46" s="355">
        <f>Data!CM46/AB$4*100000*AB$3</f>
        <v>374606.57239521446</v>
      </c>
      <c r="AC46" s="355">
        <f>Data!CN46/AC$4*100000*AC$3</f>
        <v>158945.12338520674</v>
      </c>
      <c r="AD46" s="355">
        <f>Data!CO46/AD$4*100000*AD$3</f>
        <v>138355.52047395633</v>
      </c>
      <c r="AE46" s="355">
        <f>Data!CP46/AE$4*100000*AE$3</f>
        <v>61186.404380946558</v>
      </c>
      <c r="AF46" s="355">
        <f>Data!CQ46/AF$4*100000*AF$3</f>
        <v>9382.9535191940031</v>
      </c>
      <c r="AG46" s="355">
        <f>Data!CR46/AG$4*100000*AG$3</f>
        <v>6892.3529344192621</v>
      </c>
      <c r="AH46" s="355">
        <f>Data!CS46/AH$4*100000*AH$3</f>
        <v>7403.4771664425052</v>
      </c>
      <c r="AI46" s="355">
        <f>Data!CT46/AI$4*100000*AI$3</f>
        <v>1646.1989266782998</v>
      </c>
      <c r="AJ46" s="355">
        <f>Data!CU46/AJ$4*100000*AJ$3</f>
        <v>0</v>
      </c>
      <c r="AK46" s="357" t="s">
        <v>353</v>
      </c>
      <c r="AL46" s="355">
        <f t="shared" si="3"/>
        <v>3748790.5249228291</v>
      </c>
      <c r="AM46" s="355">
        <f>Data!CD46/AM$4*100000*AM$3</f>
        <v>0</v>
      </c>
      <c r="AN46" s="355">
        <f>Data!CE46/AN$4*100000*AN$3</f>
        <v>0</v>
      </c>
      <c r="AO46" s="355">
        <f>Data!CF46/AO$4*100000*AO$3</f>
        <v>0</v>
      </c>
      <c r="AP46" s="355">
        <f>Data!CG46/AP$4*100000*AP$3</f>
        <v>0</v>
      </c>
      <c r="AQ46" s="355">
        <f>Data!CH46/AQ$4*100000*AQ$3</f>
        <v>102066.85378923194</v>
      </c>
      <c r="AR46" s="355">
        <f>Data!CI46/AR$4*100000*AR$3</f>
        <v>850777.0711367561</v>
      </c>
      <c r="AS46" s="355">
        <f>Data!CJ46/AS$4*100000*AS$3</f>
        <v>1066379.2411507722</v>
      </c>
      <c r="AT46" s="355">
        <f>Data!CK46/AT$4*100000*AT$3</f>
        <v>643198.23282909766</v>
      </c>
      <c r="AU46" s="355">
        <f>Data!CL46/AU$4*100000*AU$3</f>
        <v>494402.45496391435</v>
      </c>
      <c r="AV46" s="355">
        <f>Data!CM46/AV$4*100000*AV$3</f>
        <v>321091.34776732669</v>
      </c>
      <c r="AW46" s="355">
        <f>Data!CN46/AW$4*100000*AW$3</f>
        <v>113532.23098943339</v>
      </c>
      <c r="AX46" s="355">
        <f>Data!CO46/AX$4*100000*AX$3</f>
        <v>92237.013649304237</v>
      </c>
      <c r="AY46" s="355">
        <f>Data!CP46/AY$4*100000*AY$3</f>
        <v>48949.123504757248</v>
      </c>
      <c r="AZ46" s="355">
        <f>Data!CQ46/AZ$4*100000*AZ$3</f>
        <v>7037.2151393955028</v>
      </c>
      <c r="BA46" s="355">
        <f>Data!CR46/BA$4*100000*BA$3</f>
        <v>4594.9019562795083</v>
      </c>
      <c r="BB46" s="355">
        <f>Data!CS46/BB$4*100000*BB$3</f>
        <v>3701.7385832212526</v>
      </c>
      <c r="BC46" s="355">
        <f>Data!CT46/BC$4*100000*BC$3</f>
        <v>823.09946333914991</v>
      </c>
      <c r="BD46" s="355">
        <f>Data!CU46/BD$4*100000*BD$3</f>
        <v>0</v>
      </c>
    </row>
    <row r="47" spans="1:56" ht="12" customHeight="1">
      <c r="A47" s="66"/>
      <c r="B47" s="286" t="str">
        <f>UPPER(LEFT(TRIM(Data!B47),1)) &amp; MID(TRIM(Data!B47),2,50)</f>
        <v>Šlapimo pūslės in situ</v>
      </c>
      <c r="C47" s="287" t="str">
        <f>UPPER(LEFT(TRIM(Data!C47),1)) &amp; MID(TRIM(Data!C47),2,50)</f>
        <v>D09.0</v>
      </c>
      <c r="D47" s="288">
        <f>Data!BQ47</f>
        <v>37</v>
      </c>
      <c r="E47" s="289">
        <f t="shared" si="4"/>
        <v>2.3399342668195424</v>
      </c>
      <c r="F47" s="290">
        <f t="shared" si="5"/>
        <v>1.4100054375542348</v>
      </c>
      <c r="G47" s="290">
        <f t="shared" si="6"/>
        <v>0.986179632037398</v>
      </c>
      <c r="H47" s="70"/>
      <c r="I47" s="70"/>
      <c r="J47" s="70"/>
      <c r="K47" s="70"/>
      <c r="L47" s="70"/>
      <c r="M47" s="70"/>
      <c r="N47" s="70"/>
      <c r="O47" s="70"/>
      <c r="P47" s="261"/>
      <c r="Q47" s="357" t="s">
        <v>353</v>
      </c>
      <c r="R47" s="355">
        <f t="shared" si="2"/>
        <v>141000.54375542348</v>
      </c>
      <c r="S47" s="355">
        <f>Data!CD47/S$4*100000*S$3</f>
        <v>0</v>
      </c>
      <c r="T47" s="355">
        <f>Data!CE47/T$4*100000*T$3</f>
        <v>0</v>
      </c>
      <c r="U47" s="355">
        <f>Data!CF47/U$4*100000*U$3</f>
        <v>0</v>
      </c>
      <c r="V47" s="355">
        <f>Data!CG47/V$4*100000*V$3</f>
        <v>0</v>
      </c>
      <c r="W47" s="355">
        <f>Data!CH47/W$4*100000*W$3</f>
        <v>0</v>
      </c>
      <c r="X47" s="355">
        <f>Data!CI47/X$4*100000*X$3</f>
        <v>0</v>
      </c>
      <c r="Y47" s="355">
        <f>Data!CJ47/Y$4*100000*Y$3</f>
        <v>0</v>
      </c>
      <c r="Z47" s="355">
        <f>Data!CK47/Z$4*100000*Z$3</f>
        <v>0</v>
      </c>
      <c r="AA47" s="355">
        <f>Data!CL47/AA$4*100000*AA$3</f>
        <v>0</v>
      </c>
      <c r="AB47" s="355">
        <f>Data!CM47/AB$4*100000*AB$3</f>
        <v>6349.2639389019405</v>
      </c>
      <c r="AC47" s="355">
        <f>Data!CN47/AC$4*100000*AC$3</f>
        <v>5676.6115494716696</v>
      </c>
      <c r="AD47" s="355">
        <f>Data!CO47/AD$4*100000*AD$3</f>
        <v>10642.732344150489</v>
      </c>
      <c r="AE47" s="355">
        <f>Data!CP47/AE$4*100000*AE$3</f>
        <v>50988.670317455457</v>
      </c>
      <c r="AF47" s="355">
        <f>Data!CQ47/AF$4*100000*AF$3</f>
        <v>18765.907038388006</v>
      </c>
      <c r="AG47" s="355">
        <f>Data!CR47/AG$4*100000*AG$3</f>
        <v>17230.882336048155</v>
      </c>
      <c r="AH47" s="355">
        <f>Data!CS47/AH$4*100000*AH$3</f>
        <v>22210.431499327518</v>
      </c>
      <c r="AI47" s="355">
        <f>Data!CT47/AI$4*100000*AI$3</f>
        <v>4938.596780034899</v>
      </c>
      <c r="AJ47" s="355">
        <f>Data!CU47/AJ$4*100000*AJ$3</f>
        <v>4197.4479516454003</v>
      </c>
      <c r="AK47" s="357" t="s">
        <v>353</v>
      </c>
      <c r="AL47" s="355">
        <f t="shared" si="3"/>
        <v>98617.963203739797</v>
      </c>
      <c r="AM47" s="355">
        <f>Data!CD47/AM$4*100000*AM$3</f>
        <v>0</v>
      </c>
      <c r="AN47" s="355">
        <f>Data!CE47/AN$4*100000*AN$3</f>
        <v>0</v>
      </c>
      <c r="AO47" s="355">
        <f>Data!CF47/AO$4*100000*AO$3</f>
        <v>0</v>
      </c>
      <c r="AP47" s="355">
        <f>Data!CG47/AP$4*100000*AP$3</f>
        <v>0</v>
      </c>
      <c r="AQ47" s="355">
        <f>Data!CH47/AQ$4*100000*AQ$3</f>
        <v>0</v>
      </c>
      <c r="AR47" s="355">
        <f>Data!CI47/AR$4*100000*AR$3</f>
        <v>0</v>
      </c>
      <c r="AS47" s="355">
        <f>Data!CJ47/AS$4*100000*AS$3</f>
        <v>0</v>
      </c>
      <c r="AT47" s="355">
        <f>Data!CK47/AT$4*100000*AT$3</f>
        <v>0</v>
      </c>
      <c r="AU47" s="355">
        <f>Data!CL47/AU$4*100000*AU$3</f>
        <v>0</v>
      </c>
      <c r="AV47" s="355">
        <f>Data!CM47/AV$4*100000*AV$3</f>
        <v>5442.2262333445206</v>
      </c>
      <c r="AW47" s="355">
        <f>Data!CN47/AW$4*100000*AW$3</f>
        <v>4054.7225353369072</v>
      </c>
      <c r="AX47" s="355">
        <f>Data!CO47/AX$4*100000*AX$3</f>
        <v>7095.1548961003264</v>
      </c>
      <c r="AY47" s="355">
        <f>Data!CP47/AY$4*100000*AY$3</f>
        <v>40790.93625396437</v>
      </c>
      <c r="AZ47" s="355">
        <f>Data!CQ47/AZ$4*100000*AZ$3</f>
        <v>14074.430278791006</v>
      </c>
      <c r="BA47" s="355">
        <f>Data!CR47/BA$4*100000*BA$3</f>
        <v>11487.25489069877</v>
      </c>
      <c r="BB47" s="355">
        <f>Data!CS47/BB$4*100000*BB$3</f>
        <v>11105.215749663759</v>
      </c>
      <c r="BC47" s="355">
        <f>Data!CT47/BC$4*100000*BC$3</f>
        <v>2469.2983900174495</v>
      </c>
      <c r="BD47" s="355">
        <f>Data!CU47/BD$4*100000*BD$3</f>
        <v>2098.7239758227001</v>
      </c>
    </row>
    <row r="48" spans="1:56" ht="12" customHeight="1">
      <c r="A48" s="66"/>
      <c r="B48" s="146" t="str">
        <f>UPPER(LEFT(TRIM(Data!B48),1)) &amp; MID(TRIM(Data!B48),2,50)</f>
        <v>Nervų sistemos gerybiniai navikai</v>
      </c>
      <c r="C48" s="125" t="str">
        <f>UPPER(LEFT(TRIM(Data!C48),1)) &amp; MID(TRIM(Data!C48),2,50)</f>
        <v>D32, D33</v>
      </c>
      <c r="D48" s="126">
        <f>Data!BQ48</f>
        <v>141</v>
      </c>
      <c r="E48" s="127">
        <f t="shared" si="4"/>
        <v>8.9170468005825807</v>
      </c>
      <c r="F48" s="128">
        <f t="shared" si="5"/>
        <v>5.6793057257001172</v>
      </c>
      <c r="G48" s="128">
        <f t="shared" si="6"/>
        <v>4.1386413032949854</v>
      </c>
      <c r="H48" s="70"/>
      <c r="I48" s="70"/>
      <c r="J48" s="70"/>
      <c r="K48" s="70"/>
      <c r="L48" s="70"/>
      <c r="M48" s="70"/>
      <c r="N48" s="70"/>
      <c r="O48" s="70"/>
      <c r="P48" s="261"/>
      <c r="Q48" s="357" t="s">
        <v>353</v>
      </c>
      <c r="R48" s="355">
        <f t="shared" si="2"/>
        <v>567930.57257001172</v>
      </c>
      <c r="S48" s="355">
        <f>Data!CD48/S$4*100000*S$3</f>
        <v>0</v>
      </c>
      <c r="T48" s="355">
        <f>Data!CE48/T$4*100000*T$3</f>
        <v>0</v>
      </c>
      <c r="U48" s="355">
        <f>Data!CF48/U$4*100000*U$3</f>
        <v>0</v>
      </c>
      <c r="V48" s="355">
        <f>Data!CG48/V$4*100000*V$3</f>
        <v>0</v>
      </c>
      <c r="W48" s="355">
        <f>Data!CH48/W$4*100000*W$3</f>
        <v>13739.768779319686</v>
      </c>
      <c r="X48" s="355">
        <f>Data!CI48/X$4*100000*X$3</f>
        <v>22111.780314197869</v>
      </c>
      <c r="Y48" s="355">
        <f>Data!CJ48/Y$4*100000*Y$3</f>
        <v>8026.5104172638767</v>
      </c>
      <c r="Z48" s="355">
        <f>Data!CK48/Z$4*100000*Z$3</f>
        <v>0</v>
      </c>
      <c r="AA48" s="355">
        <f>Data!CL48/AA$4*100000*AA$3</f>
        <v>19889.753935329885</v>
      </c>
      <c r="AB48" s="355">
        <f>Data!CM48/AB$4*100000*AB$3</f>
        <v>50794.111511215524</v>
      </c>
      <c r="AC48" s="355">
        <f>Data!CN48/AC$4*100000*AC$3</f>
        <v>62442.727044188367</v>
      </c>
      <c r="AD48" s="355">
        <f>Data!CO48/AD$4*100000*AD$3</f>
        <v>42570.929376601955</v>
      </c>
      <c r="AE48" s="355">
        <f>Data!CP48/AE$4*100000*AE$3</f>
        <v>91779.606571419834</v>
      </c>
      <c r="AF48" s="355">
        <f>Data!CQ48/AF$4*100000*AF$3</f>
        <v>56297.721115164022</v>
      </c>
      <c r="AG48" s="355">
        <f>Data!CR48/AG$4*100000*AG$3</f>
        <v>99939.117549079296</v>
      </c>
      <c r="AH48" s="355">
        <f>Data!CS48/AH$4*100000*AH$3</f>
        <v>61695.643053687549</v>
      </c>
      <c r="AI48" s="355">
        <f>Data!CT48/AI$4*100000*AI$3</f>
        <v>19754.387120139596</v>
      </c>
      <c r="AJ48" s="355">
        <f>Data!CU48/AJ$4*100000*AJ$3</f>
        <v>18888.515782404298</v>
      </c>
      <c r="AK48" s="357" t="s">
        <v>353</v>
      </c>
      <c r="AL48" s="355">
        <f t="shared" si="3"/>
        <v>413864.1303294985</v>
      </c>
      <c r="AM48" s="355">
        <f>Data!CD48/AM$4*100000*AM$3</f>
        <v>0</v>
      </c>
      <c r="AN48" s="355">
        <f>Data!CE48/AN$4*100000*AN$3</f>
        <v>0</v>
      </c>
      <c r="AO48" s="355">
        <f>Data!CF48/AO$4*100000*AO$3</f>
        <v>0</v>
      </c>
      <c r="AP48" s="355">
        <f>Data!CG48/AP$4*100000*AP$3</f>
        <v>0</v>
      </c>
      <c r="AQ48" s="355">
        <f>Data!CH48/AQ$4*100000*AQ$3</f>
        <v>15702.592890651069</v>
      </c>
      <c r="AR48" s="355">
        <f>Data!CI48/AR$4*100000*AR$3</f>
        <v>25270.606073368996</v>
      </c>
      <c r="AS48" s="355">
        <f>Data!CJ48/AS$4*100000*AS$3</f>
        <v>6879.8660719404661</v>
      </c>
      <c r="AT48" s="355">
        <f>Data!CK48/AT$4*100000*AT$3</f>
        <v>0</v>
      </c>
      <c r="AU48" s="355">
        <f>Data!CL48/AU$4*100000*AU$3</f>
        <v>17048.360515997047</v>
      </c>
      <c r="AV48" s="355">
        <f>Data!CM48/AV$4*100000*AV$3</f>
        <v>43537.809866756164</v>
      </c>
      <c r="AW48" s="355">
        <f>Data!CN48/AW$4*100000*AW$3</f>
        <v>44601.947888705974</v>
      </c>
      <c r="AX48" s="355">
        <f>Data!CO48/AX$4*100000*AX$3</f>
        <v>28380.619584401305</v>
      </c>
      <c r="AY48" s="355">
        <f>Data!CP48/AY$4*100000*AY$3</f>
        <v>73423.685257135876</v>
      </c>
      <c r="AZ48" s="355">
        <f>Data!CQ48/AZ$4*100000*AZ$3</f>
        <v>42223.290836373017</v>
      </c>
      <c r="BA48" s="355">
        <f>Data!CR48/BA$4*100000*BA$3</f>
        <v>66626.078366052869</v>
      </c>
      <c r="BB48" s="355">
        <f>Data!CS48/BB$4*100000*BB$3</f>
        <v>30847.821526843774</v>
      </c>
      <c r="BC48" s="355">
        <f>Data!CT48/BC$4*100000*BC$3</f>
        <v>9877.193560069798</v>
      </c>
      <c r="BD48" s="355">
        <f>Data!CU48/BD$4*100000*BD$3</f>
        <v>9444.257891202149</v>
      </c>
    </row>
    <row r="49" spans="1:56" ht="12" customHeight="1">
      <c r="A49" s="66"/>
      <c r="B49" s="286" t="str">
        <f>UPPER(LEFT(TRIM(Data!B49),1)) &amp; MID(TRIM(Data!B49),2,50)</f>
        <v>Kiaušidžių</v>
      </c>
      <c r="C49" s="287" t="str">
        <f>UPPER(LEFT(TRIM(Data!C49),1)) &amp; MID(TRIM(Data!C49),2,50)</f>
        <v>D39.1</v>
      </c>
      <c r="D49" s="288">
        <f>Data!BQ49</f>
        <v>64</v>
      </c>
      <c r="E49" s="289">
        <f t="shared" si="4"/>
        <v>4.0474538669311002</v>
      </c>
      <c r="F49" s="290">
        <f t="shared" si="5"/>
        <v>3.5876358186260302</v>
      </c>
      <c r="G49" s="290">
        <f t="shared" si="6"/>
        <v>2.9569150818513723</v>
      </c>
      <c r="H49" s="70"/>
      <c r="I49" s="70"/>
      <c r="J49" s="70"/>
      <c r="K49" s="70"/>
      <c r="L49" s="70"/>
      <c r="M49" s="70"/>
      <c r="N49" s="70"/>
      <c r="O49" s="70"/>
      <c r="P49" s="261"/>
      <c r="Q49" s="357" t="s">
        <v>353</v>
      </c>
      <c r="R49" s="355">
        <f t="shared" si="2"/>
        <v>358763.58186260302</v>
      </c>
      <c r="S49" s="355">
        <f>Data!CD49/S$4*100000*S$3</f>
        <v>0</v>
      </c>
      <c r="T49" s="355">
        <f>Data!CE49/T$4*100000*T$3</f>
        <v>0</v>
      </c>
      <c r="U49" s="355">
        <f>Data!CF49/U$4*100000*U$3</f>
        <v>10271.610735300592</v>
      </c>
      <c r="V49" s="355">
        <f>Data!CG49/V$4*100000*V$3</f>
        <v>8282.8474062854984</v>
      </c>
      <c r="W49" s="355">
        <f>Data!CH49/W$4*100000*W$3</f>
        <v>20609.653168979527</v>
      </c>
      <c r="X49" s="355">
        <f>Data!CI49/X$4*100000*X$3</f>
        <v>7370.5934380659555</v>
      </c>
      <c r="Y49" s="355">
        <f>Data!CJ49/Y$4*100000*Y$3</f>
        <v>24079.531251791632</v>
      </c>
      <c r="Z49" s="355">
        <f>Data!CK49/Z$4*100000*Z$3</f>
        <v>30319.108618206621</v>
      </c>
      <c r="AA49" s="355">
        <f>Data!CL49/AA$4*100000*AA$3</f>
        <v>53039.343827546356</v>
      </c>
      <c r="AB49" s="355">
        <f>Data!CM49/AB$4*100000*AB$3</f>
        <v>25397.055755607762</v>
      </c>
      <c r="AC49" s="355">
        <f>Data!CN49/AC$4*100000*AC$3</f>
        <v>68119.338593660039</v>
      </c>
      <c r="AD49" s="355">
        <f>Data!CO49/AD$4*100000*AD$3</f>
        <v>31928.197032451466</v>
      </c>
      <c r="AE49" s="355">
        <f>Data!CP49/AE$4*100000*AE$3</f>
        <v>25494.335158727728</v>
      </c>
      <c r="AF49" s="355">
        <f>Data!CQ49/AF$4*100000*AF$3</f>
        <v>23457.38379798501</v>
      </c>
      <c r="AG49" s="355">
        <f>Data!CR49/AG$4*100000*AG$3</f>
        <v>17230.882336048155</v>
      </c>
      <c r="AH49" s="355">
        <f>Data!CS49/AH$4*100000*AH$3</f>
        <v>9871.3028885900076</v>
      </c>
      <c r="AI49" s="355">
        <f>Data!CT49/AI$4*100000*AI$3</f>
        <v>3292.3978533565996</v>
      </c>
      <c r="AJ49" s="355">
        <f>Data!CU49/AJ$4*100000*AJ$3</f>
        <v>0</v>
      </c>
      <c r="AK49" s="357" t="s">
        <v>353</v>
      </c>
      <c r="AL49" s="355">
        <f t="shared" si="3"/>
        <v>295691.50818513724</v>
      </c>
      <c r="AM49" s="355">
        <f>Data!CD49/AM$4*100000*AM$3</f>
        <v>0</v>
      </c>
      <c r="AN49" s="355">
        <f>Data!CE49/AN$4*100000*AN$3</f>
        <v>0</v>
      </c>
      <c r="AO49" s="355">
        <f>Data!CF49/AO$4*100000*AO$3</f>
        <v>13206.356659672188</v>
      </c>
      <c r="AP49" s="355">
        <f>Data!CG49/AP$4*100000*AP$3</f>
        <v>10649.375236652784</v>
      </c>
      <c r="AQ49" s="355">
        <f>Data!CH49/AQ$4*100000*AQ$3</f>
        <v>23553.889335976604</v>
      </c>
      <c r="AR49" s="355">
        <f>Data!CI49/AR$4*100000*AR$3</f>
        <v>8423.535357789664</v>
      </c>
      <c r="AS49" s="355">
        <f>Data!CJ49/AS$4*100000*AS$3</f>
        <v>20639.598215821399</v>
      </c>
      <c r="AT49" s="355">
        <f>Data!CK49/AT$4*100000*AT$3</f>
        <v>25987.807387034245</v>
      </c>
      <c r="AU49" s="355">
        <f>Data!CL49/AU$4*100000*AU$3</f>
        <v>45462.294709325448</v>
      </c>
      <c r="AV49" s="355">
        <f>Data!CM49/AV$4*100000*AV$3</f>
        <v>21768.904933378082</v>
      </c>
      <c r="AW49" s="355">
        <f>Data!CN49/AW$4*100000*AW$3</f>
        <v>48656.670424042881</v>
      </c>
      <c r="AX49" s="355">
        <f>Data!CO49/AX$4*100000*AX$3</f>
        <v>21285.464688300977</v>
      </c>
      <c r="AY49" s="355">
        <f>Data!CP49/AY$4*100000*AY$3</f>
        <v>20395.468126982185</v>
      </c>
      <c r="AZ49" s="355">
        <f>Data!CQ49/AZ$4*100000*AZ$3</f>
        <v>17593.037848488759</v>
      </c>
      <c r="BA49" s="355">
        <f>Data!CR49/BA$4*100000*BA$3</f>
        <v>11487.25489069877</v>
      </c>
      <c r="BB49" s="355">
        <f>Data!CS49/BB$4*100000*BB$3</f>
        <v>4935.6514442950038</v>
      </c>
      <c r="BC49" s="355">
        <f>Data!CT49/BC$4*100000*BC$3</f>
        <v>1646.1989266782998</v>
      </c>
      <c r="BD49" s="355">
        <f>Data!CU49/BD$4*100000*BD$3</f>
        <v>0</v>
      </c>
    </row>
    <row r="50" spans="1:56" ht="12" customHeight="1">
      <c r="A50" s="66"/>
      <c r="B50" s="146" t="str">
        <f>UPPER(LEFT(TRIM(Data!B50),1)) &amp; MID(TRIM(Data!B50),2,50)</f>
        <v>Kiti nervų sistemos</v>
      </c>
      <c r="C50" s="125" t="str">
        <f>UPPER(LEFT(TRIM(Data!C50),1)) &amp; MID(TRIM(Data!C50),2,50)</f>
        <v>D42, D43</v>
      </c>
      <c r="D50" s="126">
        <f>Data!BQ50</f>
        <v>26</v>
      </c>
      <c r="E50" s="127">
        <f t="shared" si="4"/>
        <v>1.6442781334407595</v>
      </c>
      <c r="F50" s="128">
        <f t="shared" si="5"/>
        <v>1.3765809330170966</v>
      </c>
      <c r="G50" s="128">
        <f t="shared" si="6"/>
        <v>1.2857110535747831</v>
      </c>
      <c r="H50" s="70"/>
      <c r="I50" s="70"/>
      <c r="J50" s="70"/>
      <c r="K50" s="70"/>
      <c r="L50" s="70"/>
      <c r="M50" s="70"/>
      <c r="N50" s="70"/>
      <c r="O50" s="70"/>
      <c r="P50" s="261"/>
      <c r="Q50" s="357" t="s">
        <v>353</v>
      </c>
      <c r="R50" s="355">
        <f t="shared" si="2"/>
        <v>137658.09330170965</v>
      </c>
      <c r="S50" s="355">
        <f>Data!CD50/S$4*100000*S$3</f>
        <v>0</v>
      </c>
      <c r="T50" s="355">
        <f>Data!CE50/T$4*100000*T$3</f>
        <v>10463.065379211384</v>
      </c>
      <c r="U50" s="355">
        <f>Data!CF50/U$4*100000*U$3</f>
        <v>10271.610735300592</v>
      </c>
      <c r="V50" s="355">
        <f>Data!CG50/V$4*100000*V$3</f>
        <v>24848.542218856495</v>
      </c>
      <c r="W50" s="355">
        <f>Data!CH50/W$4*100000*W$3</f>
        <v>6869.8843896598428</v>
      </c>
      <c r="X50" s="355">
        <f>Data!CI50/X$4*100000*X$3</f>
        <v>0</v>
      </c>
      <c r="Y50" s="355">
        <f>Data!CJ50/Y$4*100000*Y$3</f>
        <v>8026.5104172638767</v>
      </c>
      <c r="Z50" s="355">
        <f>Data!CK50/Z$4*100000*Z$3</f>
        <v>7579.7771545516553</v>
      </c>
      <c r="AA50" s="355">
        <f>Data!CL50/AA$4*100000*AA$3</f>
        <v>6629.9179784432945</v>
      </c>
      <c r="AB50" s="355">
        <f>Data!CM50/AB$4*100000*AB$3</f>
        <v>0</v>
      </c>
      <c r="AC50" s="355">
        <f>Data!CN50/AC$4*100000*AC$3</f>
        <v>5676.6115494716696</v>
      </c>
      <c r="AD50" s="355">
        <f>Data!CO50/AD$4*100000*AD$3</f>
        <v>15964.098516225733</v>
      </c>
      <c r="AE50" s="355">
        <f>Data!CP50/AE$4*100000*AE$3</f>
        <v>5098.8670317455462</v>
      </c>
      <c r="AF50" s="355">
        <f>Data!CQ50/AF$4*100000*AF$3</f>
        <v>14074.430278791006</v>
      </c>
      <c r="AG50" s="355">
        <f>Data!CR50/AG$4*100000*AG$3</f>
        <v>6892.3529344192621</v>
      </c>
      <c r="AH50" s="355">
        <f>Data!CS50/AH$4*100000*AH$3</f>
        <v>9871.3028885900076</v>
      </c>
      <c r="AI50" s="355">
        <f>Data!CT50/AI$4*100000*AI$3</f>
        <v>3292.3978533565996</v>
      </c>
      <c r="AJ50" s="355">
        <f>Data!CU50/AJ$4*100000*AJ$3</f>
        <v>2098.7239758227001</v>
      </c>
      <c r="AK50" s="357" t="s">
        <v>353</v>
      </c>
      <c r="AL50" s="355">
        <f t="shared" si="3"/>
        <v>128571.1053574783</v>
      </c>
      <c r="AM50" s="355">
        <f>Data!CD50/AM$4*100000*AM$3</f>
        <v>0</v>
      </c>
      <c r="AN50" s="355">
        <f>Data!CE50/AN$4*100000*AN$3</f>
        <v>14947.236256016264</v>
      </c>
      <c r="AO50" s="355">
        <f>Data!CF50/AO$4*100000*AO$3</f>
        <v>13206.356659672188</v>
      </c>
      <c r="AP50" s="355">
        <f>Data!CG50/AP$4*100000*AP$3</f>
        <v>31948.125709958353</v>
      </c>
      <c r="AQ50" s="355">
        <f>Data!CH50/AQ$4*100000*AQ$3</f>
        <v>7851.2964453255345</v>
      </c>
      <c r="AR50" s="355">
        <f>Data!CI50/AR$4*100000*AR$3</f>
        <v>0</v>
      </c>
      <c r="AS50" s="355">
        <f>Data!CJ50/AS$4*100000*AS$3</f>
        <v>6879.8660719404661</v>
      </c>
      <c r="AT50" s="355">
        <f>Data!CK50/AT$4*100000*AT$3</f>
        <v>6496.9518467585613</v>
      </c>
      <c r="AU50" s="355">
        <f>Data!CL50/AU$4*100000*AU$3</f>
        <v>5682.786838665681</v>
      </c>
      <c r="AV50" s="355">
        <f>Data!CM50/AV$4*100000*AV$3</f>
        <v>0</v>
      </c>
      <c r="AW50" s="355">
        <f>Data!CN50/AW$4*100000*AW$3</f>
        <v>4054.7225353369072</v>
      </c>
      <c r="AX50" s="355">
        <f>Data!CO50/AX$4*100000*AX$3</f>
        <v>10642.732344150489</v>
      </c>
      <c r="AY50" s="355">
        <f>Data!CP50/AY$4*100000*AY$3</f>
        <v>4079.0936253964373</v>
      </c>
      <c r="AZ50" s="355">
        <f>Data!CQ50/AZ$4*100000*AZ$3</f>
        <v>10555.822709093254</v>
      </c>
      <c r="BA50" s="355">
        <f>Data!CR50/BA$4*100000*BA$3</f>
        <v>4594.9019562795083</v>
      </c>
      <c r="BB50" s="355">
        <f>Data!CS50/BB$4*100000*BB$3</f>
        <v>4935.6514442950038</v>
      </c>
      <c r="BC50" s="355">
        <f>Data!CT50/BC$4*100000*BC$3</f>
        <v>1646.1989266782998</v>
      </c>
      <c r="BD50" s="355">
        <f>Data!CU50/BD$4*100000*BD$3</f>
        <v>1049.3619879113501</v>
      </c>
    </row>
    <row r="51" spans="1:56" ht="12" customHeight="1">
      <c r="A51" s="66"/>
      <c r="B51" s="286" t="str">
        <f>UPPER(LEFT(TRIM(Data!B51),1)) &amp; MID(TRIM(Data!B51),2,50)</f>
        <v>Limfinio ir kraujodaros audinių</v>
      </c>
      <c r="C51" s="287" t="str">
        <f>UPPER(LEFT(TRIM(Data!C51),1)) &amp; MID(TRIM(Data!C51),2,50)</f>
        <v>D45-D47</v>
      </c>
      <c r="D51" s="288">
        <f>Data!BQ51</f>
        <v>209</v>
      </c>
      <c r="E51" s="289">
        <f t="shared" si="4"/>
        <v>13.217466534196873</v>
      </c>
      <c r="F51" s="290">
        <f t="shared" si="5"/>
        <v>8.3133355194298186</v>
      </c>
      <c r="G51" s="290">
        <f t="shared" si="6"/>
        <v>6.0381439692531309</v>
      </c>
      <c r="H51" s="70"/>
      <c r="I51" s="70"/>
      <c r="J51" s="70"/>
      <c r="K51" s="70"/>
      <c r="L51" s="70"/>
      <c r="M51" s="70"/>
      <c r="N51" s="70"/>
      <c r="O51" s="70"/>
      <c r="P51" s="261"/>
      <c r="Q51" s="357" t="s">
        <v>353</v>
      </c>
      <c r="R51" s="355">
        <f t="shared" si="2"/>
        <v>831333.5519429819</v>
      </c>
      <c r="S51" s="355">
        <f>Data!CD51/S$4*100000*S$3</f>
        <v>0</v>
      </c>
      <c r="T51" s="355">
        <f>Data!CE51/T$4*100000*T$3</f>
        <v>0</v>
      </c>
      <c r="U51" s="355">
        <f>Data!CF51/U$4*100000*U$3</f>
        <v>0</v>
      </c>
      <c r="V51" s="355">
        <f>Data!CG51/V$4*100000*V$3</f>
        <v>0</v>
      </c>
      <c r="W51" s="355">
        <f>Data!CH51/W$4*100000*W$3</f>
        <v>13739.768779319686</v>
      </c>
      <c r="X51" s="355">
        <f>Data!CI51/X$4*100000*X$3</f>
        <v>22111.780314197869</v>
      </c>
      <c r="Y51" s="355">
        <f>Data!CJ51/Y$4*100000*Y$3</f>
        <v>32106.041669055507</v>
      </c>
      <c r="Z51" s="355">
        <f>Data!CK51/Z$4*100000*Z$3</f>
        <v>30319.108618206621</v>
      </c>
      <c r="AA51" s="355">
        <f>Data!CL51/AA$4*100000*AA$3</f>
        <v>26519.671913773178</v>
      </c>
      <c r="AB51" s="355">
        <f>Data!CM51/AB$4*100000*AB$3</f>
        <v>50794.111511215524</v>
      </c>
      <c r="AC51" s="355">
        <f>Data!CN51/AC$4*100000*AC$3</f>
        <v>102179.00789049006</v>
      </c>
      <c r="AD51" s="355">
        <f>Data!CO51/AD$4*100000*AD$3</f>
        <v>42570.929376601955</v>
      </c>
      <c r="AE51" s="355">
        <f>Data!CP51/AE$4*100000*AE$3</f>
        <v>137669.40985712974</v>
      </c>
      <c r="AF51" s="355">
        <f>Data!CQ51/AF$4*100000*AF$3</f>
        <v>131361.34926871606</v>
      </c>
      <c r="AG51" s="355">
        <f>Data!CR51/AG$4*100000*AG$3</f>
        <v>72369.705811402251</v>
      </c>
      <c r="AH51" s="355">
        <f>Data!CS51/AH$4*100000*AH$3</f>
        <v>74034.771664425061</v>
      </c>
      <c r="AI51" s="355">
        <f>Data!CT51/AI$4*100000*AI$3</f>
        <v>49385.967800348997</v>
      </c>
      <c r="AJ51" s="355">
        <f>Data!CU51/AJ$4*100000*AJ$3</f>
        <v>46171.927468099399</v>
      </c>
      <c r="AK51" s="357" t="s">
        <v>353</v>
      </c>
      <c r="AL51" s="355">
        <f t="shared" si="3"/>
        <v>603814.39692531305</v>
      </c>
      <c r="AM51" s="355">
        <f>Data!CD51/AM$4*100000*AM$3</f>
        <v>0</v>
      </c>
      <c r="AN51" s="355">
        <f>Data!CE51/AN$4*100000*AN$3</f>
        <v>0</v>
      </c>
      <c r="AO51" s="355">
        <f>Data!CF51/AO$4*100000*AO$3</f>
        <v>0</v>
      </c>
      <c r="AP51" s="355">
        <f>Data!CG51/AP$4*100000*AP$3</f>
        <v>0</v>
      </c>
      <c r="AQ51" s="355">
        <f>Data!CH51/AQ$4*100000*AQ$3</f>
        <v>15702.592890651069</v>
      </c>
      <c r="AR51" s="355">
        <f>Data!CI51/AR$4*100000*AR$3</f>
        <v>25270.606073368996</v>
      </c>
      <c r="AS51" s="355">
        <f>Data!CJ51/AS$4*100000*AS$3</f>
        <v>27519.464287761864</v>
      </c>
      <c r="AT51" s="355">
        <f>Data!CK51/AT$4*100000*AT$3</f>
        <v>25987.807387034245</v>
      </c>
      <c r="AU51" s="355">
        <f>Data!CL51/AU$4*100000*AU$3</f>
        <v>22731.147354662724</v>
      </c>
      <c r="AV51" s="355">
        <f>Data!CM51/AV$4*100000*AV$3</f>
        <v>43537.809866756164</v>
      </c>
      <c r="AW51" s="355">
        <f>Data!CN51/AW$4*100000*AW$3</f>
        <v>72985.005636064321</v>
      </c>
      <c r="AX51" s="355">
        <f>Data!CO51/AX$4*100000*AX$3</f>
        <v>28380.619584401305</v>
      </c>
      <c r="AY51" s="355">
        <f>Data!CP51/AY$4*100000*AY$3</f>
        <v>110135.52788570379</v>
      </c>
      <c r="AZ51" s="355">
        <f>Data!CQ51/AZ$4*100000*AZ$3</f>
        <v>98521.011951537046</v>
      </c>
      <c r="BA51" s="355">
        <f>Data!CR51/BA$4*100000*BA$3</f>
        <v>48246.470540934832</v>
      </c>
      <c r="BB51" s="355">
        <f>Data!CS51/BB$4*100000*BB$3</f>
        <v>37017.385832212531</v>
      </c>
      <c r="BC51" s="355">
        <f>Data!CT51/BC$4*100000*BC$3</f>
        <v>24692.983900174499</v>
      </c>
      <c r="BD51" s="355">
        <f>Data!CU51/BD$4*100000*BD$3</f>
        <v>23085.963734049699</v>
      </c>
    </row>
    <row r="52" spans="1:56">
      <c r="A52" s="66"/>
      <c r="B52" s="66"/>
      <c r="C52" s="66"/>
      <c r="D52" s="66"/>
      <c r="E52" s="66"/>
      <c r="F52" s="66"/>
      <c r="G52" s="66"/>
      <c r="H52" s="70"/>
      <c r="I52" s="70"/>
      <c r="J52" s="70"/>
      <c r="K52" s="70"/>
      <c r="L52" s="70"/>
      <c r="M52" s="70"/>
      <c r="N52" s="70"/>
      <c r="O52" s="70"/>
      <c r="P52" s="261"/>
      <c r="Q52" s="350"/>
      <c r="R52" s="350"/>
      <c r="S52" s="350"/>
      <c r="T52" s="350"/>
      <c r="U52" s="350"/>
      <c r="V52" s="350"/>
      <c r="W52" s="350"/>
      <c r="X52" s="350"/>
      <c r="Y52" s="350"/>
      <c r="Z52" s="350"/>
      <c r="AA52" s="350"/>
      <c r="AB52" s="350"/>
      <c r="AC52" s="350"/>
      <c r="AD52" s="350"/>
      <c r="AE52" s="350"/>
      <c r="AF52" s="350"/>
      <c r="AG52" s="350"/>
      <c r="AH52" s="350"/>
      <c r="AI52" s="350"/>
      <c r="AJ52" s="350"/>
      <c r="AK52" s="350"/>
      <c r="AL52" s="350"/>
      <c r="AM52" s="350"/>
      <c r="AN52" s="350"/>
      <c r="AO52" s="350"/>
      <c r="AP52" s="350"/>
      <c r="AQ52" s="350"/>
      <c r="AR52" s="350"/>
      <c r="AS52" s="350"/>
      <c r="AT52" s="350"/>
      <c r="AU52" s="350"/>
      <c r="AV52" s="350"/>
      <c r="AW52" s="350"/>
      <c r="AX52" s="350"/>
      <c r="AY52" s="350"/>
      <c r="AZ52" s="350"/>
      <c r="BA52" s="350"/>
      <c r="BB52" s="350"/>
      <c r="BC52" s="350"/>
      <c r="BD52" s="350"/>
    </row>
    <row r="53" spans="1:56">
      <c r="A53" s="66"/>
      <c r="B53" s="66"/>
      <c r="C53" s="66"/>
      <c r="D53" s="66"/>
      <c r="E53" s="66"/>
      <c r="F53" s="66"/>
      <c r="G53" s="66"/>
      <c r="H53" s="70"/>
      <c r="I53" s="70"/>
      <c r="J53" s="70"/>
      <c r="K53" s="70"/>
      <c r="L53" s="70"/>
      <c r="M53" s="70"/>
      <c r="N53" s="70"/>
      <c r="O53" s="70"/>
      <c r="P53" s="261"/>
      <c r="Q53" s="350"/>
      <c r="R53" s="350"/>
      <c r="S53" s="350"/>
      <c r="T53" s="350"/>
      <c r="U53" s="350"/>
      <c r="V53" s="350"/>
      <c r="W53" s="350"/>
      <c r="X53" s="350"/>
      <c r="Y53" s="350"/>
      <c r="Z53" s="350"/>
      <c r="AA53" s="350"/>
      <c r="AB53" s="350"/>
      <c r="AC53" s="350"/>
      <c r="AD53" s="350"/>
      <c r="AE53" s="350"/>
      <c r="AF53" s="350"/>
      <c r="AG53" s="350"/>
      <c r="AH53" s="350"/>
      <c r="AI53" s="350"/>
      <c r="AJ53" s="350"/>
      <c r="AK53" s="350"/>
      <c r="AL53" s="350"/>
      <c r="AM53" s="350"/>
      <c r="AN53" s="350"/>
      <c r="AO53" s="350"/>
      <c r="AP53" s="350"/>
      <c r="AQ53" s="350"/>
      <c r="AR53" s="350"/>
      <c r="AS53" s="350"/>
      <c r="AT53" s="350"/>
      <c r="AU53" s="350"/>
      <c r="AV53" s="350"/>
      <c r="AW53" s="350"/>
      <c r="AX53" s="350"/>
      <c r="AY53" s="350"/>
      <c r="AZ53" s="350"/>
      <c r="BA53" s="350"/>
      <c r="BB53" s="350"/>
      <c r="BC53" s="350"/>
      <c r="BD53" s="350"/>
    </row>
    <row r="54" spans="1:56">
      <c r="A54" s="31"/>
      <c r="B54" s="31"/>
      <c r="C54" s="31"/>
      <c r="D54" s="31"/>
      <c r="E54" s="31"/>
      <c r="F54" s="31"/>
      <c r="G54" s="31"/>
      <c r="H54" s="261"/>
      <c r="I54" s="261"/>
      <c r="J54" s="261"/>
      <c r="K54" s="261"/>
      <c r="L54" s="261"/>
      <c r="M54" s="261"/>
      <c r="N54" s="261"/>
      <c r="O54" s="261"/>
      <c r="P54" s="261"/>
      <c r="Q54" s="350" t="s">
        <v>408</v>
      </c>
      <c r="R54" s="355">
        <f>SUM(S54:AJ54)</f>
        <v>100000</v>
      </c>
      <c r="S54" s="356">
        <v>8000</v>
      </c>
      <c r="T54" s="356">
        <v>7000</v>
      </c>
      <c r="U54" s="356">
        <v>7000</v>
      </c>
      <c r="V54" s="356">
        <v>7000</v>
      </c>
      <c r="W54" s="356">
        <v>7000</v>
      </c>
      <c r="X54" s="356">
        <v>7000</v>
      </c>
      <c r="Y54" s="356">
        <v>7000</v>
      </c>
      <c r="Z54" s="356">
        <v>7000</v>
      </c>
      <c r="AA54" s="356">
        <v>7000</v>
      </c>
      <c r="AB54" s="356">
        <v>7000</v>
      </c>
      <c r="AC54" s="356">
        <v>7000</v>
      </c>
      <c r="AD54" s="356">
        <v>6000</v>
      </c>
      <c r="AE54" s="356">
        <v>5000</v>
      </c>
      <c r="AF54" s="356">
        <v>4000</v>
      </c>
      <c r="AG54" s="356">
        <v>3000</v>
      </c>
      <c r="AH54" s="356">
        <v>2000</v>
      </c>
      <c r="AI54" s="356">
        <v>1000</v>
      </c>
      <c r="AJ54" s="356">
        <v>1000</v>
      </c>
      <c r="AK54" s="350"/>
      <c r="AL54" s="350"/>
      <c r="AM54" s="350"/>
      <c r="AN54" s="350"/>
      <c r="AO54" s="350"/>
      <c r="AP54" s="350"/>
      <c r="AQ54" s="350"/>
      <c r="AR54" s="350"/>
      <c r="AS54" s="350"/>
      <c r="AT54" s="350"/>
      <c r="AU54" s="350"/>
      <c r="AV54" s="350"/>
      <c r="AW54" s="350"/>
      <c r="AX54" s="350"/>
      <c r="AY54" s="350"/>
      <c r="AZ54" s="350"/>
      <c r="BA54" s="350"/>
      <c r="BB54" s="350"/>
      <c r="BC54" s="350"/>
      <c r="BD54" s="350"/>
    </row>
    <row r="55" spans="1:56">
      <c r="A55" s="31"/>
      <c r="B55" s="31"/>
      <c r="C55" s="31"/>
      <c r="D55" s="31"/>
      <c r="E55" s="31"/>
      <c r="F55" s="31"/>
      <c r="G55" s="31"/>
      <c r="H55" s="261"/>
      <c r="I55" s="261"/>
      <c r="J55" s="261"/>
      <c r="K55" s="261"/>
      <c r="L55" s="261"/>
      <c r="M55" s="261"/>
      <c r="N55" s="261"/>
      <c r="O55" s="261"/>
      <c r="P55" s="261"/>
      <c r="Q55" s="350" t="s">
        <v>409</v>
      </c>
      <c r="R55" s="350">
        <v>100000</v>
      </c>
      <c r="S55" s="350">
        <v>12000</v>
      </c>
      <c r="T55" s="350">
        <v>10000</v>
      </c>
      <c r="U55" s="350">
        <v>9000</v>
      </c>
      <c r="V55" s="350">
        <v>9000</v>
      </c>
      <c r="W55" s="350">
        <v>8000</v>
      </c>
      <c r="X55" s="350">
        <v>8000</v>
      </c>
      <c r="Y55" s="350">
        <v>6000</v>
      </c>
      <c r="Z55" s="350">
        <v>6000</v>
      </c>
      <c r="AA55" s="350">
        <v>6000</v>
      </c>
      <c r="AB55" s="350">
        <v>6000</v>
      </c>
      <c r="AC55" s="350">
        <v>5000</v>
      </c>
      <c r="AD55" s="350">
        <v>4000</v>
      </c>
      <c r="AE55" s="350">
        <v>4000</v>
      </c>
      <c r="AF55" s="350">
        <v>3000</v>
      </c>
      <c r="AG55" s="350">
        <v>2000</v>
      </c>
      <c r="AH55" s="350">
        <v>1000</v>
      </c>
      <c r="AI55" s="350">
        <v>500</v>
      </c>
      <c r="AJ55" s="350">
        <v>500</v>
      </c>
      <c r="AK55" s="350"/>
      <c r="AL55" s="350"/>
      <c r="AM55" s="350"/>
      <c r="AN55" s="350"/>
      <c r="AO55" s="350"/>
      <c r="AP55" s="350"/>
      <c r="AQ55" s="350"/>
      <c r="AR55" s="350"/>
      <c r="AS55" s="350"/>
      <c r="AT55" s="350"/>
      <c r="AU55" s="350"/>
      <c r="AV55" s="350"/>
      <c r="AW55" s="350"/>
      <c r="AX55" s="350"/>
      <c r="AY55" s="350"/>
      <c r="AZ55" s="350"/>
      <c r="BA55" s="350"/>
      <c r="BB55" s="350"/>
      <c r="BC55" s="350"/>
      <c r="BD55" s="350"/>
    </row>
    <row r="56" spans="1:56">
      <c r="A56" s="31"/>
      <c r="B56" s="31"/>
      <c r="C56" s="31"/>
      <c r="D56" s="31"/>
      <c r="E56" s="31"/>
      <c r="F56" s="31"/>
      <c r="G56" s="31"/>
      <c r="H56" s="261"/>
      <c r="I56" s="261"/>
      <c r="J56" s="261"/>
      <c r="K56" s="261"/>
      <c r="L56" s="261"/>
      <c r="M56" s="261"/>
      <c r="N56" s="261"/>
      <c r="O56" s="261"/>
      <c r="P56" s="261"/>
      <c r="Q56" s="350"/>
      <c r="R56" s="350"/>
      <c r="S56" s="350"/>
      <c r="T56" s="350"/>
      <c r="U56" s="350"/>
      <c r="V56" s="350"/>
      <c r="W56" s="350"/>
      <c r="X56" s="350"/>
      <c r="Y56" s="350"/>
      <c r="Z56" s="350"/>
      <c r="AA56" s="350"/>
      <c r="AB56" s="350"/>
      <c r="AC56" s="350"/>
      <c r="AD56" s="350"/>
      <c r="AE56" s="350"/>
      <c r="AF56" s="350"/>
      <c r="AG56" s="350"/>
      <c r="AH56" s="350"/>
      <c r="AI56" s="350"/>
      <c r="AJ56" s="350"/>
      <c r="AK56" s="350"/>
      <c r="AL56" s="350"/>
      <c r="AM56" s="350"/>
      <c r="AN56" s="350"/>
      <c r="AO56" s="350"/>
      <c r="AP56" s="350"/>
      <c r="AQ56" s="350"/>
      <c r="AR56" s="350"/>
      <c r="AS56" s="350"/>
      <c r="AT56" s="350"/>
      <c r="AU56" s="350"/>
      <c r="AV56" s="350"/>
      <c r="AW56" s="350"/>
      <c r="AX56" s="350"/>
      <c r="AY56" s="350"/>
      <c r="AZ56" s="350"/>
      <c r="BA56" s="350"/>
      <c r="BB56" s="350"/>
      <c r="BC56" s="350"/>
      <c r="BD56" s="350"/>
    </row>
    <row r="57" spans="1:56">
      <c r="A57" s="31"/>
      <c r="B57" s="31"/>
      <c r="C57" s="31"/>
      <c r="D57" s="31"/>
      <c r="E57" s="31"/>
      <c r="F57" s="31"/>
      <c r="G57" s="31"/>
      <c r="H57" s="261"/>
      <c r="I57" s="261"/>
      <c r="J57" s="261"/>
      <c r="K57" s="261"/>
      <c r="L57" s="261"/>
      <c r="M57" s="261"/>
      <c r="N57" s="261"/>
      <c r="O57" s="261"/>
      <c r="P57" s="261"/>
      <c r="Q57" s="350"/>
      <c r="R57" s="350"/>
      <c r="S57" s="350"/>
      <c r="T57" s="350"/>
      <c r="U57" s="350"/>
      <c r="V57" s="350"/>
      <c r="W57" s="350"/>
      <c r="X57" s="350"/>
      <c r="Y57" s="350"/>
      <c r="Z57" s="350"/>
      <c r="AA57" s="350"/>
      <c r="AB57" s="350"/>
      <c r="AC57" s="350"/>
      <c r="AD57" s="350"/>
      <c r="AE57" s="350"/>
      <c r="AF57" s="350"/>
      <c r="AG57" s="350"/>
      <c r="AH57" s="350"/>
      <c r="AI57" s="350"/>
      <c r="AJ57" s="350"/>
      <c r="AK57" s="350"/>
      <c r="AL57" s="350"/>
      <c r="AM57" s="350"/>
      <c r="AN57" s="350"/>
      <c r="AO57" s="350"/>
      <c r="AP57" s="350"/>
      <c r="AQ57" s="350"/>
      <c r="AR57" s="350"/>
      <c r="AS57" s="350"/>
      <c r="AT57" s="350"/>
      <c r="AU57" s="350"/>
      <c r="AV57" s="350"/>
      <c r="AW57" s="350"/>
      <c r="AX57" s="350"/>
      <c r="AY57" s="350"/>
      <c r="AZ57" s="350"/>
      <c r="BA57" s="350"/>
      <c r="BB57" s="350"/>
      <c r="BC57" s="350"/>
      <c r="BD57" s="350"/>
    </row>
    <row r="58" spans="1:56">
      <c r="Q58" s="358"/>
      <c r="R58" s="358"/>
      <c r="S58" s="358"/>
      <c r="T58" s="358"/>
      <c r="U58" s="358"/>
      <c r="V58" s="358"/>
      <c r="W58" s="358"/>
      <c r="X58" s="358"/>
      <c r="Y58" s="358"/>
      <c r="Z58" s="358"/>
      <c r="AA58" s="358"/>
      <c r="AB58" s="358"/>
      <c r="AC58" s="358"/>
      <c r="AD58" s="358"/>
      <c r="AE58" s="358"/>
      <c r="AF58" s="358"/>
      <c r="AG58" s="358"/>
      <c r="AH58" s="358"/>
      <c r="AI58" s="358"/>
      <c r="AJ58" s="358"/>
      <c r="AK58" s="358"/>
      <c r="AL58" s="358"/>
      <c r="AM58" s="358"/>
      <c r="AN58" s="358"/>
      <c r="AO58" s="358"/>
      <c r="AP58" s="358"/>
      <c r="AQ58" s="358"/>
      <c r="AR58" s="358"/>
      <c r="AS58" s="358"/>
      <c r="AT58" s="358"/>
      <c r="AU58" s="358"/>
      <c r="AV58" s="358"/>
      <c r="AW58" s="358"/>
      <c r="AX58" s="358"/>
      <c r="AY58" s="358"/>
      <c r="AZ58" s="358"/>
      <c r="BA58" s="358"/>
      <c r="BB58" s="358"/>
      <c r="BC58" s="358"/>
      <c r="BD58" s="358"/>
    </row>
    <row r="59" spans="1:56">
      <c r="Q59" s="358"/>
      <c r="R59" s="358"/>
      <c r="S59" s="358"/>
      <c r="T59" s="358"/>
      <c r="U59" s="358"/>
      <c r="V59" s="358"/>
      <c r="W59" s="358"/>
      <c r="X59" s="358"/>
      <c r="Y59" s="358"/>
      <c r="Z59" s="358"/>
      <c r="AA59" s="358"/>
      <c r="AB59" s="358"/>
      <c r="AC59" s="358"/>
      <c r="AD59" s="358"/>
      <c r="AE59" s="358"/>
      <c r="AF59" s="358"/>
      <c r="AG59" s="358"/>
      <c r="AH59" s="358"/>
      <c r="AI59" s="358"/>
      <c r="AJ59" s="358"/>
      <c r="AK59" s="358"/>
      <c r="AL59" s="358"/>
      <c r="AM59" s="358"/>
      <c r="AN59" s="358"/>
      <c r="AO59" s="358"/>
      <c r="AP59" s="358"/>
      <c r="AQ59" s="358"/>
      <c r="AR59" s="358"/>
      <c r="AS59" s="358"/>
      <c r="AT59" s="358"/>
      <c r="AU59" s="358"/>
      <c r="AV59" s="358"/>
      <c r="AW59" s="358"/>
      <c r="AX59" s="358"/>
      <c r="AY59" s="358"/>
      <c r="AZ59" s="358"/>
      <c r="BA59" s="358"/>
      <c r="BB59" s="358"/>
      <c r="BC59" s="358"/>
      <c r="BD59" s="358"/>
    </row>
    <row r="60" spans="1:56">
      <c r="Q60" s="358"/>
      <c r="R60" s="358"/>
      <c r="S60" s="358"/>
      <c r="T60" s="358"/>
      <c r="U60" s="358"/>
      <c r="V60" s="358"/>
      <c r="W60" s="358"/>
      <c r="X60" s="358"/>
      <c r="Y60" s="358"/>
      <c r="Z60" s="358"/>
      <c r="AA60" s="358"/>
      <c r="AB60" s="358"/>
      <c r="AC60" s="358"/>
      <c r="AD60" s="358"/>
      <c r="AE60" s="358"/>
      <c r="AF60" s="358"/>
      <c r="AG60" s="358"/>
      <c r="AH60" s="358"/>
      <c r="AI60" s="358"/>
      <c r="AJ60" s="358"/>
      <c r="AK60" s="358"/>
      <c r="AL60" s="358"/>
      <c r="AM60" s="358"/>
      <c r="AN60" s="358"/>
      <c r="AO60" s="358"/>
      <c r="AP60" s="358"/>
      <c r="AQ60" s="358"/>
      <c r="AR60" s="358"/>
      <c r="AS60" s="358"/>
      <c r="AT60" s="358"/>
      <c r="AU60" s="358"/>
      <c r="AV60" s="358"/>
      <c r="AW60" s="358"/>
      <c r="AX60" s="358"/>
      <c r="AY60" s="358"/>
      <c r="AZ60" s="358"/>
      <c r="BA60" s="358"/>
      <c r="BB60" s="358"/>
      <c r="BC60" s="358"/>
      <c r="BD60" s="358"/>
    </row>
    <row r="61" spans="1:56">
      <c r="Q61" s="358"/>
      <c r="R61" s="358"/>
      <c r="S61" s="358"/>
      <c r="T61" s="358"/>
      <c r="U61" s="358"/>
      <c r="V61" s="358"/>
      <c r="W61" s="358"/>
      <c r="X61" s="358"/>
      <c r="Y61" s="358"/>
      <c r="Z61" s="358"/>
      <c r="AA61" s="358"/>
      <c r="AB61" s="358"/>
      <c r="AC61" s="358"/>
      <c r="AD61" s="358"/>
      <c r="AE61" s="358"/>
      <c r="AF61" s="358"/>
      <c r="AG61" s="358"/>
      <c r="AH61" s="358"/>
      <c r="AI61" s="358"/>
      <c r="AJ61" s="358"/>
      <c r="AK61" s="358"/>
      <c r="AL61" s="358"/>
      <c r="AM61" s="358"/>
      <c r="AN61" s="358"/>
      <c r="AO61" s="358"/>
      <c r="AP61" s="358"/>
      <c r="AQ61" s="358"/>
      <c r="AR61" s="358"/>
      <c r="AS61" s="358"/>
      <c r="AT61" s="358"/>
      <c r="AU61" s="358"/>
      <c r="AV61" s="358"/>
      <c r="AW61" s="358"/>
      <c r="AX61" s="358"/>
      <c r="AY61" s="358"/>
      <c r="AZ61" s="358"/>
      <c r="BA61" s="358"/>
      <c r="BB61" s="358"/>
      <c r="BC61" s="358"/>
      <c r="BD61" s="358"/>
    </row>
    <row r="62" spans="1:56">
      <c r="Q62" s="358"/>
      <c r="R62" s="358"/>
      <c r="S62" s="358"/>
      <c r="T62" s="358"/>
      <c r="U62" s="358"/>
      <c r="V62" s="358"/>
      <c r="W62" s="358"/>
      <c r="X62" s="358"/>
      <c r="Y62" s="358"/>
      <c r="Z62" s="358"/>
      <c r="AA62" s="358"/>
      <c r="AB62" s="358"/>
      <c r="AC62" s="358"/>
      <c r="AD62" s="358"/>
      <c r="AE62" s="358"/>
      <c r="AF62" s="358"/>
      <c r="AG62" s="358"/>
      <c r="AH62" s="358"/>
      <c r="AI62" s="358"/>
      <c r="AJ62" s="358"/>
      <c r="AK62" s="358"/>
      <c r="AL62" s="358"/>
      <c r="AM62" s="358"/>
      <c r="AN62" s="358"/>
      <c r="AO62" s="358"/>
      <c r="AP62" s="358"/>
      <c r="AQ62" s="358"/>
      <c r="AR62" s="358"/>
      <c r="AS62" s="358"/>
      <c r="AT62" s="358"/>
      <c r="AU62" s="358"/>
      <c r="AV62" s="358"/>
      <c r="AW62" s="358"/>
      <c r="AX62" s="358"/>
      <c r="AY62" s="358"/>
      <c r="AZ62" s="358"/>
      <c r="BA62" s="358"/>
      <c r="BB62" s="358"/>
      <c r="BC62" s="358"/>
      <c r="BD62" s="358"/>
    </row>
    <row r="63" spans="1:56">
      <c r="Q63" s="358"/>
      <c r="R63" s="358"/>
      <c r="S63" s="358"/>
      <c r="T63" s="358"/>
      <c r="U63" s="358"/>
      <c r="V63" s="358"/>
      <c r="W63" s="358"/>
      <c r="X63" s="358"/>
      <c r="Y63" s="358"/>
      <c r="Z63" s="358"/>
      <c r="AA63" s="358"/>
      <c r="AB63" s="358"/>
      <c r="AC63" s="358"/>
      <c r="AD63" s="358"/>
      <c r="AE63" s="358"/>
      <c r="AF63" s="358"/>
      <c r="AG63" s="358"/>
      <c r="AH63" s="358"/>
      <c r="AI63" s="358"/>
      <c r="AJ63" s="358"/>
      <c r="AK63" s="358"/>
      <c r="AL63" s="358"/>
      <c r="AM63" s="358"/>
      <c r="AN63" s="358"/>
      <c r="AO63" s="358"/>
      <c r="AP63" s="358"/>
      <c r="AQ63" s="358"/>
      <c r="AR63" s="358"/>
      <c r="AS63" s="358"/>
      <c r="AT63" s="358"/>
      <c r="AU63" s="358"/>
      <c r="AV63" s="358"/>
      <c r="AW63" s="358"/>
      <c r="AX63" s="358"/>
      <c r="AY63" s="358"/>
      <c r="AZ63" s="358"/>
      <c r="BA63" s="358"/>
      <c r="BB63" s="358"/>
      <c r="BC63" s="358"/>
      <c r="BD63" s="358"/>
    </row>
    <row r="64" spans="1:56">
      <c r="Q64" s="358"/>
      <c r="R64" s="358"/>
      <c r="S64" s="358"/>
      <c r="T64" s="358"/>
      <c r="U64" s="358"/>
      <c r="V64" s="358"/>
      <c r="W64" s="358"/>
      <c r="X64" s="358"/>
      <c r="Y64" s="358"/>
      <c r="Z64" s="358"/>
      <c r="AA64" s="358"/>
      <c r="AB64" s="358"/>
      <c r="AC64" s="358"/>
      <c r="AD64" s="358"/>
      <c r="AE64" s="358"/>
      <c r="AF64" s="358"/>
      <c r="AG64" s="358"/>
      <c r="AH64" s="358"/>
      <c r="AI64" s="358"/>
      <c r="AJ64" s="358"/>
      <c r="AK64" s="358"/>
      <c r="AL64" s="358"/>
      <c r="AM64" s="358"/>
      <c r="AN64" s="358"/>
      <c r="AO64" s="358"/>
      <c r="AP64" s="358"/>
      <c r="AQ64" s="358"/>
      <c r="AR64" s="358"/>
      <c r="AS64" s="358"/>
      <c r="AT64" s="358"/>
      <c r="AU64" s="358"/>
      <c r="AV64" s="358"/>
      <c r="AW64" s="358"/>
      <c r="AX64" s="358"/>
      <c r="AY64" s="358"/>
      <c r="AZ64" s="358"/>
      <c r="BA64" s="358"/>
      <c r="BB64" s="358"/>
      <c r="BC64" s="358"/>
      <c r="BD64" s="358"/>
    </row>
    <row r="65" spans="17:56">
      <c r="Q65" s="358"/>
      <c r="R65" s="358"/>
      <c r="S65" s="358"/>
      <c r="T65" s="358"/>
      <c r="U65" s="358"/>
      <c r="V65" s="358"/>
      <c r="W65" s="358"/>
      <c r="X65" s="358"/>
      <c r="Y65" s="358"/>
      <c r="Z65" s="358"/>
      <c r="AA65" s="358"/>
      <c r="AB65" s="358"/>
      <c r="AC65" s="358"/>
      <c r="AD65" s="358"/>
      <c r="AE65" s="358"/>
      <c r="AF65" s="358"/>
      <c r="AG65" s="358"/>
      <c r="AH65" s="358"/>
      <c r="AI65" s="358"/>
      <c r="AJ65" s="358"/>
      <c r="AK65" s="358"/>
      <c r="AL65" s="358"/>
      <c r="AM65" s="358"/>
      <c r="AN65" s="358"/>
      <c r="AO65" s="358"/>
      <c r="AP65" s="358"/>
      <c r="AQ65" s="358"/>
      <c r="AR65" s="358"/>
      <c r="AS65" s="358"/>
      <c r="AT65" s="358"/>
      <c r="AU65" s="358"/>
      <c r="AV65" s="358"/>
      <c r="AW65" s="358"/>
      <c r="AX65" s="358"/>
      <c r="AY65" s="358"/>
      <c r="AZ65" s="358"/>
      <c r="BA65" s="358"/>
      <c r="BB65" s="358"/>
      <c r="BC65" s="358"/>
      <c r="BD65" s="358"/>
    </row>
  </sheetData>
  <mergeCells count="9">
    <mergeCell ref="B1:D1"/>
    <mergeCell ref="S2:U2"/>
    <mergeCell ref="F4:G4"/>
    <mergeCell ref="AM2:AO2"/>
    <mergeCell ref="C4:C5"/>
    <mergeCell ref="B4:B5"/>
    <mergeCell ref="D4:D5"/>
    <mergeCell ref="E4:E5"/>
    <mergeCell ref="Q1:Q2"/>
  </mergeCells>
  <pageMargins left="0.59055118110236215" right="0.62992125984251968" top="1.5748031496062993" bottom="1.9685039370078741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28</vt:i4>
      </vt:variant>
      <vt:variant>
        <vt:lpstr>Named Ranges</vt:lpstr>
      </vt:variant>
      <vt:variant>
        <vt:i4>21</vt:i4>
      </vt:variant>
    </vt:vector>
  </HeadingPairs>
  <TitlesOfParts>
    <vt:vector size="49" baseType="lpstr">
      <vt:lpstr>Data</vt:lpstr>
      <vt:lpstr>DataTarpin</vt:lpstr>
      <vt:lpstr>Populiacija</vt:lpstr>
      <vt:lpstr>Kiti grafikai</vt:lpstr>
      <vt:lpstr>GrafikaiSergVM</vt:lpstr>
      <vt:lpstr>GrafikaiSerg</vt:lpstr>
      <vt:lpstr>Lent02vm</vt:lpstr>
      <vt:lpstr>Lent02v</vt:lpstr>
      <vt:lpstr>Lent02m</vt:lpstr>
      <vt:lpstr>Lent04v</vt:lpstr>
      <vt:lpstr>Lent04m</vt:lpstr>
      <vt:lpstr>Lent06v</vt:lpstr>
      <vt:lpstr>Lent06m</vt:lpstr>
      <vt:lpstr>Lent08v</vt:lpstr>
      <vt:lpstr>Lent08m</vt:lpstr>
      <vt:lpstr>GrafikaiMirtVM</vt:lpstr>
      <vt:lpstr>GrafikaiMirt</vt:lpstr>
      <vt:lpstr>Lent10vm</vt:lpstr>
      <vt:lpstr>Lent10v</vt:lpstr>
      <vt:lpstr>Lent10m</vt:lpstr>
      <vt:lpstr>Lent12v</vt:lpstr>
      <vt:lpstr>Lent12m</vt:lpstr>
      <vt:lpstr>Len14v</vt:lpstr>
      <vt:lpstr>Lent14m</vt:lpstr>
      <vt:lpstr>Lent16v</vt:lpstr>
      <vt:lpstr>Lent16m</vt:lpstr>
      <vt:lpstr>Lent18v</vt:lpstr>
      <vt:lpstr>Lent18m</vt:lpstr>
      <vt:lpstr>Len14v!Print_Area</vt:lpstr>
      <vt:lpstr>Lent02m!Print_Area</vt:lpstr>
      <vt:lpstr>Lent02v!Print_Area</vt:lpstr>
      <vt:lpstr>Lent02vm!Print_Area</vt:lpstr>
      <vt:lpstr>Lent04m!Print_Area</vt:lpstr>
      <vt:lpstr>Lent04v!Print_Area</vt:lpstr>
      <vt:lpstr>Lent06m!Print_Area</vt:lpstr>
      <vt:lpstr>Lent06v!Print_Area</vt:lpstr>
      <vt:lpstr>Lent08m!Print_Area</vt:lpstr>
      <vt:lpstr>Lent08v!Print_Area</vt:lpstr>
      <vt:lpstr>Lent10m!Print_Area</vt:lpstr>
      <vt:lpstr>Lent10v!Print_Area</vt:lpstr>
      <vt:lpstr>Lent10vm!Print_Area</vt:lpstr>
      <vt:lpstr>Lent12m!Print_Area</vt:lpstr>
      <vt:lpstr>Lent12v!Print_Area</vt:lpstr>
      <vt:lpstr>Lent14m!Print_Area</vt:lpstr>
      <vt:lpstr>Lent16m!Print_Area</vt:lpstr>
      <vt:lpstr>Lent16v!Print_Area</vt:lpstr>
      <vt:lpstr>Lent18m!Print_Area</vt:lpstr>
      <vt:lpstr>Lent18v!Print_Area</vt:lpstr>
      <vt:lpstr>v_F90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Ieva</dc:creator>
  <cp:lastModifiedBy>user</cp:lastModifiedBy>
  <cp:lastPrinted>2011-06-30T06:54:32Z</cp:lastPrinted>
  <dcterms:created xsi:type="dcterms:W3CDTF">1996-10-14T23:33:28Z</dcterms:created>
  <dcterms:modified xsi:type="dcterms:W3CDTF">2020-11-17T17:55:01Z</dcterms:modified>
</cp:coreProperties>
</file>